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40775AF0-D920-4885-875B-4E0D130FC562}" xr6:coauthVersionLast="36" xr6:coauthVersionMax="36" xr10:uidLastSave="{00000000-0000-0000-0000-000000000000}"/>
  <bookViews>
    <workbookView xWindow="0" yWindow="0" windowWidth="28800" windowHeight="13455" tabRatio="597" xr2:uid="{00000000-000D-0000-FFFF-FFFF00000000}"/>
  </bookViews>
  <sheets>
    <sheet name="Results" sheetId="6" r:id="rId1"/>
    <sheet name="KO-Round" sheetId="14" r:id="rId2"/>
    <sheet name="Planning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AP42" i="14" l="1"/>
  <c r="AP41" i="14"/>
  <c r="C3" i="9"/>
  <c r="C4" i="9"/>
  <c r="E37" i="9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6" i="7"/>
  <c r="AH17" i="14"/>
  <c r="AP17" i="14"/>
  <c r="AM17" i="14"/>
  <c r="AJ17" i="14"/>
  <c r="AK17" i="14"/>
  <c r="AH16" i="14"/>
  <c r="AM16" i="14"/>
  <c r="AJ16" i="14"/>
  <c r="AK16" i="14"/>
  <c r="C5" i="13"/>
  <c r="F5" i="3"/>
  <c r="C6" i="13"/>
  <c r="F6" i="3"/>
  <c r="C7" i="13"/>
  <c r="F7" i="3"/>
  <c r="C8" i="13"/>
  <c r="F8" i="3"/>
  <c r="C9" i="13"/>
  <c r="F9" i="3"/>
  <c r="C10" i="13"/>
  <c r="F10" i="3"/>
  <c r="C11" i="13"/>
  <c r="F11" i="3"/>
  <c r="C12" i="13"/>
  <c r="F12" i="3"/>
  <c r="C13" i="13"/>
  <c r="F13" i="3"/>
  <c r="C14" i="13"/>
  <c r="F14" i="3"/>
  <c r="C15" i="13"/>
  <c r="F15" i="3"/>
  <c r="C16" i="13"/>
  <c r="F16" i="3"/>
  <c r="C17" i="13"/>
  <c r="F17" i="3"/>
  <c r="C18" i="13"/>
  <c r="F18" i="3"/>
  <c r="C19" i="13"/>
  <c r="F19" i="3"/>
  <c r="C20" i="13"/>
  <c r="F20" i="3"/>
  <c r="C21" i="13"/>
  <c r="F21" i="3"/>
  <c r="C22" i="13"/>
  <c r="F22" i="3"/>
  <c r="C23" i="13"/>
  <c r="F23" i="3"/>
  <c r="C24" i="13"/>
  <c r="F24" i="3"/>
  <c r="C25" i="13"/>
  <c r="F25" i="3"/>
  <c r="C26" i="13"/>
  <c r="F26" i="3"/>
  <c r="C27" i="13"/>
  <c r="F27" i="3"/>
  <c r="C28" i="13"/>
  <c r="F28" i="3"/>
  <c r="C29" i="13"/>
  <c r="F29" i="3"/>
  <c r="C30" i="13"/>
  <c r="F30" i="3"/>
  <c r="C31" i="13"/>
  <c r="F31" i="3"/>
  <c r="C32" i="13"/>
  <c r="F32" i="3"/>
  <c r="C33" i="13"/>
  <c r="F33" i="3"/>
  <c r="C34" i="13"/>
  <c r="F34" i="3"/>
  <c r="C35" i="13"/>
  <c r="F35" i="3"/>
  <c r="C36" i="13"/>
  <c r="F36" i="3"/>
  <c r="C37" i="13"/>
  <c r="F37" i="3"/>
  <c r="C38" i="13"/>
  <c r="F38" i="3"/>
  <c r="C39" i="13"/>
  <c r="F39" i="3"/>
  <c r="C4" i="13"/>
  <c r="F4" i="3"/>
  <c r="F40" i="3"/>
  <c r="F42" i="3"/>
  <c r="Q25" i="7"/>
  <c r="F27" i="6"/>
  <c r="S25" i="7"/>
  <c r="H27" i="6"/>
  <c r="F22" i="13"/>
  <c r="G22" i="13"/>
  <c r="H22" i="13"/>
  <c r="I22" i="13"/>
  <c r="K22" i="13"/>
  <c r="Q26" i="7"/>
  <c r="F28" i="6"/>
  <c r="S26" i="7"/>
  <c r="H28" i="6"/>
  <c r="F23" i="13"/>
  <c r="G23" i="13"/>
  <c r="H23" i="13"/>
  <c r="I23" i="13"/>
  <c r="Q27" i="7"/>
  <c r="F29" i="6"/>
  <c r="S27" i="7"/>
  <c r="H29" i="6"/>
  <c r="F24" i="13"/>
  <c r="G24" i="13"/>
  <c r="H24" i="13"/>
  <c r="I24" i="13"/>
  <c r="Q28" i="7"/>
  <c r="F30" i="6"/>
  <c r="S28" i="7"/>
  <c r="H30" i="6"/>
  <c r="F25" i="13"/>
  <c r="G25" i="13"/>
  <c r="H25" i="13"/>
  <c r="I25" i="13"/>
  <c r="K25" i="13"/>
  <c r="K169" i="13"/>
  <c r="G28" i="7"/>
  <c r="H28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I28" i="7"/>
  <c r="L169" i="13"/>
  <c r="Q29" i="7"/>
  <c r="F31" i="6"/>
  <c r="S29" i="7"/>
  <c r="H31" i="6"/>
  <c r="F26" i="13"/>
  <c r="G26" i="13"/>
  <c r="H26" i="13"/>
  <c r="I26" i="13"/>
  <c r="K26" i="13"/>
  <c r="K170" i="13"/>
  <c r="G29" i="7"/>
  <c r="H29" i="7"/>
  <c r="I29" i="7"/>
  <c r="L170" i="13"/>
  <c r="Q30" i="7"/>
  <c r="F32" i="6"/>
  <c r="S30" i="7"/>
  <c r="H32" i="6"/>
  <c r="F27" i="13"/>
  <c r="G27" i="13"/>
  <c r="H27" i="13"/>
  <c r="I27" i="13"/>
  <c r="Q31" i="7"/>
  <c r="F33" i="6"/>
  <c r="S31" i="7"/>
  <c r="H33" i="6"/>
  <c r="F28" i="13"/>
  <c r="G28" i="13"/>
  <c r="H28" i="13"/>
  <c r="I28" i="13"/>
  <c r="Q32" i="7"/>
  <c r="F34" i="6"/>
  <c r="S32" i="7"/>
  <c r="H34" i="6"/>
  <c r="F29" i="13"/>
  <c r="G29" i="13"/>
  <c r="H29" i="13"/>
  <c r="I29" i="13"/>
  <c r="Q33" i="7"/>
  <c r="F35" i="6"/>
  <c r="S33" i="7"/>
  <c r="H35" i="6"/>
  <c r="F30" i="13"/>
  <c r="G30" i="13"/>
  <c r="H30" i="13"/>
  <c r="I30" i="13"/>
  <c r="Q34" i="7"/>
  <c r="F36" i="6"/>
  <c r="S34" i="7"/>
  <c r="H36" i="6"/>
  <c r="F31" i="13"/>
  <c r="G31" i="13"/>
  <c r="H31" i="13"/>
  <c r="I31" i="13"/>
  <c r="Q35" i="7"/>
  <c r="F37" i="6"/>
  <c r="S35" i="7"/>
  <c r="H37" i="6"/>
  <c r="F32" i="13"/>
  <c r="G32" i="13"/>
  <c r="H32" i="13"/>
  <c r="I32" i="13"/>
  <c r="Q36" i="7"/>
  <c r="F38" i="6"/>
  <c r="S36" i="7"/>
  <c r="H38" i="6"/>
  <c r="F33" i="13"/>
  <c r="G33" i="13"/>
  <c r="H33" i="13"/>
  <c r="I33" i="13"/>
  <c r="Q37" i="7"/>
  <c r="F39" i="6"/>
  <c r="S37" i="7"/>
  <c r="H39" i="6"/>
  <c r="F34" i="13"/>
  <c r="G34" i="13"/>
  <c r="H34" i="13"/>
  <c r="I34" i="13"/>
  <c r="K34" i="13"/>
  <c r="K178" i="13"/>
  <c r="G37" i="7"/>
  <c r="H37" i="7"/>
  <c r="G30" i="7"/>
  <c r="G31" i="7"/>
  <c r="G32" i="7"/>
  <c r="G33" i="7"/>
  <c r="G34" i="7"/>
  <c r="G35" i="7"/>
  <c r="G36" i="7"/>
  <c r="I37" i="7"/>
  <c r="L178" i="13"/>
  <c r="Q38" i="7"/>
  <c r="F40" i="6"/>
  <c r="S38" i="7"/>
  <c r="H40" i="6"/>
  <c r="F35" i="13"/>
  <c r="G35" i="13"/>
  <c r="H35" i="13"/>
  <c r="I35" i="13"/>
  <c r="Q39" i="7"/>
  <c r="F41" i="6"/>
  <c r="S39" i="7"/>
  <c r="H41" i="6"/>
  <c r="F36" i="13"/>
  <c r="G36" i="13"/>
  <c r="H36" i="13"/>
  <c r="I36" i="13"/>
  <c r="Q40" i="7"/>
  <c r="F42" i="6"/>
  <c r="S40" i="7"/>
  <c r="H42" i="6"/>
  <c r="F37" i="13"/>
  <c r="G37" i="13"/>
  <c r="H37" i="13"/>
  <c r="I37" i="13"/>
  <c r="Q41" i="7"/>
  <c r="F43" i="6"/>
  <c r="S41" i="7"/>
  <c r="H43" i="6"/>
  <c r="F38" i="13"/>
  <c r="G38" i="13"/>
  <c r="H38" i="13"/>
  <c r="I38" i="13"/>
  <c r="K38" i="13"/>
  <c r="K182" i="13"/>
  <c r="G41" i="7"/>
  <c r="H41" i="7"/>
  <c r="G38" i="7"/>
  <c r="G39" i="7"/>
  <c r="G40" i="7"/>
  <c r="I41" i="7"/>
  <c r="L182" i="13"/>
  <c r="Q42" i="7"/>
  <c r="F44" i="6"/>
  <c r="S42" i="7"/>
  <c r="H44" i="6"/>
  <c r="F39" i="13"/>
  <c r="G39" i="13"/>
  <c r="H39" i="13"/>
  <c r="I39" i="13"/>
  <c r="Q44" i="7"/>
  <c r="F46" i="6"/>
  <c r="S44" i="7"/>
  <c r="H46" i="6"/>
  <c r="F41" i="13"/>
  <c r="G41" i="13"/>
  <c r="H41" i="13"/>
  <c r="I41" i="13"/>
  <c r="Q43" i="7"/>
  <c r="F45" i="6"/>
  <c r="S43" i="7"/>
  <c r="H45" i="6"/>
  <c r="F40" i="13"/>
  <c r="G40" i="13"/>
  <c r="H40" i="13"/>
  <c r="I40" i="13"/>
  <c r="N40" i="13"/>
  <c r="Q46" i="7"/>
  <c r="F48" i="6"/>
  <c r="S46" i="7"/>
  <c r="H48" i="6"/>
  <c r="F43" i="13"/>
  <c r="G43" i="13"/>
  <c r="H43" i="13"/>
  <c r="M43" i="13"/>
  <c r="I43" i="13"/>
  <c r="Q47" i="7"/>
  <c r="F49" i="6"/>
  <c r="S47" i="7"/>
  <c r="H49" i="6"/>
  <c r="F44" i="13"/>
  <c r="G44" i="13"/>
  <c r="H44" i="13"/>
  <c r="I44" i="13"/>
  <c r="Q48" i="7"/>
  <c r="F50" i="6"/>
  <c r="S48" i="7"/>
  <c r="H50" i="6"/>
  <c r="F45" i="13"/>
  <c r="G45" i="13"/>
  <c r="H45" i="13"/>
  <c r="I45" i="13"/>
  <c r="Q49" i="7"/>
  <c r="F51" i="6"/>
  <c r="S49" i="7"/>
  <c r="H51" i="6"/>
  <c r="F46" i="13"/>
  <c r="G46" i="13"/>
  <c r="H46" i="13"/>
  <c r="M46" i="13"/>
  <c r="I46" i="13"/>
  <c r="Q50" i="7"/>
  <c r="F52" i="6"/>
  <c r="S50" i="7"/>
  <c r="H52" i="6"/>
  <c r="F47" i="13"/>
  <c r="G47" i="13"/>
  <c r="H47" i="13"/>
  <c r="M47" i="13"/>
  <c r="I47" i="13"/>
  <c r="Q45" i="7"/>
  <c r="F47" i="6"/>
  <c r="S45" i="7"/>
  <c r="H47" i="6"/>
  <c r="F42" i="13"/>
  <c r="G42" i="13"/>
  <c r="H42" i="13"/>
  <c r="I42" i="13"/>
  <c r="Q51" i="7"/>
  <c r="F53" i="6"/>
  <c r="S51" i="7"/>
  <c r="H53" i="6"/>
  <c r="F48" i="13"/>
  <c r="G48" i="13"/>
  <c r="H48" i="13"/>
  <c r="I48" i="13"/>
  <c r="Q52" i="7"/>
  <c r="F54" i="6"/>
  <c r="S52" i="7"/>
  <c r="H54" i="6"/>
  <c r="F49" i="13"/>
  <c r="G49" i="13"/>
  <c r="H49" i="13"/>
  <c r="M49" i="13"/>
  <c r="I49" i="13"/>
  <c r="N49" i="13"/>
  <c r="Q53" i="7"/>
  <c r="F55" i="6"/>
  <c r="S53" i="7"/>
  <c r="H55" i="6"/>
  <c r="F50" i="13"/>
  <c r="G50" i="13"/>
  <c r="H50" i="13"/>
  <c r="I50" i="13"/>
  <c r="K50" i="13"/>
  <c r="K194" i="13"/>
  <c r="G53" i="7"/>
  <c r="H53" i="7"/>
  <c r="G42" i="7"/>
  <c r="G43" i="7"/>
  <c r="G44" i="7"/>
  <c r="G45" i="7"/>
  <c r="G46" i="7"/>
  <c r="G47" i="7"/>
  <c r="G48" i="7"/>
  <c r="G49" i="7"/>
  <c r="G50" i="7"/>
  <c r="G51" i="7"/>
  <c r="G52" i="7"/>
  <c r="I53" i="7"/>
  <c r="L194" i="13"/>
  <c r="Q54" i="7"/>
  <c r="F56" i="6"/>
  <c r="S54" i="7"/>
  <c r="H56" i="6"/>
  <c r="F51" i="13"/>
  <c r="G51" i="13"/>
  <c r="H51" i="13"/>
  <c r="I51" i="13"/>
  <c r="Q55" i="7"/>
  <c r="F57" i="6"/>
  <c r="S55" i="7"/>
  <c r="H57" i="6"/>
  <c r="F52" i="13"/>
  <c r="G52" i="13"/>
  <c r="H52" i="13"/>
  <c r="I52" i="13"/>
  <c r="Q56" i="7"/>
  <c r="F58" i="6"/>
  <c r="S56" i="7"/>
  <c r="H58" i="6"/>
  <c r="F53" i="13"/>
  <c r="G53" i="13"/>
  <c r="H53" i="13"/>
  <c r="M53" i="13"/>
  <c r="I53" i="13"/>
  <c r="N53" i="13"/>
  <c r="Q57" i="7"/>
  <c r="F59" i="6"/>
  <c r="S57" i="7"/>
  <c r="H59" i="6"/>
  <c r="F54" i="13"/>
  <c r="G54" i="13"/>
  <c r="H54" i="13"/>
  <c r="M54" i="13"/>
  <c r="I54" i="13"/>
  <c r="Q58" i="7"/>
  <c r="F60" i="6"/>
  <c r="S58" i="7"/>
  <c r="H60" i="6"/>
  <c r="F55" i="13"/>
  <c r="G55" i="13"/>
  <c r="H55" i="13"/>
  <c r="I55" i="13"/>
  <c r="Q59" i="7"/>
  <c r="F61" i="6"/>
  <c r="S59" i="7"/>
  <c r="H61" i="6"/>
  <c r="F56" i="13"/>
  <c r="G56" i="13"/>
  <c r="H56" i="13"/>
  <c r="I56" i="13"/>
  <c r="Q60" i="7"/>
  <c r="F62" i="6"/>
  <c r="S60" i="7"/>
  <c r="H62" i="6"/>
  <c r="F57" i="13"/>
  <c r="G57" i="13"/>
  <c r="H57" i="13"/>
  <c r="I57" i="13"/>
  <c r="N57" i="13"/>
  <c r="Q7" i="7"/>
  <c r="F9" i="6"/>
  <c r="S7" i="7"/>
  <c r="H9" i="6"/>
  <c r="F4" i="13"/>
  <c r="G4" i="13"/>
  <c r="H4" i="13"/>
  <c r="Q8" i="7"/>
  <c r="F10" i="6"/>
  <c r="S8" i="7"/>
  <c r="H10" i="6"/>
  <c r="F5" i="13"/>
  <c r="G5" i="13"/>
  <c r="H5" i="13"/>
  <c r="Q9" i="7"/>
  <c r="F11" i="6"/>
  <c r="S9" i="7"/>
  <c r="H11" i="6"/>
  <c r="F6" i="13"/>
  <c r="G6" i="13"/>
  <c r="H6" i="13"/>
  <c r="Q10" i="7"/>
  <c r="F12" i="6"/>
  <c r="S10" i="7"/>
  <c r="H12" i="6"/>
  <c r="F7" i="13"/>
  <c r="G7" i="13"/>
  <c r="H7" i="13"/>
  <c r="Q11" i="7"/>
  <c r="F13" i="6"/>
  <c r="S11" i="7"/>
  <c r="H13" i="6"/>
  <c r="F8" i="13"/>
  <c r="G8" i="13"/>
  <c r="H8" i="13"/>
  <c r="Q12" i="7"/>
  <c r="F14" i="6"/>
  <c r="S12" i="7"/>
  <c r="H14" i="6"/>
  <c r="F9" i="13"/>
  <c r="G9" i="13"/>
  <c r="H9" i="13"/>
  <c r="Q13" i="7"/>
  <c r="F15" i="6"/>
  <c r="S13" i="7"/>
  <c r="H15" i="6"/>
  <c r="F10" i="13"/>
  <c r="G10" i="13"/>
  <c r="H10" i="13"/>
  <c r="Q14" i="7"/>
  <c r="F16" i="6"/>
  <c r="S14" i="7"/>
  <c r="H16" i="6"/>
  <c r="F11" i="13"/>
  <c r="G11" i="13"/>
  <c r="H11" i="13"/>
  <c r="M11" i="13"/>
  <c r="Q15" i="7"/>
  <c r="F17" i="6"/>
  <c r="S15" i="7"/>
  <c r="H17" i="6"/>
  <c r="F12" i="13"/>
  <c r="G12" i="13"/>
  <c r="H12" i="13"/>
  <c r="M12" i="13"/>
  <c r="Q16" i="7"/>
  <c r="F18" i="6"/>
  <c r="S16" i="7"/>
  <c r="H18" i="6"/>
  <c r="F13" i="13"/>
  <c r="G13" i="13"/>
  <c r="H13" i="13"/>
  <c r="Q17" i="7"/>
  <c r="F19" i="6"/>
  <c r="S17" i="7"/>
  <c r="H19" i="6"/>
  <c r="F14" i="13"/>
  <c r="G14" i="13"/>
  <c r="H14" i="13"/>
  <c r="Q18" i="7"/>
  <c r="F20" i="6"/>
  <c r="S18" i="7"/>
  <c r="H20" i="6"/>
  <c r="F15" i="13"/>
  <c r="G15" i="13"/>
  <c r="H15" i="13"/>
  <c r="Q19" i="7"/>
  <c r="F21" i="6"/>
  <c r="S19" i="7"/>
  <c r="H21" i="6"/>
  <c r="F16" i="13"/>
  <c r="G16" i="13"/>
  <c r="H16" i="13"/>
  <c r="Q20" i="7"/>
  <c r="F22" i="6"/>
  <c r="S20" i="7"/>
  <c r="H22" i="6"/>
  <c r="F17" i="13"/>
  <c r="G17" i="13"/>
  <c r="H17" i="13"/>
  <c r="Q21" i="7"/>
  <c r="F23" i="6"/>
  <c r="S21" i="7"/>
  <c r="H23" i="6"/>
  <c r="F18" i="13"/>
  <c r="G18" i="13"/>
  <c r="H18" i="13"/>
  <c r="Q22" i="7"/>
  <c r="F24" i="6"/>
  <c r="S22" i="7"/>
  <c r="H24" i="6"/>
  <c r="F19" i="13"/>
  <c r="G19" i="13"/>
  <c r="H19" i="13"/>
  <c r="Q23" i="7"/>
  <c r="F25" i="6"/>
  <c r="S23" i="7"/>
  <c r="H25" i="6"/>
  <c r="F20" i="13"/>
  <c r="G20" i="13"/>
  <c r="H20" i="13"/>
  <c r="M20" i="13"/>
  <c r="Q24" i="7"/>
  <c r="F26" i="6"/>
  <c r="S24" i="7"/>
  <c r="H26" i="6"/>
  <c r="F21" i="13"/>
  <c r="G21" i="13"/>
  <c r="H21" i="13"/>
  <c r="Q61" i="7"/>
  <c r="F63" i="6"/>
  <c r="S61" i="7"/>
  <c r="H63" i="6"/>
  <c r="F58" i="13"/>
  <c r="G58" i="13"/>
  <c r="H58" i="13"/>
  <c r="Q62" i="7"/>
  <c r="F64" i="6"/>
  <c r="S62" i="7"/>
  <c r="H64" i="6"/>
  <c r="F59" i="13"/>
  <c r="G59" i="13"/>
  <c r="H59" i="13"/>
  <c r="Q63" i="7"/>
  <c r="F65" i="6"/>
  <c r="S63" i="7"/>
  <c r="H65" i="6"/>
  <c r="F60" i="13"/>
  <c r="G60" i="13"/>
  <c r="H60" i="13"/>
  <c r="Q64" i="7"/>
  <c r="F66" i="6"/>
  <c r="S64" i="7"/>
  <c r="H66" i="6"/>
  <c r="F61" i="13"/>
  <c r="G61" i="13"/>
  <c r="H61" i="13"/>
  <c r="Q65" i="7"/>
  <c r="F67" i="6"/>
  <c r="S65" i="7"/>
  <c r="H67" i="6"/>
  <c r="F62" i="13"/>
  <c r="G62" i="13"/>
  <c r="H62" i="13"/>
  <c r="Q66" i="7"/>
  <c r="F68" i="6"/>
  <c r="S66" i="7"/>
  <c r="H68" i="6"/>
  <c r="F63" i="13"/>
  <c r="G63" i="13"/>
  <c r="H63" i="13"/>
  <c r="Q67" i="7"/>
  <c r="F69" i="6"/>
  <c r="S67" i="7"/>
  <c r="H69" i="6"/>
  <c r="F64" i="13"/>
  <c r="G64" i="13"/>
  <c r="H64" i="13"/>
  <c r="M64" i="13"/>
  <c r="Q68" i="7"/>
  <c r="F70" i="6"/>
  <c r="S68" i="7"/>
  <c r="H70" i="6"/>
  <c r="F65" i="13"/>
  <c r="G65" i="13"/>
  <c r="H65" i="13"/>
  <c r="Q69" i="7"/>
  <c r="F71" i="6"/>
  <c r="S69" i="7"/>
  <c r="H71" i="6"/>
  <c r="F66" i="13"/>
  <c r="G66" i="13"/>
  <c r="H66" i="13"/>
  <c r="Q70" i="7"/>
  <c r="F72" i="6"/>
  <c r="S70" i="7"/>
  <c r="H72" i="6"/>
  <c r="F67" i="13"/>
  <c r="G67" i="13"/>
  <c r="H67" i="13"/>
  <c r="Q71" i="7"/>
  <c r="F73" i="6"/>
  <c r="S71" i="7"/>
  <c r="H73" i="6"/>
  <c r="F68" i="13"/>
  <c r="G68" i="13"/>
  <c r="H68" i="13"/>
  <c r="Q72" i="7"/>
  <c r="F74" i="6"/>
  <c r="S72" i="7"/>
  <c r="H74" i="6"/>
  <c r="F69" i="13"/>
  <c r="G69" i="13"/>
  <c r="H69" i="13"/>
  <c r="Q73" i="7"/>
  <c r="F75" i="6"/>
  <c r="S73" i="7"/>
  <c r="H75" i="6"/>
  <c r="F70" i="13"/>
  <c r="G70" i="13"/>
  <c r="H70" i="13"/>
  <c r="M70" i="13"/>
  <c r="Q74" i="7"/>
  <c r="F76" i="6"/>
  <c r="S74" i="7"/>
  <c r="H76" i="6"/>
  <c r="F71" i="13"/>
  <c r="G71" i="13"/>
  <c r="H71" i="13"/>
  <c r="Q75" i="7"/>
  <c r="F77" i="6"/>
  <c r="S75" i="7"/>
  <c r="H77" i="6"/>
  <c r="F72" i="13"/>
  <c r="G72" i="13"/>
  <c r="H72" i="13"/>
  <c r="Q76" i="7"/>
  <c r="F78" i="6"/>
  <c r="S76" i="7"/>
  <c r="H78" i="6"/>
  <c r="F73" i="13"/>
  <c r="G73" i="13"/>
  <c r="H73" i="13"/>
  <c r="Q77" i="7"/>
  <c r="F79" i="6"/>
  <c r="S77" i="7"/>
  <c r="H79" i="6"/>
  <c r="F74" i="13"/>
  <c r="G74" i="13"/>
  <c r="H74" i="13"/>
  <c r="Q78" i="7"/>
  <c r="F80" i="6"/>
  <c r="S78" i="7"/>
  <c r="H80" i="6"/>
  <c r="F75" i="13"/>
  <c r="G75" i="13"/>
  <c r="H75" i="13"/>
  <c r="Q79" i="7"/>
  <c r="F81" i="6"/>
  <c r="S79" i="7"/>
  <c r="H81" i="6"/>
  <c r="F76" i="13"/>
  <c r="G76" i="13"/>
  <c r="H76" i="13"/>
  <c r="Q80" i="7"/>
  <c r="F82" i="6"/>
  <c r="S80" i="7"/>
  <c r="H82" i="6"/>
  <c r="F77" i="13"/>
  <c r="G77" i="13"/>
  <c r="H77" i="13"/>
  <c r="Q81" i="7"/>
  <c r="F83" i="6"/>
  <c r="S81" i="7"/>
  <c r="H83" i="6"/>
  <c r="F78" i="13"/>
  <c r="G78" i="13"/>
  <c r="H78" i="13"/>
  <c r="Q82" i="7"/>
  <c r="F84" i="6"/>
  <c r="S82" i="7"/>
  <c r="H84" i="6"/>
  <c r="F79" i="13"/>
  <c r="G79" i="13"/>
  <c r="H79" i="13"/>
  <c r="M79" i="13"/>
  <c r="Q83" i="7"/>
  <c r="F85" i="6"/>
  <c r="S83" i="7"/>
  <c r="H85" i="6"/>
  <c r="F80" i="13"/>
  <c r="G80" i="13"/>
  <c r="H80" i="13"/>
  <c r="M80" i="13"/>
  <c r="Q84" i="7"/>
  <c r="F86" i="6"/>
  <c r="S84" i="7"/>
  <c r="H86" i="6"/>
  <c r="F81" i="13"/>
  <c r="G81" i="13"/>
  <c r="H81" i="13"/>
  <c r="Q85" i="7"/>
  <c r="F87" i="6"/>
  <c r="S85" i="7"/>
  <c r="H87" i="6"/>
  <c r="F82" i="13"/>
  <c r="G82" i="13"/>
  <c r="H82" i="13"/>
  <c r="Q86" i="7"/>
  <c r="F88" i="6"/>
  <c r="S86" i="7"/>
  <c r="H88" i="6"/>
  <c r="F83" i="13"/>
  <c r="G83" i="13"/>
  <c r="H83" i="13"/>
  <c r="Q87" i="7"/>
  <c r="F89" i="6"/>
  <c r="S87" i="7"/>
  <c r="H89" i="6"/>
  <c r="F84" i="13"/>
  <c r="G84" i="13"/>
  <c r="H84" i="13"/>
  <c r="Q88" i="7"/>
  <c r="F90" i="6"/>
  <c r="S88" i="7"/>
  <c r="H90" i="6"/>
  <c r="F85" i="13"/>
  <c r="G85" i="13"/>
  <c r="H85" i="13"/>
  <c r="Q89" i="7"/>
  <c r="F91" i="6"/>
  <c r="S89" i="7"/>
  <c r="H91" i="6"/>
  <c r="F86" i="13"/>
  <c r="G86" i="13"/>
  <c r="H86" i="13"/>
  <c r="Q90" i="7"/>
  <c r="F87" i="13"/>
  <c r="Q91" i="7"/>
  <c r="F88" i="13"/>
  <c r="Q92" i="7"/>
  <c r="F89" i="13"/>
  <c r="Q93" i="7"/>
  <c r="F90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F92" i="6"/>
  <c r="S90" i="7"/>
  <c r="H92" i="6"/>
  <c r="G87" i="13"/>
  <c r="I87" i="13"/>
  <c r="F93" i="6"/>
  <c r="S91" i="7"/>
  <c r="H93" i="6"/>
  <c r="G88" i="13"/>
  <c r="I88" i="13"/>
  <c r="F94" i="6"/>
  <c r="S92" i="7"/>
  <c r="H94" i="6"/>
  <c r="G89" i="13"/>
  <c r="I89" i="13"/>
  <c r="F95" i="6"/>
  <c r="S93" i="7"/>
  <c r="H95" i="6"/>
  <c r="G90" i="13"/>
  <c r="I90" i="13"/>
  <c r="Q94" i="7"/>
  <c r="F96" i="6"/>
  <c r="S94" i="7"/>
  <c r="H96" i="6"/>
  <c r="F91" i="13"/>
  <c r="G91" i="13"/>
  <c r="I91" i="13"/>
  <c r="Q95" i="7"/>
  <c r="F97" i="6"/>
  <c r="S95" i="7"/>
  <c r="H97" i="6"/>
  <c r="F92" i="13"/>
  <c r="G92" i="13"/>
  <c r="I92" i="13"/>
  <c r="Q96" i="7"/>
  <c r="F98" i="6"/>
  <c r="S96" i="7"/>
  <c r="H98" i="6"/>
  <c r="F93" i="13"/>
  <c r="G93" i="13"/>
  <c r="I93" i="13"/>
  <c r="Q97" i="7"/>
  <c r="F99" i="6"/>
  <c r="S97" i="7"/>
  <c r="H99" i="6"/>
  <c r="F94" i="13"/>
  <c r="G94" i="13"/>
  <c r="I94" i="13"/>
  <c r="Q98" i="7"/>
  <c r="F100" i="6"/>
  <c r="S98" i="7"/>
  <c r="H100" i="6"/>
  <c r="F95" i="13"/>
  <c r="G95" i="13"/>
  <c r="I95" i="13"/>
  <c r="Q99" i="7"/>
  <c r="F101" i="6"/>
  <c r="S99" i="7"/>
  <c r="H101" i="6"/>
  <c r="F96" i="13"/>
  <c r="G96" i="13"/>
  <c r="I96" i="13"/>
  <c r="Q100" i="7"/>
  <c r="F102" i="6"/>
  <c r="S100" i="7"/>
  <c r="H102" i="6"/>
  <c r="F97" i="13"/>
  <c r="G97" i="13"/>
  <c r="I97" i="13"/>
  <c r="Q101" i="7"/>
  <c r="F103" i="6"/>
  <c r="S101" i="7"/>
  <c r="H103" i="6"/>
  <c r="F98" i="13"/>
  <c r="G98" i="13"/>
  <c r="I98" i="13"/>
  <c r="Q102" i="7"/>
  <c r="F104" i="6"/>
  <c r="S102" i="7"/>
  <c r="H104" i="6"/>
  <c r="F99" i="13"/>
  <c r="G99" i="13"/>
  <c r="I99" i="13"/>
  <c r="Q103" i="7"/>
  <c r="F105" i="6"/>
  <c r="S103" i="7"/>
  <c r="H105" i="6"/>
  <c r="F100" i="13"/>
  <c r="G100" i="13"/>
  <c r="I100" i="13"/>
  <c r="Q104" i="7"/>
  <c r="F106" i="6"/>
  <c r="S104" i="7"/>
  <c r="H106" i="6"/>
  <c r="F101" i="13"/>
  <c r="G101" i="13"/>
  <c r="I101" i="13"/>
  <c r="Q105" i="7"/>
  <c r="F107" i="6"/>
  <c r="S105" i="7"/>
  <c r="H107" i="6"/>
  <c r="F102" i="13"/>
  <c r="G102" i="13"/>
  <c r="I102" i="13"/>
  <c r="Q106" i="7"/>
  <c r="F108" i="6"/>
  <c r="S106" i="7"/>
  <c r="H108" i="6"/>
  <c r="F103" i="13"/>
  <c r="G103" i="13"/>
  <c r="I103" i="13"/>
  <c r="Q107" i="7"/>
  <c r="F109" i="6"/>
  <c r="S107" i="7"/>
  <c r="H109" i="6"/>
  <c r="F104" i="13"/>
  <c r="G104" i="13"/>
  <c r="I104" i="13"/>
  <c r="Q108" i="7"/>
  <c r="F110" i="6"/>
  <c r="S108" i="7"/>
  <c r="H110" i="6"/>
  <c r="F105" i="13"/>
  <c r="G105" i="13"/>
  <c r="I105" i="13"/>
  <c r="Q109" i="7"/>
  <c r="F111" i="6"/>
  <c r="S109" i="7"/>
  <c r="H111" i="6"/>
  <c r="F106" i="13"/>
  <c r="G106" i="13"/>
  <c r="I106" i="13"/>
  <c r="Q110" i="7"/>
  <c r="F112" i="6"/>
  <c r="S110" i="7"/>
  <c r="H112" i="6"/>
  <c r="F107" i="13"/>
  <c r="G107" i="13"/>
  <c r="I107" i="13"/>
  <c r="Q111" i="7"/>
  <c r="F113" i="6"/>
  <c r="S111" i="7"/>
  <c r="H113" i="6"/>
  <c r="F108" i="13"/>
  <c r="G108" i="13"/>
  <c r="I108" i="13"/>
  <c r="Q112" i="7"/>
  <c r="F114" i="6"/>
  <c r="S112" i="7"/>
  <c r="H114" i="6"/>
  <c r="F109" i="13"/>
  <c r="G109" i="13"/>
  <c r="I109" i="13"/>
  <c r="Q113" i="7"/>
  <c r="F115" i="6"/>
  <c r="S113" i="7"/>
  <c r="H115" i="6"/>
  <c r="F110" i="13"/>
  <c r="G110" i="13"/>
  <c r="I110" i="13"/>
  <c r="Q114" i="7"/>
  <c r="F116" i="6"/>
  <c r="S114" i="7"/>
  <c r="H116" i="6"/>
  <c r="F111" i="13"/>
  <c r="G111" i="13"/>
  <c r="I111" i="13"/>
  <c r="Q115" i="7"/>
  <c r="F117" i="6"/>
  <c r="S115" i="7"/>
  <c r="H117" i="6"/>
  <c r="F112" i="13"/>
  <c r="G112" i="13"/>
  <c r="I112" i="13"/>
  <c r="Q116" i="7"/>
  <c r="F118" i="6"/>
  <c r="S116" i="7"/>
  <c r="H118" i="6"/>
  <c r="F113" i="13"/>
  <c r="G113" i="13"/>
  <c r="I113" i="13"/>
  <c r="Q117" i="7"/>
  <c r="F119" i="6"/>
  <c r="S117" i="7"/>
  <c r="H119" i="6"/>
  <c r="F114" i="13"/>
  <c r="G114" i="13"/>
  <c r="I114" i="13"/>
  <c r="Q118" i="7"/>
  <c r="F120" i="6"/>
  <c r="S118" i="7"/>
  <c r="H120" i="6"/>
  <c r="F115" i="13"/>
  <c r="G115" i="13"/>
  <c r="I115" i="13"/>
  <c r="Q119" i="7"/>
  <c r="F121" i="6"/>
  <c r="S119" i="7"/>
  <c r="H121" i="6"/>
  <c r="F116" i="13"/>
  <c r="G116" i="13"/>
  <c r="I116" i="13"/>
  <c r="Q120" i="7"/>
  <c r="F122" i="6"/>
  <c r="S120" i="7"/>
  <c r="H122" i="6"/>
  <c r="F117" i="13"/>
  <c r="G117" i="13"/>
  <c r="I117" i="13"/>
  <c r="Q121" i="7"/>
  <c r="F123" i="6"/>
  <c r="S121" i="7"/>
  <c r="H123" i="6"/>
  <c r="F118" i="13"/>
  <c r="G118" i="13"/>
  <c r="I118" i="13"/>
  <c r="Q122" i="7"/>
  <c r="F124" i="6"/>
  <c r="S122" i="7"/>
  <c r="H124" i="6"/>
  <c r="F119" i="13"/>
  <c r="G119" i="13"/>
  <c r="I119" i="13"/>
  <c r="Q123" i="7"/>
  <c r="F125" i="6"/>
  <c r="S123" i="7"/>
  <c r="H125" i="6"/>
  <c r="F120" i="13"/>
  <c r="G120" i="13"/>
  <c r="I120" i="13"/>
  <c r="Q124" i="7"/>
  <c r="F126" i="6"/>
  <c r="S124" i="7"/>
  <c r="H126" i="6"/>
  <c r="F121" i="13"/>
  <c r="G121" i="13"/>
  <c r="I121" i="13"/>
  <c r="Q125" i="7"/>
  <c r="F127" i="6"/>
  <c r="S125" i="7"/>
  <c r="H127" i="6"/>
  <c r="F122" i="13"/>
  <c r="G122" i="13"/>
  <c r="I122" i="13"/>
  <c r="Q126" i="7"/>
  <c r="F128" i="6"/>
  <c r="S126" i="7"/>
  <c r="H128" i="6"/>
  <c r="F123" i="13"/>
  <c r="G123" i="13"/>
  <c r="I123" i="13"/>
  <c r="Q127" i="7"/>
  <c r="F129" i="6"/>
  <c r="S127" i="7"/>
  <c r="H129" i="6"/>
  <c r="F124" i="13"/>
  <c r="G124" i="13"/>
  <c r="I124" i="13"/>
  <c r="Q128" i="7"/>
  <c r="F130" i="6"/>
  <c r="S128" i="7"/>
  <c r="H130" i="6"/>
  <c r="F125" i="13"/>
  <c r="G125" i="13"/>
  <c r="I125" i="13"/>
  <c r="Q129" i="7"/>
  <c r="F131" i="6"/>
  <c r="S129" i="7"/>
  <c r="H131" i="6"/>
  <c r="F126" i="13"/>
  <c r="G126" i="13"/>
  <c r="I126" i="13"/>
  <c r="Q130" i="7"/>
  <c r="F132" i="6"/>
  <c r="S130" i="7"/>
  <c r="H132" i="6"/>
  <c r="F127" i="13"/>
  <c r="G127" i="13"/>
  <c r="I127" i="13"/>
  <c r="Q131" i="7"/>
  <c r="F133" i="6"/>
  <c r="S131" i="7"/>
  <c r="H133" i="6"/>
  <c r="F128" i="13"/>
  <c r="G128" i="13"/>
  <c r="I128" i="13"/>
  <c r="Q132" i="7"/>
  <c r="F134" i="6"/>
  <c r="S132" i="7"/>
  <c r="H134" i="6"/>
  <c r="F129" i="13"/>
  <c r="G129" i="13"/>
  <c r="I129" i="13"/>
  <c r="Q133" i="7"/>
  <c r="F135" i="6"/>
  <c r="S133" i="7"/>
  <c r="H135" i="6"/>
  <c r="F130" i="13"/>
  <c r="G130" i="13"/>
  <c r="I130" i="13"/>
  <c r="Q134" i="7"/>
  <c r="F136" i="6"/>
  <c r="S134" i="7"/>
  <c r="H136" i="6"/>
  <c r="F131" i="13"/>
  <c r="G131" i="13"/>
  <c r="I131" i="13"/>
  <c r="Q135" i="7"/>
  <c r="F137" i="6"/>
  <c r="S135" i="7"/>
  <c r="H137" i="6"/>
  <c r="F132" i="13"/>
  <c r="G132" i="13"/>
  <c r="I132" i="13"/>
  <c r="Q136" i="7"/>
  <c r="F138" i="6"/>
  <c r="S136" i="7"/>
  <c r="H138" i="6"/>
  <c r="F133" i="13"/>
  <c r="G133" i="13"/>
  <c r="I133" i="13"/>
  <c r="Q137" i="7"/>
  <c r="F139" i="6"/>
  <c r="S137" i="7"/>
  <c r="H139" i="6"/>
  <c r="F134" i="13"/>
  <c r="G134" i="13"/>
  <c r="I134" i="13"/>
  <c r="Q138" i="7"/>
  <c r="F140" i="6"/>
  <c r="S138" i="7"/>
  <c r="H140" i="6"/>
  <c r="F135" i="13"/>
  <c r="G135" i="13"/>
  <c r="I135" i="13"/>
  <c r="Q139" i="7"/>
  <c r="F141" i="6"/>
  <c r="S139" i="7"/>
  <c r="H141" i="6"/>
  <c r="F136" i="13"/>
  <c r="G136" i="13"/>
  <c r="I136" i="13"/>
  <c r="Q140" i="7"/>
  <c r="F142" i="6"/>
  <c r="S140" i="7"/>
  <c r="H142" i="6"/>
  <c r="F137" i="13"/>
  <c r="G137" i="13"/>
  <c r="I137" i="13"/>
  <c r="Q141" i="7"/>
  <c r="F143" i="6"/>
  <c r="S141" i="7"/>
  <c r="H143" i="6"/>
  <c r="F138" i="13"/>
  <c r="G138" i="13"/>
  <c r="I138" i="13"/>
  <c r="Q142" i="7"/>
  <c r="F144" i="6"/>
  <c r="S142" i="7"/>
  <c r="H144" i="6"/>
  <c r="F139" i="13"/>
  <c r="G139" i="13"/>
  <c r="I139" i="13"/>
  <c r="Q143" i="7"/>
  <c r="F145" i="6"/>
  <c r="S143" i="7"/>
  <c r="H145" i="6"/>
  <c r="F140" i="13"/>
  <c r="G140" i="13"/>
  <c r="I140" i="13"/>
  <c r="Q144" i="7"/>
  <c r="F146" i="6"/>
  <c r="S144" i="7"/>
  <c r="H146" i="6"/>
  <c r="F141" i="13"/>
  <c r="G141" i="13"/>
  <c r="I141" i="13"/>
  <c r="Q145" i="7"/>
  <c r="F147" i="6"/>
  <c r="S145" i="7"/>
  <c r="H147" i="6"/>
  <c r="F142" i="13"/>
  <c r="G142" i="13"/>
  <c r="I142" i="13"/>
  <c r="Q146" i="7"/>
  <c r="F148" i="6"/>
  <c r="S146" i="7"/>
  <c r="H148" i="6"/>
  <c r="F143" i="13"/>
  <c r="G143" i="13"/>
  <c r="I143" i="13"/>
  <c r="Q147" i="7"/>
  <c r="F149" i="6"/>
  <c r="S147" i="7"/>
  <c r="H149" i="6"/>
  <c r="F144" i="13"/>
  <c r="G144" i="13"/>
  <c r="I144" i="13"/>
  <c r="Q148" i="7"/>
  <c r="F150" i="6"/>
  <c r="S148" i="7"/>
  <c r="H150" i="6"/>
  <c r="F145" i="13"/>
  <c r="G145" i="13"/>
  <c r="I145" i="13"/>
  <c r="Q149" i="7"/>
  <c r="F151" i="6"/>
  <c r="S149" i="7"/>
  <c r="H151" i="6"/>
  <c r="F146" i="13"/>
  <c r="G146" i="13"/>
  <c r="I146" i="13"/>
  <c r="Q150" i="7"/>
  <c r="F152" i="6"/>
  <c r="S150" i="7"/>
  <c r="H152" i="6"/>
  <c r="F147" i="13"/>
  <c r="G147" i="13"/>
  <c r="I147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8" i="3"/>
  <c r="K94" i="13"/>
  <c r="M96" i="13"/>
  <c r="K102" i="13"/>
  <c r="G105" i="7"/>
  <c r="H105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I105" i="7"/>
  <c r="L102" i="13"/>
  <c r="K110" i="13"/>
  <c r="M111" i="13"/>
  <c r="M112" i="13"/>
  <c r="K118" i="13"/>
  <c r="H19" i="3"/>
  <c r="M128" i="13"/>
  <c r="M132" i="13"/>
  <c r="M133" i="13"/>
  <c r="M134" i="13"/>
  <c r="M136" i="13"/>
  <c r="M137" i="13"/>
  <c r="M138" i="13"/>
  <c r="M140" i="13"/>
  <c r="M141" i="13"/>
  <c r="K142" i="13"/>
  <c r="K286" i="13"/>
  <c r="G145" i="7"/>
  <c r="H14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I145" i="7"/>
  <c r="L286" i="13"/>
  <c r="M144" i="13"/>
  <c r="M146" i="13"/>
  <c r="M147" i="13"/>
  <c r="K7" i="13"/>
  <c r="H10" i="7"/>
  <c r="I10" i="7"/>
  <c r="L7" i="13"/>
  <c r="N8" i="13"/>
  <c r="N14" i="13"/>
  <c r="N16" i="13"/>
  <c r="N58" i="13"/>
  <c r="K59" i="13"/>
  <c r="H62" i="7"/>
  <c r="I62" i="7"/>
  <c r="L59" i="13"/>
  <c r="N60" i="13"/>
  <c r="N64" i="13"/>
  <c r="H12" i="3"/>
  <c r="N68" i="13"/>
  <c r="K75" i="13"/>
  <c r="H78" i="7"/>
  <c r="I78" i="7"/>
  <c r="L75" i="13"/>
  <c r="K76" i="13"/>
  <c r="K220" i="13"/>
  <c r="H79" i="7"/>
  <c r="I79" i="7"/>
  <c r="L220" i="13"/>
  <c r="K83" i="13"/>
  <c r="K227" i="13"/>
  <c r="H86" i="7"/>
  <c r="I86" i="7"/>
  <c r="L227" i="13"/>
  <c r="N84" i="13"/>
  <c r="N88" i="13"/>
  <c r="N90" i="13"/>
  <c r="K91" i="13"/>
  <c r="K235" i="13"/>
  <c r="H94" i="7"/>
  <c r="I94" i="7"/>
  <c r="L235" i="13"/>
  <c r="N92" i="13"/>
  <c r="N98" i="13"/>
  <c r="N99" i="13"/>
  <c r="N100" i="13"/>
  <c r="N105" i="13"/>
  <c r="N106" i="13"/>
  <c r="K107" i="13"/>
  <c r="N108" i="13"/>
  <c r="N113" i="13"/>
  <c r="N114" i="13"/>
  <c r="K115" i="13"/>
  <c r="K259" i="13"/>
  <c r="H118" i="7"/>
  <c r="I118" i="7"/>
  <c r="L259" i="13"/>
  <c r="K116" i="13"/>
  <c r="K260" i="13"/>
  <c r="H119" i="7"/>
  <c r="I119" i="7"/>
  <c r="L260" i="13"/>
  <c r="N117" i="13"/>
  <c r="N119" i="13"/>
  <c r="N120" i="13"/>
  <c r="N121" i="13"/>
  <c r="K122" i="13"/>
  <c r="K123" i="13"/>
  <c r="K267" i="13"/>
  <c r="H126" i="7"/>
  <c r="I126" i="7"/>
  <c r="L267" i="13"/>
  <c r="N124" i="13"/>
  <c r="N125" i="13"/>
  <c r="N128" i="13"/>
  <c r="N129" i="13"/>
  <c r="N130" i="13"/>
  <c r="K131" i="13"/>
  <c r="H134" i="7"/>
  <c r="I134" i="7"/>
  <c r="L131" i="13"/>
  <c r="K132" i="13"/>
  <c r="H135" i="7"/>
  <c r="I135" i="7"/>
  <c r="L132" i="13"/>
  <c r="N133" i="13"/>
  <c r="N134" i="13"/>
  <c r="N135" i="13"/>
  <c r="N136" i="13"/>
  <c r="N137" i="13"/>
  <c r="N138" i="13"/>
  <c r="N139" i="13"/>
  <c r="N140" i="13"/>
  <c r="N141" i="13"/>
  <c r="N142" i="13"/>
  <c r="N144" i="13"/>
  <c r="N145" i="13"/>
  <c r="N146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U22" i="3"/>
  <c r="K4" i="3" a="1"/>
  <c r="K4" i="3"/>
  <c r="K5" i="3" a="1"/>
  <c r="K5" i="3"/>
  <c r="K6" i="3" a="1"/>
  <c r="K7" i="3" a="1"/>
  <c r="K8" i="3" a="1"/>
  <c r="K9" i="3" a="1"/>
  <c r="K10" i="3" a="1"/>
  <c r="K11" i="3" a="1"/>
  <c r="K12" i="3" a="1"/>
  <c r="K13" i="3" a="1"/>
  <c r="K14" i="3" a="1"/>
  <c r="K15" i="3" a="1"/>
  <c r="K16" i="3" a="1"/>
  <c r="K17" i="3" a="1"/>
  <c r="K18" i="3" a="1"/>
  <c r="K19" i="3" a="1"/>
  <c r="K20" i="3" a="1"/>
  <c r="K21" i="3" a="1"/>
  <c r="K22" i="3" a="1"/>
  <c r="K23" i="3" a="1"/>
  <c r="K24" i="3" a="1"/>
  <c r="K25" i="3" a="1"/>
  <c r="K26" i="3" a="1"/>
  <c r="K27" i="3" a="1"/>
  <c r="K28" i="3" a="1"/>
  <c r="K29" i="3" a="1"/>
  <c r="K30" i="3" a="1"/>
  <c r="K31" i="3" a="1"/>
  <c r="K32" i="3" a="1"/>
  <c r="K33" i="3" a="1"/>
  <c r="K34" i="3" a="1"/>
  <c r="K35" i="3" a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40" i="3"/>
  <c r="P23" i="6"/>
  <c r="G10" i="14"/>
  <c r="AR16" i="14"/>
  <c r="E16" i="14"/>
  <c r="AQ26" i="14"/>
  <c r="E28" i="14"/>
  <c r="AQ35" i="14"/>
  <c r="G36" i="14"/>
  <c r="AQ41" i="14"/>
  <c r="E42" i="14"/>
  <c r="E46" i="14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G146" i="7"/>
  <c r="G147" i="7"/>
  <c r="G148" i="7"/>
  <c r="G149" i="7"/>
  <c r="G150" i="7"/>
  <c r="K31" i="13"/>
  <c r="H34" i="7"/>
  <c r="I34" i="7"/>
  <c r="L31" i="13"/>
  <c r="H74" i="7"/>
  <c r="I74" i="7"/>
  <c r="H113" i="7"/>
  <c r="I113" i="7"/>
  <c r="K69" i="13"/>
  <c r="K213" i="13"/>
  <c r="H72" i="7"/>
  <c r="I72" i="7"/>
  <c r="L213" i="13"/>
  <c r="K36" i="13"/>
  <c r="K180" i="13"/>
  <c r="H39" i="7"/>
  <c r="I39" i="7"/>
  <c r="L180" i="13"/>
  <c r="K21" i="13"/>
  <c r="H24" i="7"/>
  <c r="I24" i="7"/>
  <c r="L21" i="13"/>
  <c r="H7" i="7"/>
  <c r="I7" i="7"/>
  <c r="K105" i="13"/>
  <c r="H108" i="7"/>
  <c r="I108" i="7"/>
  <c r="L105" i="13"/>
  <c r="K65" i="13"/>
  <c r="H68" i="7"/>
  <c r="I68" i="7"/>
  <c r="L65" i="13"/>
  <c r="H23" i="7"/>
  <c r="I23" i="7"/>
  <c r="H110" i="7"/>
  <c r="I110" i="7"/>
  <c r="K117" i="13"/>
  <c r="H120" i="7"/>
  <c r="I120" i="7"/>
  <c r="L117" i="13"/>
  <c r="K133" i="13"/>
  <c r="H136" i="7"/>
  <c r="I136" i="7"/>
  <c r="L133" i="13"/>
  <c r="K5" i="13"/>
  <c r="H8" i="7"/>
  <c r="I8" i="7"/>
  <c r="L5" i="13"/>
  <c r="H91" i="7"/>
  <c r="I91" i="7"/>
  <c r="H139" i="7"/>
  <c r="I139" i="7"/>
  <c r="K121" i="13"/>
  <c r="H124" i="7"/>
  <c r="I124" i="7"/>
  <c r="L121" i="13"/>
  <c r="H87" i="7"/>
  <c r="I87" i="7"/>
  <c r="H22" i="7"/>
  <c r="I22" i="7"/>
  <c r="H90" i="7"/>
  <c r="I90" i="7"/>
  <c r="H57" i="7"/>
  <c r="I57" i="7"/>
  <c r="H121" i="7"/>
  <c r="I121" i="7"/>
  <c r="H103" i="7"/>
  <c r="I103" i="7"/>
  <c r="H106" i="7"/>
  <c r="I106" i="7"/>
  <c r="H138" i="7"/>
  <c r="I138" i="7"/>
  <c r="H11" i="7"/>
  <c r="I11" i="7"/>
  <c r="K56" i="13"/>
  <c r="H59" i="7"/>
  <c r="I59" i="7"/>
  <c r="L56" i="13"/>
  <c r="K109" i="13"/>
  <c r="K253" i="13"/>
  <c r="H112" i="7"/>
  <c r="I112" i="7"/>
  <c r="L253" i="13"/>
  <c r="K137" i="13"/>
  <c r="H140" i="7"/>
  <c r="I140" i="7"/>
  <c r="L137" i="13"/>
  <c r="K52" i="13"/>
  <c r="K196" i="13"/>
  <c r="H55" i="7"/>
  <c r="I55" i="7"/>
  <c r="L196" i="13"/>
  <c r="K101" i="13"/>
  <c r="K245" i="13"/>
  <c r="H104" i="7"/>
  <c r="I104" i="7"/>
  <c r="L245" i="13"/>
  <c r="H71" i="7"/>
  <c r="I71" i="7"/>
  <c r="K85" i="13"/>
  <c r="H88" i="7"/>
  <c r="I88" i="7"/>
  <c r="L85" i="13"/>
  <c r="H19" i="7"/>
  <c r="I19" i="7"/>
  <c r="H109" i="7"/>
  <c r="I109" i="7"/>
  <c r="H75" i="7"/>
  <c r="I75" i="7"/>
  <c r="K93" i="13"/>
  <c r="H96" i="7"/>
  <c r="I96" i="7"/>
  <c r="L93" i="13"/>
  <c r="K73" i="13"/>
  <c r="H76" i="7"/>
  <c r="I76" i="7"/>
  <c r="L73" i="13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H42" i="7"/>
  <c r="I42" i="7"/>
  <c r="L183" i="13"/>
  <c r="H61" i="7"/>
  <c r="I61" i="7"/>
  <c r="K48" i="13"/>
  <c r="H51" i="7"/>
  <c r="I51" i="7"/>
  <c r="L48" i="13"/>
  <c r="H95" i="7"/>
  <c r="I95" i="7"/>
  <c r="H98" i="7"/>
  <c r="I98" i="7"/>
  <c r="K125" i="13"/>
  <c r="K269" i="13"/>
  <c r="H128" i="7"/>
  <c r="I128" i="7"/>
  <c r="L269" i="13"/>
  <c r="H141" i="7"/>
  <c r="I141" i="7"/>
  <c r="H56" i="7"/>
  <c r="I56" i="7"/>
  <c r="H17" i="7"/>
  <c r="I17" i="7"/>
  <c r="K23" i="13"/>
  <c r="K167" i="13"/>
  <c r="H26" i="7"/>
  <c r="I26" i="7"/>
  <c r="L167" i="13"/>
  <c r="H36" i="7"/>
  <c r="I36" i="7"/>
  <c r="H13" i="7"/>
  <c r="I13" i="7"/>
  <c r="H43" i="7"/>
  <c r="I43" i="7"/>
  <c r="H66" i="7"/>
  <c r="I66" i="7"/>
  <c r="K141" i="13"/>
  <c r="K285" i="13"/>
  <c r="H144" i="7"/>
  <c r="I144" i="7"/>
  <c r="L285" i="13"/>
  <c r="H81" i="7"/>
  <c r="I81" i="7"/>
  <c r="H137" i="7"/>
  <c r="I137" i="7"/>
  <c r="H60" i="7"/>
  <c r="I60" i="7"/>
  <c r="H122" i="7"/>
  <c r="I122" i="7"/>
  <c r="H9" i="7"/>
  <c r="I9" i="7"/>
  <c r="K27" i="13"/>
  <c r="H30" i="7"/>
  <c r="I30" i="7"/>
  <c r="H89" i="7"/>
  <c r="I89" i="7"/>
  <c r="H102" i="7"/>
  <c r="I102" i="7"/>
  <c r="H123" i="7"/>
  <c r="I123" i="7"/>
  <c r="K35" i="13"/>
  <c r="H38" i="7"/>
  <c r="I38" i="7"/>
  <c r="L35" i="13"/>
  <c r="H101" i="7"/>
  <c r="I101" i="7"/>
  <c r="K61" i="13"/>
  <c r="H64" i="7"/>
  <c r="I64" i="7"/>
  <c r="L61" i="13"/>
  <c r="H18" i="7"/>
  <c r="I18" i="7"/>
  <c r="K13" i="13"/>
  <c r="K157" i="13"/>
  <c r="H16" i="7"/>
  <c r="I16" i="7"/>
  <c r="L157" i="13"/>
  <c r="H33" i="7"/>
  <c r="I33" i="7"/>
  <c r="H147" i="7"/>
  <c r="I147" i="7"/>
  <c r="H50" i="7"/>
  <c r="I50" i="7"/>
  <c r="H83" i="7"/>
  <c r="I83" i="7"/>
  <c r="H14" i="7"/>
  <c r="I14" i="7"/>
  <c r="K113" i="13"/>
  <c r="K257" i="13"/>
  <c r="H116" i="7"/>
  <c r="I116" i="7"/>
  <c r="L257" i="13"/>
  <c r="K89" i="13"/>
  <c r="K233" i="13"/>
  <c r="H92" i="7"/>
  <c r="I92" i="7"/>
  <c r="L233" i="13"/>
  <c r="H52" i="7"/>
  <c r="I52" i="7"/>
  <c r="H150" i="7"/>
  <c r="I150" i="7"/>
  <c r="K28" i="13"/>
  <c r="H31" i="7"/>
  <c r="I31" i="7"/>
  <c r="L28" i="13"/>
  <c r="H133" i="7"/>
  <c r="I133" i="7"/>
  <c r="K32" i="13"/>
  <c r="H35" i="7"/>
  <c r="I35" i="7"/>
  <c r="L32" i="13"/>
  <c r="H67" i="7"/>
  <c r="I67" i="7"/>
  <c r="K45" i="13"/>
  <c r="K189" i="13"/>
  <c r="H48" i="7"/>
  <c r="I48" i="7"/>
  <c r="L189" i="13"/>
  <c r="H125" i="7"/>
  <c r="I125" i="7"/>
  <c r="K24" i="13"/>
  <c r="K168" i="13"/>
  <c r="H27" i="7"/>
  <c r="I27" i="7"/>
  <c r="L168" i="13"/>
  <c r="H131" i="7"/>
  <c r="I131" i="7"/>
  <c r="H46" i="7"/>
  <c r="I46" i="7"/>
  <c r="K145" i="13"/>
  <c r="K289" i="13"/>
  <c r="H148" i="7"/>
  <c r="I148" i="7"/>
  <c r="L289" i="13"/>
  <c r="H63" i="7"/>
  <c r="I63" i="7"/>
  <c r="K9" i="13"/>
  <c r="K153" i="13"/>
  <c r="H12" i="7"/>
  <c r="I12" i="7"/>
  <c r="L153" i="13"/>
  <c r="H142" i="7"/>
  <c r="I142" i="7"/>
  <c r="H40" i="7"/>
  <c r="I40" i="7"/>
  <c r="K55" i="13"/>
  <c r="H58" i="7"/>
  <c r="I58" i="7"/>
  <c r="H97" i="7"/>
  <c r="I97" i="7"/>
  <c r="K77" i="13"/>
  <c r="K221" i="13"/>
  <c r="H80" i="7"/>
  <c r="I80" i="7"/>
  <c r="L221" i="13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H44" i="7"/>
  <c r="I44" i="7"/>
  <c r="L41" i="13"/>
  <c r="H146" i="7"/>
  <c r="I146" i="7"/>
  <c r="H130" i="7"/>
  <c r="I130" i="7"/>
  <c r="H85" i="7"/>
  <c r="I85" i="7"/>
  <c r="K17" i="13"/>
  <c r="H20" i="7"/>
  <c r="I20" i="7"/>
  <c r="L17" i="13"/>
  <c r="H32" i="7"/>
  <c r="I32" i="7"/>
  <c r="K97" i="13"/>
  <c r="K241" i="13"/>
  <c r="H100" i="7"/>
  <c r="I100" i="7"/>
  <c r="L241" i="13"/>
  <c r="H70" i="7"/>
  <c r="I70" i="7"/>
  <c r="H111" i="7"/>
  <c r="I111" i="7"/>
  <c r="H117" i="7"/>
  <c r="I117" i="7"/>
  <c r="H149" i="7"/>
  <c r="I149" i="7"/>
  <c r="K81" i="13"/>
  <c r="K225" i="13"/>
  <c r="H84" i="7"/>
  <c r="I84" i="7"/>
  <c r="L225" i="13"/>
  <c r="K51" i="13"/>
  <c r="K195" i="13"/>
  <c r="H54" i="7"/>
  <c r="I54" i="7"/>
  <c r="L195" i="13"/>
  <c r="H115" i="7"/>
  <c r="I115" i="7"/>
  <c r="H99" i="7"/>
  <c r="I99" i="7"/>
  <c r="K44" i="13"/>
  <c r="K188" i="13"/>
  <c r="H47" i="7"/>
  <c r="I47" i="7"/>
  <c r="L188" i="13"/>
  <c r="K129" i="13"/>
  <c r="K273" i="13"/>
  <c r="H132" i="7"/>
  <c r="I132" i="7"/>
  <c r="L273" i="13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L23" i="3" a="1"/>
  <c r="M23" i="3" a="1"/>
  <c r="N23" i="3" a="1"/>
  <c r="L24" i="3" a="1"/>
  <c r="M24" i="3" a="1"/>
  <c r="N24" i="3" a="1"/>
  <c r="L25" i="3" a="1"/>
  <c r="M25" i="3" a="1"/>
  <c r="N25" i="3" a="1"/>
  <c r="L26" i="3" a="1"/>
  <c r="M26" i="3" a="1"/>
  <c r="N26" i="3" a="1"/>
  <c r="L27" i="3" a="1"/>
  <c r="M27" i="3" a="1"/>
  <c r="N27" i="3" a="1"/>
  <c r="L28" i="3" a="1"/>
  <c r="M28" i="3" a="1"/>
  <c r="N28" i="3" a="1"/>
  <c r="L29" i="3" a="1"/>
  <c r="M29" i="3" a="1"/>
  <c r="N29" i="3" a="1"/>
  <c r="L30" i="3" a="1"/>
  <c r="M30" i="3" a="1"/>
  <c r="N30" i="3" a="1"/>
  <c r="L31" i="3" a="1"/>
  <c r="M31" i="3" a="1"/>
  <c r="N31" i="3" a="1"/>
  <c r="L32" i="3" a="1"/>
  <c r="M32" i="3" a="1"/>
  <c r="N32" i="3" a="1"/>
  <c r="L33" i="3" a="1"/>
  <c r="M33" i="3" a="1"/>
  <c r="N33" i="3" a="1"/>
  <c r="L34" i="3" a="1"/>
  <c r="M34" i="3" a="1"/>
  <c r="N34" i="3" a="1"/>
  <c r="N22" i="3" a="1"/>
  <c r="M22" i="3" a="1"/>
  <c r="L22" i="3" a="1"/>
  <c r="N21" i="3" a="1"/>
  <c r="M21" i="3" a="1"/>
  <c r="L21" i="3" a="1"/>
  <c r="N20" i="3" a="1"/>
  <c r="M20" i="3" a="1"/>
  <c r="L20" i="3" a="1"/>
  <c r="N19" i="3" a="1"/>
  <c r="M19" i="3" a="1"/>
  <c r="L19" i="3" a="1"/>
  <c r="N18" i="3" a="1"/>
  <c r="M18" i="3" a="1"/>
  <c r="L18" i="3" a="1"/>
  <c r="N17" i="3" a="1"/>
  <c r="M17" i="3" a="1"/>
  <c r="L17" i="3" a="1"/>
  <c r="N16" i="3" a="1"/>
  <c r="M16" i="3" a="1"/>
  <c r="L16" i="3" a="1"/>
  <c r="N15" i="3" a="1"/>
  <c r="M15" i="3" a="1"/>
  <c r="L15" i="3" a="1"/>
  <c r="N14" i="3" a="1"/>
  <c r="M14" i="3" a="1"/>
  <c r="L14" i="3" a="1"/>
  <c r="N13" i="3" a="1"/>
  <c r="M13" i="3" a="1"/>
  <c r="L13" i="3" a="1"/>
  <c r="N12" i="3" a="1"/>
  <c r="M12" i="3" a="1"/>
  <c r="L12" i="3" a="1"/>
  <c r="N11" i="3" a="1"/>
  <c r="M11" i="3" a="1"/>
  <c r="L11" i="3" a="1"/>
  <c r="N10" i="3" a="1"/>
  <c r="M10" i="3" a="1"/>
  <c r="L10" i="3" a="1"/>
  <c r="N9" i="3" a="1"/>
  <c r="M9" i="3" a="1"/>
  <c r="L9" i="3" a="1"/>
  <c r="N8" i="3" a="1"/>
  <c r="M8" i="3" a="1"/>
  <c r="L8" i="3" a="1"/>
  <c r="N7" i="3" a="1"/>
  <c r="M7" i="3" a="1"/>
  <c r="L7" i="3" a="1"/>
  <c r="N6" i="3" a="1"/>
  <c r="M6" i="3" a="1"/>
  <c r="L6" i="3" a="1"/>
  <c r="N5" i="3" a="1"/>
  <c r="M5" i="3" a="1"/>
  <c r="L5" i="3" a="1"/>
  <c r="N4" i="3" a="1"/>
  <c r="M4" i="3" a="1"/>
  <c r="L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H26" i="3"/>
  <c r="K80" i="13"/>
  <c r="L80" i="13"/>
  <c r="O21" i="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H21" i="3"/>
  <c r="N76" i="13"/>
  <c r="M4" i="13"/>
  <c r="K95" i="13"/>
  <c r="L95" i="13"/>
  <c r="K87" i="13"/>
  <c r="L87" i="13"/>
  <c r="K71" i="13"/>
  <c r="L71" i="13"/>
  <c r="K63" i="13"/>
  <c r="L63" i="13"/>
  <c r="K19" i="13"/>
  <c r="H5" i="3"/>
  <c r="G10" i="3"/>
  <c r="K62" i="13"/>
  <c r="L62" i="13"/>
  <c r="K18" i="13"/>
  <c r="L18" i="13"/>
  <c r="K10" i="13"/>
  <c r="H20" i="3"/>
  <c r="G27" i="3"/>
  <c r="K96" i="13"/>
  <c r="K128" i="13"/>
  <c r="L128" i="13"/>
  <c r="K47" i="13"/>
  <c r="K191" i="13"/>
  <c r="L191" i="13"/>
  <c r="K8" i="13"/>
  <c r="L8" i="13"/>
  <c r="K20" i="13"/>
  <c r="L20" i="13"/>
  <c r="O37" i="3"/>
  <c r="H17" i="3"/>
  <c r="K60" i="13"/>
  <c r="K204" i="13"/>
  <c r="L204" i="13"/>
  <c r="K54" i="13"/>
  <c r="K136" i="13"/>
  <c r="L136" i="13"/>
  <c r="G33" i="3"/>
  <c r="L23" i="13"/>
  <c r="K140" i="13"/>
  <c r="L140" i="13"/>
  <c r="O10" i="3"/>
  <c r="M120" i="13"/>
  <c r="M88" i="13"/>
  <c r="K100" i="13"/>
  <c r="L100" i="13"/>
  <c r="K92" i="13"/>
  <c r="L92" i="13"/>
  <c r="O9" i="3"/>
  <c r="M50" i="13"/>
  <c r="G21" i="3"/>
  <c r="L77" i="13"/>
  <c r="K124" i="13"/>
  <c r="L124" i="13"/>
  <c r="K144" i="13"/>
  <c r="L144" i="13"/>
  <c r="O27" i="3"/>
  <c r="O7" i="3"/>
  <c r="N116" i="13"/>
  <c r="K16" i="13"/>
  <c r="L16" i="13"/>
  <c r="K68" i="13"/>
  <c r="L68" i="13"/>
  <c r="K249" i="13"/>
  <c r="L249" i="13"/>
  <c r="M119" i="13"/>
  <c r="M19" i="13"/>
  <c r="N46" i="13"/>
  <c r="H33" i="3"/>
  <c r="M87" i="13"/>
  <c r="M95" i="13"/>
  <c r="M71" i="13"/>
  <c r="M10" i="13"/>
  <c r="M18" i="13"/>
  <c r="M57" i="13"/>
  <c r="M62" i="13"/>
  <c r="M78" i="13"/>
  <c r="M86" i="13"/>
  <c r="M94" i="13"/>
  <c r="M102" i="13"/>
  <c r="M103" i="13"/>
  <c r="M110" i="13"/>
  <c r="M118" i="13"/>
  <c r="M126" i="13"/>
  <c r="M135" i="13"/>
  <c r="M142" i="13"/>
  <c r="M143" i="13"/>
  <c r="N6" i="13"/>
  <c r="N7" i="13"/>
  <c r="N15" i="13"/>
  <c r="N59" i="13"/>
  <c r="N66" i="13"/>
  <c r="N67" i="13"/>
  <c r="N74" i="13"/>
  <c r="N75" i="13"/>
  <c r="N82" i="13"/>
  <c r="N83" i="13"/>
  <c r="N91" i="13"/>
  <c r="N107" i="13"/>
  <c r="N115" i="13"/>
  <c r="N122" i="13"/>
  <c r="N123" i="13"/>
  <c r="N131" i="13"/>
  <c r="Q30" i="3"/>
  <c r="L30" i="3"/>
  <c r="M30" i="3"/>
  <c r="J30" i="3"/>
  <c r="L97" i="13"/>
  <c r="K78" i="13"/>
  <c r="K222" i="13"/>
  <c r="L222" i="13"/>
  <c r="O13" i="3"/>
  <c r="K147" i="13"/>
  <c r="K291" i="13"/>
  <c r="L291" i="13"/>
  <c r="K208" i="13"/>
  <c r="L208" i="13"/>
  <c r="K237" i="13"/>
  <c r="L237" i="13"/>
  <c r="G36" i="3"/>
  <c r="K248" i="13"/>
  <c r="L248" i="13"/>
  <c r="H10" i="3"/>
  <c r="I10" i="3"/>
  <c r="K172" i="13"/>
  <c r="L172" i="13"/>
  <c r="K163" i="13"/>
  <c r="L163" i="13"/>
  <c r="L19" i="13"/>
  <c r="L103" i="13"/>
  <c r="K247" i="13"/>
  <c r="L247" i="13"/>
  <c r="G20" i="3"/>
  <c r="I20" i="3"/>
  <c r="K53" i="13"/>
  <c r="K197" i="13"/>
  <c r="L197" i="13"/>
  <c r="K46" i="13"/>
  <c r="K190" i="13"/>
  <c r="L190" i="13"/>
  <c r="H31" i="3"/>
  <c r="K33" i="13"/>
  <c r="K177" i="13"/>
  <c r="L177" i="13"/>
  <c r="K29" i="13"/>
  <c r="H39" i="3"/>
  <c r="L72" i="13"/>
  <c r="K229" i="13"/>
  <c r="L229" i="13"/>
  <c r="L31" i="3"/>
  <c r="K99" i="13"/>
  <c r="K243" i="13"/>
  <c r="L243" i="13"/>
  <c r="N38" i="3"/>
  <c r="G24" i="3"/>
  <c r="H24" i="3"/>
  <c r="I24" i="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G13" i="3"/>
  <c r="L81" i="13"/>
  <c r="K40" i="13"/>
  <c r="L52" i="13"/>
  <c r="K70" i="13"/>
  <c r="N37" i="3"/>
  <c r="K126" i="13"/>
  <c r="K165" i="13"/>
  <c r="L165" i="13"/>
  <c r="K37" i="3"/>
  <c r="H34" i="3"/>
  <c r="N36" i="3"/>
  <c r="K82" i="13"/>
  <c r="K226" i="13"/>
  <c r="L226" i="13"/>
  <c r="L12" i="13"/>
  <c r="K265" i="13"/>
  <c r="L265" i="13"/>
  <c r="K149" i="13"/>
  <c r="L149" i="13"/>
  <c r="N25" i="3"/>
  <c r="K130" i="13"/>
  <c r="L51" i="13"/>
  <c r="L127" i="13"/>
  <c r="L89" i="13"/>
  <c r="K86" i="13"/>
  <c r="L86" i="13"/>
  <c r="K175" i="13"/>
  <c r="L175" i="13"/>
  <c r="N11" i="3"/>
  <c r="G30" i="3"/>
  <c r="G22" i="3"/>
  <c r="K114" i="13"/>
  <c r="K258" i="13"/>
  <c r="L258" i="13"/>
  <c r="K6" i="13"/>
  <c r="K150" i="13"/>
  <c r="L150" i="13"/>
  <c r="K90" i="13"/>
  <c r="P37" i="3"/>
  <c r="O16" i="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N27" i="3"/>
  <c r="N13" i="3"/>
  <c r="M38" i="3"/>
  <c r="O24" i="3"/>
  <c r="G17" i="3"/>
  <c r="I17" i="3"/>
  <c r="H4" i="3"/>
  <c r="G12" i="3"/>
  <c r="G18" i="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K36" i="3"/>
  <c r="N23" i="3"/>
  <c r="N9" i="3"/>
  <c r="P33" i="3"/>
  <c r="O28" i="3"/>
  <c r="H23" i="3"/>
  <c r="H16" i="3"/>
  <c r="L34" i="13"/>
  <c r="L78" i="13"/>
  <c r="K192" i="13"/>
  <c r="L192" i="13"/>
  <c r="N35" i="3"/>
  <c r="N22" i="3"/>
  <c r="N6" i="3"/>
  <c r="H37" i="3"/>
  <c r="O33" i="3"/>
  <c r="G28" i="3"/>
  <c r="O22" i="3"/>
  <c r="L19" i="3"/>
  <c r="G16" i="3"/>
  <c r="K66" i="13"/>
  <c r="L44" i="13"/>
  <c r="L83" i="13"/>
  <c r="L26" i="13"/>
  <c r="K205" i="13"/>
  <c r="L205" i="13"/>
  <c r="K138" i="13"/>
  <c r="K282" i="13"/>
  <c r="L282" i="13"/>
  <c r="L109" i="13"/>
  <c r="N33" i="3"/>
  <c r="N19" i="3"/>
  <c r="N5" i="3"/>
  <c r="G37" i="3"/>
  <c r="O18" i="3"/>
  <c r="L15" i="3"/>
  <c r="O8" i="3"/>
  <c r="K74" i="13"/>
  <c r="K242" i="13"/>
  <c r="L242" i="13"/>
  <c r="L47" i="13"/>
  <c r="K58" i="13"/>
  <c r="K202" i="13"/>
  <c r="L202" i="13"/>
  <c r="K228" i="13"/>
  <c r="L228" i="13"/>
  <c r="K215" i="13"/>
  <c r="L215" i="13"/>
  <c r="N39" i="3"/>
  <c r="N31" i="3"/>
  <c r="N17" i="3"/>
  <c r="P39" i="3"/>
  <c r="G8" i="3"/>
  <c r="L4" i="13"/>
  <c r="N30" i="3"/>
  <c r="N15" i="3"/>
  <c r="M36" i="3"/>
  <c r="L27" i="3"/>
  <c r="O17" i="3"/>
  <c r="N29" i="3"/>
  <c r="N14" i="3"/>
  <c r="P38" i="3"/>
  <c r="P35" i="3"/>
  <c r="H8" i="3"/>
  <c r="I8" i="3"/>
  <c r="G34" i="3"/>
  <c r="I34" i="3"/>
  <c r="O34" i="3"/>
  <c r="G26" i="3"/>
  <c r="O26" i="3"/>
  <c r="H29" i="3"/>
  <c r="H7" i="3"/>
  <c r="O23" i="3"/>
  <c r="H11" i="3"/>
  <c r="H28" i="3"/>
  <c r="G11" i="3"/>
  <c r="O11" i="3"/>
  <c r="G4" i="3"/>
  <c r="O4" i="3"/>
  <c r="G6" i="3"/>
  <c r="O6" i="3"/>
  <c r="O5" i="3"/>
  <c r="K67" i="13"/>
  <c r="H15" i="3"/>
  <c r="G19" i="3"/>
  <c r="O19" i="3"/>
  <c r="O32" i="3"/>
  <c r="K15" i="13"/>
  <c r="H14" i="3"/>
  <c r="M7" i="3"/>
  <c r="P9" i="3"/>
  <c r="M11" i="3"/>
  <c r="P13" i="3"/>
  <c r="M15" i="3"/>
  <c r="P17" i="3"/>
  <c r="M19" i="3"/>
  <c r="P21" i="3"/>
  <c r="M23" i="3"/>
  <c r="P25" i="3"/>
  <c r="M27" i="3"/>
  <c r="P29" i="3"/>
  <c r="M31" i="3"/>
  <c r="P5" i="3"/>
  <c r="L10" i="3"/>
  <c r="L14" i="3"/>
  <c r="L18" i="3"/>
  <c r="L22" i="3"/>
  <c r="L26" i="3"/>
  <c r="L34" i="3"/>
  <c r="L38" i="3"/>
  <c r="N8" i="3"/>
  <c r="N16" i="3"/>
  <c r="N24" i="3"/>
  <c r="N32" i="3"/>
  <c r="M6" i="3"/>
  <c r="P8" i="3"/>
  <c r="M10" i="3"/>
  <c r="P12" i="3"/>
  <c r="M14" i="3"/>
  <c r="P16" i="3"/>
  <c r="M18" i="3"/>
  <c r="P20" i="3"/>
  <c r="M22" i="3"/>
  <c r="P24" i="3"/>
  <c r="M26" i="3"/>
  <c r="P28" i="3"/>
  <c r="L9" i="3"/>
  <c r="L13" i="3"/>
  <c r="L17" i="3"/>
  <c r="L21" i="3"/>
  <c r="L25" i="3"/>
  <c r="L29" i="3"/>
  <c r="L33" i="3"/>
  <c r="L37" i="3"/>
  <c r="N10" i="3"/>
  <c r="N18" i="3"/>
  <c r="N26" i="3"/>
  <c r="N34" i="3"/>
  <c r="L5" i="3"/>
  <c r="P7" i="3"/>
  <c r="M9" i="3"/>
  <c r="P11" i="3"/>
  <c r="M13" i="3"/>
  <c r="P15" i="3"/>
  <c r="M17" i="3"/>
  <c r="P19" i="3"/>
  <c r="M21" i="3"/>
  <c r="P23" i="3"/>
  <c r="M25" i="3"/>
  <c r="P27" i="3"/>
  <c r="M29" i="3"/>
  <c r="P31" i="3"/>
  <c r="M5" i="3"/>
  <c r="L8" i="3"/>
  <c r="L12" i="3"/>
  <c r="L16" i="3"/>
  <c r="L20" i="3"/>
  <c r="L24" i="3"/>
  <c r="L28" i="3"/>
  <c r="L32" i="3"/>
  <c r="L36" i="3"/>
  <c r="O38" i="3"/>
  <c r="N4" i="3"/>
  <c r="N12" i="3"/>
  <c r="N20" i="3"/>
  <c r="N28" i="3"/>
  <c r="P6" i="3"/>
  <c r="M8" i="3"/>
  <c r="P10" i="3"/>
  <c r="M12" i="3"/>
  <c r="P14" i="3"/>
  <c r="M16" i="3"/>
  <c r="P18" i="3"/>
  <c r="M20" i="3"/>
  <c r="P22" i="3"/>
  <c r="M24" i="3"/>
  <c r="P26" i="3"/>
  <c r="M28" i="3"/>
  <c r="P30" i="3"/>
  <c r="M32" i="3"/>
  <c r="K143" i="13"/>
  <c r="K287" i="13"/>
  <c r="L287" i="13"/>
  <c r="G5" i="3"/>
  <c r="G23" i="3"/>
  <c r="K135" i="13"/>
  <c r="K279" i="13"/>
  <c r="L279" i="13"/>
  <c r="K111" i="13"/>
  <c r="G38" i="3"/>
  <c r="G25" i="3"/>
  <c r="K79" i="13"/>
  <c r="G9" i="3"/>
  <c r="H13" i="3"/>
  <c r="G29" i="3"/>
  <c r="G14" i="3"/>
  <c r="G7" i="3"/>
  <c r="G35" i="3"/>
  <c r="K38" i="3"/>
  <c r="K39" i="3"/>
  <c r="K11" i="13"/>
  <c r="O20" i="3"/>
  <c r="K57" i="13"/>
  <c r="H22" i="3"/>
  <c r="I22" i="3"/>
  <c r="K49" i="13"/>
  <c r="H6" i="3"/>
  <c r="I6" i="3"/>
  <c r="O14" i="3"/>
  <c r="G15" i="3"/>
  <c r="I15" i="3"/>
  <c r="H27" i="3"/>
  <c r="O15" i="3"/>
  <c r="G31" i="3"/>
  <c r="I31" i="3"/>
  <c r="K37" i="13"/>
  <c r="O31" i="3"/>
  <c r="O12" i="3"/>
  <c r="H25" i="3"/>
  <c r="O36" i="3"/>
  <c r="H30" i="3"/>
  <c r="G39" i="3"/>
  <c r="O39" i="3"/>
  <c r="H9" i="3"/>
  <c r="L45" i="13"/>
  <c r="K224" i="13"/>
  <c r="L224" i="13"/>
  <c r="K200" i="13"/>
  <c r="L200" i="13"/>
  <c r="K231" i="13"/>
  <c r="L231" i="13"/>
  <c r="M39" i="3"/>
  <c r="H35" i="3"/>
  <c r="K203" i="13"/>
  <c r="L203" i="13"/>
  <c r="L91" i="13"/>
  <c r="L69" i="13"/>
  <c r="L129" i="13"/>
  <c r="L58" i="13"/>
  <c r="L106" i="13"/>
  <c r="L36" i="13"/>
  <c r="L39" i="3"/>
  <c r="M37" i="3"/>
  <c r="M35" i="3"/>
  <c r="O25" i="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P36" i="3"/>
  <c r="L35" i="3"/>
  <c r="M33" i="3"/>
  <c r="O29" i="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N21" i="3"/>
  <c r="N7" i="3"/>
  <c r="H38" i="3"/>
  <c r="H36" i="3"/>
  <c r="P34" i="3"/>
  <c r="P32" i="3"/>
  <c r="H32" i="3"/>
  <c r="L11" i="3"/>
  <c r="L7" i="3"/>
  <c r="L55" i="13"/>
  <c r="K199" i="13"/>
  <c r="L199" i="13"/>
  <c r="K283" i="13"/>
  <c r="L283" i="13"/>
  <c r="K264" i="13"/>
  <c r="L264" i="13"/>
  <c r="L120" i="13"/>
  <c r="K151" i="13"/>
  <c r="L151" i="13"/>
  <c r="M34" i="3"/>
  <c r="G32" i="3"/>
  <c r="L23" i="3"/>
  <c r="L141" i="13"/>
  <c r="K290" i="13"/>
  <c r="L290" i="13"/>
  <c r="K281" i="13"/>
  <c r="L281" i="13"/>
  <c r="P4" i="3"/>
  <c r="L6" i="3"/>
  <c r="L142" i="13"/>
  <c r="I37" i="3"/>
  <c r="L135" i="13"/>
  <c r="M4" i="3"/>
  <c r="L4" i="3"/>
  <c r="I39" i="3"/>
  <c r="I19" i="3"/>
  <c r="I27" i="3"/>
  <c r="I11" i="3"/>
  <c r="I23" i="3"/>
  <c r="I33" i="3"/>
  <c r="I26" i="3"/>
  <c r="I12" i="3"/>
  <c r="I18" i="3"/>
  <c r="K274" i="13"/>
  <c r="L274" i="13"/>
  <c r="L130" i="13"/>
  <c r="K239" i="13"/>
  <c r="L239" i="13"/>
  <c r="I7" i="3"/>
  <c r="K164" i="13"/>
  <c r="L164" i="13"/>
  <c r="I5" i="3"/>
  <c r="I21" i="3"/>
  <c r="K162" i="13"/>
  <c r="L162" i="13"/>
  <c r="I30" i="3"/>
  <c r="I13" i="3"/>
  <c r="K212" i="13"/>
  <c r="L212" i="13"/>
  <c r="K284" i="13"/>
  <c r="L284" i="13"/>
  <c r="I36" i="3"/>
  <c r="L33" i="13"/>
  <c r="I25" i="3"/>
  <c r="K280" i="13"/>
  <c r="L280" i="13"/>
  <c r="K236" i="13"/>
  <c r="L236" i="13"/>
  <c r="L147" i="13"/>
  <c r="L143" i="13"/>
  <c r="I14" i="3"/>
  <c r="K272" i="13"/>
  <c r="L272" i="13"/>
  <c r="K288" i="13"/>
  <c r="L288" i="13"/>
  <c r="L60" i="13"/>
  <c r="I9" i="3"/>
  <c r="I4" i="3"/>
  <c r="I28" i="3"/>
  <c r="I29" i="3"/>
  <c r="K160" i="13"/>
  <c r="L160" i="13"/>
  <c r="K206" i="13"/>
  <c r="L206" i="13"/>
  <c r="K240" i="13"/>
  <c r="L240" i="13"/>
  <c r="L96" i="13"/>
  <c r="K152" i="13"/>
  <c r="L152" i="13"/>
  <c r="L82" i="13"/>
  <c r="Q27" i="3"/>
  <c r="J27" i="3"/>
  <c r="L53" i="13"/>
  <c r="L114" i="13"/>
  <c r="L14" i="13"/>
  <c r="Q13" i="3"/>
  <c r="J13" i="3"/>
  <c r="Q23" i="3"/>
  <c r="J23" i="3"/>
  <c r="T23" i="3"/>
  <c r="L138" i="13"/>
  <c r="L6" i="13"/>
  <c r="Q7" i="3"/>
  <c r="J7" i="3"/>
  <c r="T7" i="3"/>
  <c r="Q25" i="3"/>
  <c r="J25" i="3"/>
  <c r="K230" i="13"/>
  <c r="L230" i="13"/>
  <c r="Q9" i="3"/>
  <c r="J9" i="3"/>
  <c r="Q5" i="3"/>
  <c r="Q35" i="3"/>
  <c r="J35" i="3"/>
  <c r="Q4" i="3"/>
  <c r="J4" i="3"/>
  <c r="Q31" i="3"/>
  <c r="J31" i="3"/>
  <c r="T31" i="3"/>
  <c r="Q11" i="3"/>
  <c r="J11" i="3"/>
  <c r="Q33" i="3"/>
  <c r="J33" i="3"/>
  <c r="T33" i="3"/>
  <c r="Q12" i="3"/>
  <c r="J12" i="3"/>
  <c r="Q38" i="3"/>
  <c r="Q15" i="3"/>
  <c r="J15" i="3"/>
  <c r="T15" i="3"/>
  <c r="Q17" i="3"/>
  <c r="J17" i="3"/>
  <c r="T17" i="3"/>
  <c r="Q19" i="3"/>
  <c r="J19" i="3"/>
  <c r="T19" i="3"/>
  <c r="I16" i="3"/>
  <c r="K270" i="13"/>
  <c r="L270" i="13"/>
  <c r="L126" i="13"/>
  <c r="L90" i="13"/>
  <c r="K234" i="13"/>
  <c r="L234" i="13"/>
  <c r="Q22" i="3"/>
  <c r="J22" i="3"/>
  <c r="T22" i="3"/>
  <c r="Q32" i="3"/>
  <c r="J32" i="3"/>
  <c r="Q34" i="3"/>
  <c r="J34" i="3"/>
  <c r="T34" i="3"/>
  <c r="Q36" i="3"/>
  <c r="J36" i="3"/>
  <c r="T36" i="3"/>
  <c r="Q37" i="3"/>
  <c r="J37" i="3"/>
  <c r="T37" i="3"/>
  <c r="Q14" i="3"/>
  <c r="J14" i="3"/>
  <c r="T14" i="3"/>
  <c r="Q24" i="3"/>
  <c r="J24" i="3"/>
  <c r="Q26" i="3"/>
  <c r="Q28" i="3"/>
  <c r="J28" i="3"/>
  <c r="T28" i="3"/>
  <c r="L70" i="13"/>
  <c r="K214" i="13"/>
  <c r="L214" i="13"/>
  <c r="Q29" i="3"/>
  <c r="J29" i="3"/>
  <c r="T29" i="3"/>
  <c r="Q6" i="3"/>
  <c r="J6" i="3"/>
  <c r="T6" i="3"/>
  <c r="Q16" i="3"/>
  <c r="J16" i="3"/>
  <c r="Q18" i="3"/>
  <c r="J18" i="3"/>
  <c r="T18" i="3"/>
  <c r="Q20" i="3"/>
  <c r="J20" i="3"/>
  <c r="T20" i="3"/>
  <c r="Q21" i="3"/>
  <c r="J21" i="3"/>
  <c r="T21" i="3"/>
  <c r="Q39" i="3"/>
  <c r="J39" i="3"/>
  <c r="T39" i="3"/>
  <c r="Q8" i="3"/>
  <c r="J8" i="3"/>
  <c r="T8" i="3"/>
  <c r="Q10" i="3"/>
  <c r="J10" i="3"/>
  <c r="T10" i="3"/>
  <c r="L40" i="13"/>
  <c r="K184" i="13"/>
  <c r="L184" i="13"/>
  <c r="I32" i="3"/>
  <c r="I38" i="3"/>
  <c r="I35" i="3"/>
  <c r="L74" i="13"/>
  <c r="K218" i="13"/>
  <c r="L218" i="13"/>
  <c r="L66" i="13"/>
  <c r="K210" i="13"/>
  <c r="L210" i="13"/>
  <c r="L134" i="13"/>
  <c r="K278" i="13"/>
  <c r="L278" i="13"/>
  <c r="J38" i="3"/>
  <c r="K159" i="13"/>
  <c r="L159" i="13"/>
  <c r="L15" i="13"/>
  <c r="J5" i="3"/>
  <c r="T5" i="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J26" i="3"/>
  <c r="T26" i="3"/>
  <c r="L67" i="13"/>
  <c r="K211" i="13"/>
  <c r="L211" i="13"/>
  <c r="T30" i="3"/>
  <c r="T9" i="3"/>
  <c r="T11" i="3"/>
  <c r="T25" i="3"/>
  <c r="T27" i="3"/>
  <c r="T24" i="3"/>
  <c r="T13" i="3"/>
  <c r="T12" i="3"/>
  <c r="T4" i="3"/>
  <c r="T16" i="3"/>
  <c r="T32" i="3"/>
  <c r="T35" i="3"/>
  <c r="T38" i="3"/>
  <c r="V15" i="3"/>
  <c r="V22" i="3"/>
  <c r="V31" i="3"/>
  <c r="V39" i="3"/>
  <c r="V24" i="3"/>
  <c r="V20" i="3"/>
  <c r="V6" i="3"/>
  <c r="V4" i="3"/>
  <c r="V27" i="3"/>
  <c r="V8" i="3"/>
  <c r="V25" i="3"/>
  <c r="V34" i="3"/>
  <c r="V38" i="3"/>
  <c r="V9" i="3"/>
  <c r="V33" i="3"/>
  <c r="V30" i="3"/>
  <c r="V5" i="3"/>
  <c r="V7" i="3"/>
  <c r="V10" i="3"/>
  <c r="V11" i="3"/>
  <c r="V12" i="3"/>
  <c r="V13" i="3"/>
  <c r="V14" i="3"/>
  <c r="V16" i="3"/>
  <c r="V17" i="3"/>
  <c r="V18" i="3"/>
  <c r="V19" i="3"/>
  <c r="V21" i="3"/>
  <c r="V23" i="3"/>
  <c r="V26" i="3"/>
  <c r="V28" i="3"/>
  <c r="V29" i="3"/>
  <c r="V32" i="3"/>
  <c r="V35" i="3"/>
  <c r="V36" i="3"/>
  <c r="V37" i="3"/>
  <c r="E30" i="3"/>
  <c r="D30" i="3"/>
  <c r="E22" i="3"/>
  <c r="D22" i="3"/>
  <c r="E18" i="3"/>
  <c r="D18" i="3"/>
  <c r="E32" i="3"/>
  <c r="D32" i="3"/>
  <c r="E23" i="3"/>
  <c r="D23" i="3"/>
  <c r="E28" i="3"/>
  <c r="D28" i="3"/>
  <c r="E8" i="3"/>
  <c r="D8" i="3"/>
  <c r="E10" i="3"/>
  <c r="D10" i="3"/>
  <c r="E20" i="3"/>
  <c r="D20" i="3"/>
  <c r="E19" i="3"/>
  <c r="D19" i="3"/>
  <c r="E13" i="3"/>
  <c r="D13" i="3"/>
  <c r="E7" i="3"/>
  <c r="D7" i="3"/>
  <c r="E35" i="3"/>
  <c r="D35" i="3"/>
  <c r="E16" i="3"/>
  <c r="D16" i="3"/>
  <c r="E15" i="3"/>
  <c r="D15" i="3"/>
  <c r="E31" i="3"/>
  <c r="D31" i="3"/>
  <c r="E4" i="3"/>
  <c r="D4" i="3"/>
  <c r="E5" i="3"/>
  <c r="D5" i="3"/>
  <c r="E6" i="3"/>
  <c r="D6" i="3"/>
  <c r="E9" i="3"/>
  <c r="D9" i="3"/>
  <c r="E11" i="3"/>
  <c r="D11" i="3"/>
  <c r="E12" i="3"/>
  <c r="D12" i="3"/>
  <c r="E14" i="3"/>
  <c r="D14" i="3"/>
  <c r="E17" i="3"/>
  <c r="D17" i="3"/>
  <c r="E21" i="3"/>
  <c r="D21" i="3"/>
  <c r="E24" i="3"/>
  <c r="D24" i="3"/>
  <c r="E25" i="3"/>
  <c r="D25" i="3"/>
  <c r="E26" i="3"/>
  <c r="D26" i="3"/>
  <c r="E27" i="3"/>
  <c r="D27" i="3"/>
  <c r="E29" i="3"/>
  <c r="D29" i="3"/>
  <c r="E33" i="3"/>
  <c r="D33" i="3"/>
  <c r="E34" i="3"/>
  <c r="D34" i="3"/>
  <c r="E36" i="3"/>
  <c r="D36" i="3"/>
  <c r="E37" i="3"/>
  <c r="D37" i="3"/>
  <c r="E38" i="3"/>
  <c r="D38" i="3"/>
  <c r="E39" i="3"/>
  <c r="D39" i="3"/>
  <c r="C31" i="3"/>
  <c r="C6" i="3"/>
  <c r="C34" i="3"/>
  <c r="C39" i="3"/>
  <c r="C17" i="3"/>
  <c r="C14" i="3"/>
  <c r="C4" i="3"/>
  <c r="C5" i="3"/>
  <c r="C7" i="3"/>
  <c r="C8" i="3"/>
  <c r="C9" i="3"/>
  <c r="C10" i="3"/>
  <c r="C11" i="3"/>
  <c r="C12" i="3"/>
  <c r="C13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5" i="3"/>
  <c r="C36" i="3"/>
  <c r="C37" i="3"/>
  <c r="C38" i="3"/>
  <c r="AB11" i="6"/>
  <c r="AB16" i="6"/>
  <c r="AB17" i="6"/>
  <c r="AB43" i="6"/>
  <c r="AB19" i="6"/>
  <c r="AB20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P12" i="6"/>
  <c r="G19" i="14"/>
  <c r="AQ29" i="14"/>
  <c r="G31" i="14"/>
  <c r="AQ38" i="14"/>
  <c r="G37" i="14"/>
  <c r="AQ42" i="14"/>
  <c r="G42" i="14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Q43" i="6"/>
  <c r="V38" i="14"/>
  <c r="Q41" i="6"/>
  <c r="U41" i="6"/>
  <c r="Z36" i="14"/>
  <c r="Q39" i="6"/>
  <c r="Z39" i="6"/>
  <c r="AE34" i="14"/>
  <c r="Q38" i="6"/>
  <c r="R38" i="6"/>
  <c r="W33" i="14"/>
  <c r="Q34" i="6"/>
  <c r="AA34" i="6"/>
  <c r="AF29" i="14"/>
  <c r="Q33" i="6"/>
  <c r="S33" i="6"/>
  <c r="X28" i="14"/>
  <c r="Q31" i="6"/>
  <c r="W31" i="6"/>
  <c r="AB26" i="14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T25" i="14"/>
  <c r="Q28" i="6"/>
  <c r="T28" i="6"/>
  <c r="Y23" i="14"/>
  <c r="Q26" i="6"/>
  <c r="X26" i="6"/>
  <c r="AC21" i="14"/>
  <c r="P25" i="6"/>
  <c r="U20" i="14"/>
  <c r="Q23" i="6"/>
  <c r="U23" i="6"/>
  <c r="Z18" i="14"/>
  <c r="Q21" i="6"/>
  <c r="Y21" i="6"/>
  <c r="AD16" i="14"/>
  <c r="Q19" i="6"/>
  <c r="S19" i="6"/>
  <c r="X14" i="14"/>
  <c r="Q16" i="6"/>
  <c r="Z16" i="6"/>
  <c r="AE11" i="14"/>
  <c r="Q14" i="6"/>
  <c r="T14" i="6"/>
  <c r="Y9" i="14"/>
  <c r="Q10" i="6"/>
  <c r="X10" i="6"/>
  <c r="AC5" i="14"/>
  <c r="Q44" i="6"/>
  <c r="V39" i="14"/>
  <c r="Q40" i="6"/>
  <c r="Z40" i="6"/>
  <c r="AE35" i="14"/>
  <c r="R39" i="6"/>
  <c r="W34" i="14"/>
  <c r="T38" i="6"/>
  <c r="Y33" i="14"/>
  <c r="Q36" i="6"/>
  <c r="Y36" i="6"/>
  <c r="AD31" i="14"/>
  <c r="Q35" i="6"/>
  <c r="V30" i="14"/>
  <c r="U33" i="6"/>
  <c r="Z28" i="14"/>
  <c r="Z31" i="6"/>
  <c r="AE26" i="14"/>
  <c r="Q30" i="6"/>
  <c r="R30" i="6"/>
  <c r="W25" i="14"/>
  <c r="Q27" i="6"/>
  <c r="Y27" i="6"/>
  <c r="AD22" i="14"/>
  <c r="Q24" i="6"/>
  <c r="U24" i="6"/>
  <c r="Z19" i="14"/>
  <c r="P17" i="6"/>
  <c r="U12" i="14"/>
  <c r="Z44" i="6"/>
  <c r="AE39" i="14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T39" i="14"/>
  <c r="R43" i="6"/>
  <c r="W38" i="14"/>
  <c r="Q42" i="6"/>
  <c r="T42" i="6"/>
  <c r="Y37" i="14"/>
  <c r="Y40" i="6"/>
  <c r="AD35" i="14"/>
  <c r="AA39" i="6"/>
  <c r="AF34" i="14"/>
  <c r="P39" i="6"/>
  <c r="U34" i="14"/>
  <c r="S38" i="6"/>
  <c r="X33" i="14"/>
  <c r="Q37" i="6"/>
  <c r="U37" i="6"/>
  <c r="Z32" i="14"/>
  <c r="W36" i="6"/>
  <c r="AB31" i="14"/>
  <c r="Z35" i="6"/>
  <c r="AE30" i="14"/>
  <c r="T30" i="14"/>
  <c r="V29" i="14"/>
  <c r="T33" i="6"/>
  <c r="Y28" i="14"/>
  <c r="X31" i="6"/>
  <c r="AC26" i="14"/>
  <c r="AA30" i="6"/>
  <c r="AF25" i="14"/>
  <c r="P30" i="6"/>
  <c r="U25" i="14"/>
  <c r="Q29" i="6"/>
  <c r="R29" i="6"/>
  <c r="W24" i="14"/>
  <c r="U28" i="6"/>
  <c r="Z23" i="14"/>
  <c r="W27" i="6"/>
  <c r="AB22" i="14"/>
  <c r="Y26" i="6"/>
  <c r="AD21" i="14"/>
  <c r="T21" i="14"/>
  <c r="Q25" i="6"/>
  <c r="V20" i="14"/>
  <c r="S24" i="6"/>
  <c r="X19" i="14"/>
  <c r="Q22" i="6"/>
  <c r="X22" i="6"/>
  <c r="AC17" i="14"/>
  <c r="Z21" i="6"/>
  <c r="AE16" i="14"/>
  <c r="Q20" i="6"/>
  <c r="W20" i="6"/>
  <c r="AB15" i="14"/>
  <c r="T19" i="6"/>
  <c r="Y14" i="14"/>
  <c r="Q18" i="6"/>
  <c r="V13" i="14"/>
  <c r="AA16" i="6"/>
  <c r="AF11" i="14"/>
  <c r="Q15" i="6"/>
  <c r="X15" i="6"/>
  <c r="AC10" i="14"/>
  <c r="U14" i="6"/>
  <c r="Z9" i="14"/>
  <c r="Q13" i="6"/>
  <c r="R13" i="6"/>
  <c r="W8" i="14"/>
  <c r="T7" i="14"/>
  <c r="Y10" i="6"/>
  <c r="AD5" i="14"/>
  <c r="W44" i="6"/>
  <c r="AB39" i="14"/>
  <c r="Z43" i="6"/>
  <c r="AE38" i="14"/>
  <c r="T38" i="14"/>
  <c r="V37" i="14"/>
  <c r="T41" i="6"/>
  <c r="Y36" i="14"/>
  <c r="X39" i="6"/>
  <c r="AC34" i="14"/>
  <c r="AA38" i="6"/>
  <c r="AF33" i="14"/>
  <c r="P38" i="6"/>
  <c r="U33" i="14"/>
  <c r="R37" i="6"/>
  <c r="W32" i="14"/>
  <c r="U36" i="6"/>
  <c r="Z31" i="14"/>
  <c r="W35" i="6"/>
  <c r="AB30" i="14"/>
  <c r="Y34" i="6"/>
  <c r="AD29" i="14"/>
  <c r="T29" i="14"/>
  <c r="V28" i="14"/>
  <c r="Q32" i="6"/>
  <c r="S32" i="6"/>
  <c r="X27" i="14"/>
  <c r="X30" i="6"/>
  <c r="AC25" i="14"/>
  <c r="Z29" i="6"/>
  <c r="AE24" i="14"/>
  <c r="P29" i="6"/>
  <c r="U24" i="14"/>
  <c r="R28" i="6"/>
  <c r="W23" i="14"/>
  <c r="T27" i="6"/>
  <c r="Y22" i="14"/>
  <c r="W26" i="6"/>
  <c r="AB21" i="14"/>
  <c r="Y25" i="6"/>
  <c r="AD20" i="14"/>
  <c r="AA24" i="6"/>
  <c r="AF19" i="14"/>
  <c r="V19" i="14"/>
  <c r="S23" i="6"/>
  <c r="X18" i="14"/>
  <c r="U22" i="6"/>
  <c r="Z17" i="14"/>
  <c r="W21" i="6"/>
  <c r="AB16" i="14"/>
  <c r="T20" i="6"/>
  <c r="Y15" i="14"/>
  <c r="V14" i="14"/>
  <c r="Q17" i="6"/>
  <c r="AA17" i="6"/>
  <c r="AF12" i="14"/>
  <c r="X16" i="6"/>
  <c r="AC11" i="14"/>
  <c r="U15" i="6"/>
  <c r="Z10" i="14"/>
  <c r="R14" i="6"/>
  <c r="W9" i="14"/>
  <c r="T8" i="14"/>
  <c r="Q11" i="6"/>
  <c r="Y11" i="6"/>
  <c r="AD6" i="14"/>
  <c r="Q9" i="6"/>
  <c r="S9" i="6"/>
  <c r="X4" i="14"/>
  <c r="AA11" i="6"/>
  <c r="AF6" i="14"/>
  <c r="Y43" i="6"/>
  <c r="AD38" i="14"/>
  <c r="AA42" i="6"/>
  <c r="AF37" i="14"/>
  <c r="P42" i="6"/>
  <c r="U37" i="14"/>
  <c r="S41" i="6"/>
  <c r="X36" i="14"/>
  <c r="U40" i="6"/>
  <c r="Z35" i="14"/>
  <c r="W39" i="6"/>
  <c r="AB34" i="14"/>
  <c r="Z38" i="6"/>
  <c r="AE33" i="14"/>
  <c r="T33" i="14"/>
  <c r="V32" i="14"/>
  <c r="T36" i="6"/>
  <c r="Y31" i="14"/>
  <c r="X34" i="6"/>
  <c r="AC29" i="14"/>
  <c r="AA33" i="6"/>
  <c r="AF28" i="14"/>
  <c r="P33" i="6"/>
  <c r="U28" i="14"/>
  <c r="R32" i="6"/>
  <c r="W27" i="14"/>
  <c r="U31" i="6"/>
  <c r="Z26" i="14"/>
  <c r="W30" i="6"/>
  <c r="AB25" i="14"/>
  <c r="Y29" i="6"/>
  <c r="AD24" i="14"/>
  <c r="T24" i="14"/>
  <c r="V23" i="14"/>
  <c r="S27" i="6"/>
  <c r="X22" i="14"/>
  <c r="X25" i="6"/>
  <c r="AC20" i="14"/>
  <c r="Z24" i="6"/>
  <c r="AE19" i="14"/>
  <c r="P24" i="6"/>
  <c r="U19" i="14"/>
  <c r="R23" i="6"/>
  <c r="W18" i="14"/>
  <c r="T22" i="6"/>
  <c r="Y17" i="14"/>
  <c r="T21" i="6"/>
  <c r="Y16" i="14"/>
  <c r="V15" i="14"/>
  <c r="AA18" i="6"/>
  <c r="AF13" i="14"/>
  <c r="X17" i="6"/>
  <c r="AC12" i="14"/>
  <c r="U16" i="6"/>
  <c r="Z11" i="14"/>
  <c r="R15" i="6"/>
  <c r="W10" i="14"/>
  <c r="T9" i="14"/>
  <c r="Q12" i="6"/>
  <c r="Y12" i="6"/>
  <c r="AD7" i="14"/>
  <c r="S10" i="6"/>
  <c r="X5" i="14"/>
  <c r="P9" i="6"/>
  <c r="U4" i="14"/>
  <c r="U44" i="6"/>
  <c r="Z39" i="14"/>
  <c r="Y42" i="6"/>
  <c r="AD37" i="14"/>
  <c r="V36" i="14"/>
  <c r="Z37" i="6"/>
  <c r="AE32" i="14"/>
  <c r="T35" i="6"/>
  <c r="Y30" i="14"/>
  <c r="Y33" i="6"/>
  <c r="AD28" i="14"/>
  <c r="V27" i="14"/>
  <c r="U30" i="6"/>
  <c r="Z25" i="14"/>
  <c r="Z28" i="6"/>
  <c r="AE23" i="14"/>
  <c r="R27" i="6"/>
  <c r="W22" i="14"/>
  <c r="T26" i="6"/>
  <c r="Y21" i="14"/>
  <c r="AA23" i="6"/>
  <c r="AF18" i="14"/>
  <c r="U18" i="14"/>
  <c r="S22" i="6"/>
  <c r="X17" i="14"/>
  <c r="R21" i="6"/>
  <c r="W16" i="14"/>
  <c r="T15" i="14"/>
  <c r="S16" i="6"/>
  <c r="X11" i="14"/>
  <c r="P15" i="6"/>
  <c r="U10" i="14"/>
  <c r="Z13" i="6"/>
  <c r="AE8" i="14"/>
  <c r="W12" i="6"/>
  <c r="AB7" i="14"/>
  <c r="T11" i="6"/>
  <c r="Y6" i="14"/>
  <c r="V5" i="14"/>
  <c r="Y44" i="6"/>
  <c r="AD39" i="14"/>
  <c r="S42" i="6"/>
  <c r="X37" i="14"/>
  <c r="X40" i="6"/>
  <c r="AC35" i="14"/>
  <c r="T34" i="14"/>
  <c r="T37" i="6"/>
  <c r="Y32" i="14"/>
  <c r="Y35" i="6"/>
  <c r="AD30" i="14"/>
  <c r="P34" i="6"/>
  <c r="U29" i="14"/>
  <c r="U32" i="6"/>
  <c r="Z27" i="14"/>
  <c r="Z30" i="6"/>
  <c r="AE25" i="14"/>
  <c r="V24" i="14"/>
  <c r="AA25" i="6"/>
  <c r="AF20" i="14"/>
  <c r="R24" i="6"/>
  <c r="W19" i="14"/>
  <c r="W22" i="6"/>
  <c r="AB17" i="14"/>
  <c r="P18" i="6"/>
  <c r="U13" i="14"/>
  <c r="W15" i="6"/>
  <c r="AB10" i="14"/>
  <c r="V8" i="14"/>
  <c r="U9" i="6"/>
  <c r="Z4" i="14"/>
  <c r="W43" i="6"/>
  <c r="AB38" i="14"/>
  <c r="T37" i="14"/>
  <c r="S40" i="6"/>
  <c r="X35" i="14"/>
  <c r="X38" i="6"/>
  <c r="AC33" i="14"/>
  <c r="P37" i="6"/>
  <c r="U32" i="14"/>
  <c r="R36" i="6"/>
  <c r="W31" i="14"/>
  <c r="W34" i="6"/>
  <c r="AB29" i="14"/>
  <c r="AA32" i="6"/>
  <c r="AF27" i="14"/>
  <c r="S31" i="6"/>
  <c r="X26" i="14"/>
  <c r="X29" i="6"/>
  <c r="AC24" i="14"/>
  <c r="T23" i="14"/>
  <c r="Y24" i="6"/>
  <c r="AD19" i="14"/>
  <c r="Y18" i="6"/>
  <c r="AD13" i="14"/>
  <c r="T44" i="6"/>
  <c r="Y39" i="14"/>
  <c r="X42" i="6"/>
  <c r="AC37" i="14"/>
  <c r="AA41" i="6"/>
  <c r="AF36" i="14"/>
  <c r="P41" i="6"/>
  <c r="U36" i="14"/>
  <c r="R40" i="6"/>
  <c r="W35" i="14"/>
  <c r="U39" i="6"/>
  <c r="Z34" i="14"/>
  <c r="W38" i="6"/>
  <c r="AB33" i="14"/>
  <c r="Y37" i="6"/>
  <c r="AD32" i="14"/>
  <c r="T32" i="14"/>
  <c r="V31" i="14"/>
  <c r="S35" i="6"/>
  <c r="X30" i="14"/>
  <c r="X33" i="6"/>
  <c r="AC28" i="14"/>
  <c r="Z32" i="6"/>
  <c r="AE27" i="14"/>
  <c r="P32" i="6"/>
  <c r="U27" i="14"/>
  <c r="R31" i="6"/>
  <c r="W26" i="14"/>
  <c r="T30" i="6"/>
  <c r="Y25" i="14"/>
  <c r="W29" i="6"/>
  <c r="AB24" i="14"/>
  <c r="Y28" i="6"/>
  <c r="AD23" i="14"/>
  <c r="AA27" i="6"/>
  <c r="AF22" i="14"/>
  <c r="V22" i="14"/>
  <c r="S26" i="6"/>
  <c r="X21" i="14"/>
  <c r="U25" i="6"/>
  <c r="Z20" i="14"/>
  <c r="X24" i="6"/>
  <c r="AC19" i="14"/>
  <c r="Z23" i="6"/>
  <c r="AE18" i="14"/>
  <c r="T18" i="14"/>
  <c r="R22" i="6"/>
  <c r="W17" i="14"/>
  <c r="V16" i="14"/>
  <c r="AA19" i="6"/>
  <c r="AF14" i="14"/>
  <c r="X18" i="6"/>
  <c r="AC13" i="14"/>
  <c r="U17" i="6"/>
  <c r="Z12" i="14"/>
  <c r="R16" i="6"/>
  <c r="W11" i="14"/>
  <c r="T10" i="14"/>
  <c r="Y13" i="6"/>
  <c r="AD8" i="14"/>
  <c r="S11" i="6"/>
  <c r="X6" i="14"/>
  <c r="P10" i="6"/>
  <c r="U5" i="14"/>
  <c r="R44" i="6"/>
  <c r="W39" i="14"/>
  <c r="T43" i="6"/>
  <c r="Y38" i="14"/>
  <c r="W42" i="6"/>
  <c r="AB37" i="14"/>
  <c r="Y41" i="6"/>
  <c r="AD36" i="14"/>
  <c r="AA40" i="6"/>
  <c r="AF35" i="14"/>
  <c r="V35" i="14"/>
  <c r="S39" i="6"/>
  <c r="X34" i="14"/>
  <c r="U38" i="6"/>
  <c r="Z33" i="14"/>
  <c r="X37" i="6"/>
  <c r="AC32" i="14"/>
  <c r="Z36" i="6"/>
  <c r="AE31" i="14"/>
  <c r="T31" i="14"/>
  <c r="R35" i="6"/>
  <c r="W30" i="14"/>
  <c r="T34" i="6"/>
  <c r="Y29" i="14"/>
  <c r="Y32" i="6"/>
  <c r="AD27" i="14"/>
  <c r="AA31" i="6"/>
  <c r="AF26" i="14"/>
  <c r="P31" i="6"/>
  <c r="U26" i="14"/>
  <c r="S30" i="6"/>
  <c r="X25" i="14"/>
  <c r="U29" i="6"/>
  <c r="Z24" i="14"/>
  <c r="W28" i="6"/>
  <c r="AB23" i="14"/>
  <c r="Z27" i="6"/>
  <c r="AE22" i="14"/>
  <c r="T22" i="14"/>
  <c r="V21" i="14"/>
  <c r="T25" i="6"/>
  <c r="Y20" i="14"/>
  <c r="X23" i="6"/>
  <c r="AC18" i="14"/>
  <c r="AA22" i="6"/>
  <c r="AF17" i="14"/>
  <c r="P22" i="6"/>
  <c r="U17" i="14"/>
  <c r="T16" i="14"/>
  <c r="Y19" i="6"/>
  <c r="AD14" i="14"/>
  <c r="S17" i="6"/>
  <c r="X12" i="14"/>
  <c r="P16" i="6"/>
  <c r="U11" i="14"/>
  <c r="Z14" i="6"/>
  <c r="AE9" i="14"/>
  <c r="W13" i="6"/>
  <c r="AB8" i="14"/>
  <c r="T12" i="6"/>
  <c r="Y7" i="14"/>
  <c r="V6" i="14"/>
  <c r="AA9" i="6"/>
  <c r="AF4" i="14"/>
  <c r="AA43" i="6"/>
  <c r="AF38" i="14"/>
  <c r="S43" i="6"/>
  <c r="X38" i="14"/>
  <c r="X41" i="6"/>
  <c r="AC36" i="14"/>
  <c r="P40" i="6"/>
  <c r="U35" i="14"/>
  <c r="W37" i="6"/>
  <c r="AB32" i="14"/>
  <c r="AA35" i="6"/>
  <c r="AF30" i="14"/>
  <c r="S34" i="6"/>
  <c r="X29" i="14"/>
  <c r="X32" i="6"/>
  <c r="AC27" i="14"/>
  <c r="T26" i="14"/>
  <c r="T29" i="6"/>
  <c r="Y24" i="14"/>
  <c r="AA26" i="6"/>
  <c r="AF21" i="14"/>
  <c r="P26" i="6"/>
  <c r="U21" i="14"/>
  <c r="S25" i="6"/>
  <c r="X20" i="14"/>
  <c r="W23" i="6"/>
  <c r="AB18" i="14"/>
  <c r="Z22" i="6"/>
  <c r="AE17" i="14"/>
  <c r="T17" i="14"/>
  <c r="Y20" i="6"/>
  <c r="AD15" i="14"/>
  <c r="S18" i="6"/>
  <c r="X13" i="14"/>
  <c r="Z15" i="6"/>
  <c r="AE10" i="14"/>
  <c r="W14" i="6"/>
  <c r="AB9" i="14"/>
  <c r="T13" i="6"/>
  <c r="Y8" i="14"/>
  <c r="V7" i="14"/>
  <c r="AA10" i="6"/>
  <c r="AF5" i="14"/>
  <c r="X9" i="6"/>
  <c r="AC4" i="14"/>
  <c r="X44" i="6"/>
  <c r="AC39" i="14"/>
  <c r="P44" i="6"/>
  <c r="U39" i="14"/>
  <c r="U43" i="6"/>
  <c r="Z38" i="14"/>
  <c r="Z42" i="6"/>
  <c r="AE37" i="14"/>
  <c r="R42" i="6"/>
  <c r="W37" i="14"/>
  <c r="W41" i="6"/>
  <c r="AB36" i="14"/>
  <c r="T36" i="14"/>
  <c r="T40" i="6"/>
  <c r="Y35" i="14"/>
  <c r="Y39" i="6"/>
  <c r="AD34" i="14"/>
  <c r="V34" i="14"/>
  <c r="AA37" i="6"/>
  <c r="AF32" i="14"/>
  <c r="S37" i="6"/>
  <c r="X32" i="14"/>
  <c r="X36" i="6"/>
  <c r="AC31" i="14"/>
  <c r="P36" i="6"/>
  <c r="U31" i="14"/>
  <c r="U35" i="6"/>
  <c r="Z30" i="14"/>
  <c r="Z34" i="6"/>
  <c r="AE29" i="14"/>
  <c r="R34" i="6"/>
  <c r="W29" i="14"/>
  <c r="W33" i="6"/>
  <c r="AB28" i="14"/>
  <c r="T28" i="14"/>
  <c r="T32" i="6"/>
  <c r="Y27" i="14"/>
  <c r="Y31" i="6"/>
  <c r="AD26" i="14"/>
  <c r="V26" i="14"/>
  <c r="AA29" i="6"/>
  <c r="AF24" i="14"/>
  <c r="S29" i="6"/>
  <c r="X24" i="14"/>
  <c r="X28" i="6"/>
  <c r="AC23" i="14"/>
  <c r="P28" i="6"/>
  <c r="U23" i="14"/>
  <c r="U27" i="6"/>
  <c r="Z22" i="14"/>
  <c r="Z26" i="6"/>
  <c r="AE21" i="14"/>
  <c r="R26" i="6"/>
  <c r="W21" i="14"/>
  <c r="W25" i="6"/>
  <c r="AB20" i="14"/>
  <c r="T20" i="14"/>
  <c r="T24" i="6"/>
  <c r="Y19" i="14"/>
  <c r="Y23" i="6"/>
  <c r="AD18" i="14"/>
  <c r="V18" i="14"/>
  <c r="AA21" i="6"/>
  <c r="AF16" i="14"/>
  <c r="S21" i="6"/>
  <c r="X16" i="14"/>
  <c r="X20" i="6"/>
  <c r="AC15" i="14"/>
  <c r="P20" i="6"/>
  <c r="U15" i="14"/>
  <c r="U19" i="6"/>
  <c r="Z14" i="14"/>
  <c r="Z18" i="6"/>
  <c r="AE13" i="14"/>
  <c r="R18" i="6"/>
  <c r="W13" i="14"/>
  <c r="W17" i="6"/>
  <c r="AB12" i="14"/>
  <c r="T12" i="14"/>
  <c r="T16" i="6"/>
  <c r="Y11" i="14"/>
  <c r="Y15" i="6"/>
  <c r="AD10" i="14"/>
  <c r="V10" i="14"/>
  <c r="AA13" i="6"/>
  <c r="AF8" i="14"/>
  <c r="S13" i="6"/>
  <c r="X8" i="14"/>
  <c r="X12" i="6"/>
  <c r="AC7" i="14"/>
  <c r="U7" i="14"/>
  <c r="U11" i="6"/>
  <c r="Z6" i="14"/>
  <c r="Z10" i="6"/>
  <c r="AE5" i="14"/>
  <c r="R10" i="6"/>
  <c r="W5" i="14"/>
  <c r="W9" i="6"/>
  <c r="AB4" i="14"/>
  <c r="T4" i="14"/>
  <c r="X21" i="6"/>
  <c r="AC16" i="14"/>
  <c r="P21" i="6"/>
  <c r="U16" i="14"/>
  <c r="U20" i="6"/>
  <c r="Z15" i="14"/>
  <c r="Z19" i="6"/>
  <c r="AE14" i="14"/>
  <c r="R19" i="6"/>
  <c r="W14" i="14"/>
  <c r="W18" i="6"/>
  <c r="AB13" i="14"/>
  <c r="T13" i="14"/>
  <c r="T17" i="6"/>
  <c r="Y12" i="14"/>
  <c r="Y16" i="6"/>
  <c r="AD11" i="14"/>
  <c r="V11" i="14"/>
  <c r="AA14" i="6"/>
  <c r="AF9" i="14"/>
  <c r="S14" i="6"/>
  <c r="X9" i="14"/>
  <c r="X13" i="6"/>
  <c r="AC8" i="14"/>
  <c r="P13" i="6"/>
  <c r="U8" i="14"/>
  <c r="U12" i="6"/>
  <c r="Z7" i="14"/>
  <c r="Z11" i="6"/>
  <c r="AE6" i="14"/>
  <c r="R11" i="6"/>
  <c r="W6" i="14"/>
  <c r="W10" i="6"/>
  <c r="AB5" i="14"/>
  <c r="T5" i="14"/>
  <c r="T9" i="6"/>
  <c r="Y4" i="14"/>
  <c r="AA44" i="6"/>
  <c r="AF39" i="14"/>
  <c r="S44" i="6"/>
  <c r="X39" i="14"/>
  <c r="X43" i="6"/>
  <c r="AC38" i="14"/>
  <c r="P43" i="6"/>
  <c r="U38" i="14"/>
  <c r="U42" i="6"/>
  <c r="Z37" i="14"/>
  <c r="Z41" i="6"/>
  <c r="AE36" i="14"/>
  <c r="R41" i="6"/>
  <c r="W36" i="14"/>
  <c r="W40" i="6"/>
  <c r="AB35" i="14"/>
  <c r="T35" i="14"/>
  <c r="T39" i="6"/>
  <c r="Y34" i="14"/>
  <c r="Y38" i="6"/>
  <c r="AD33" i="14"/>
  <c r="V33" i="14"/>
  <c r="AA36" i="6"/>
  <c r="AF31" i="14"/>
  <c r="S36" i="6"/>
  <c r="X31" i="14"/>
  <c r="X35" i="6"/>
  <c r="AC30" i="14"/>
  <c r="P35" i="6"/>
  <c r="U30" i="14"/>
  <c r="U34" i="6"/>
  <c r="Z29" i="14"/>
  <c r="Z33" i="6"/>
  <c r="AE28" i="14"/>
  <c r="R33" i="6"/>
  <c r="W28" i="14"/>
  <c r="W32" i="6"/>
  <c r="AB27" i="14"/>
  <c r="T27" i="14"/>
  <c r="T31" i="6"/>
  <c r="Y26" i="14"/>
  <c r="Y30" i="6"/>
  <c r="AD25" i="14"/>
  <c r="V25" i="14"/>
  <c r="AA28" i="6"/>
  <c r="AF23" i="14"/>
  <c r="S28" i="6"/>
  <c r="X23" i="14"/>
  <c r="X27" i="6"/>
  <c r="AC22" i="14"/>
  <c r="P27" i="6"/>
  <c r="U22" i="14"/>
  <c r="U26" i="6"/>
  <c r="Z21" i="14"/>
  <c r="Z25" i="6"/>
  <c r="AE20" i="14"/>
  <c r="R25" i="6"/>
  <c r="W20" i="14"/>
  <c r="W24" i="6"/>
  <c r="AB19" i="14"/>
  <c r="T19" i="14"/>
  <c r="T23" i="6"/>
  <c r="Y18" i="14"/>
  <c r="Y22" i="6"/>
  <c r="AD17" i="14"/>
  <c r="V17" i="14"/>
  <c r="AA20" i="6"/>
  <c r="AF15" i="14"/>
  <c r="S20" i="6"/>
  <c r="X15" i="14"/>
  <c r="X19" i="6"/>
  <c r="AC14" i="14"/>
  <c r="P19" i="6"/>
  <c r="U14" i="14"/>
  <c r="U18" i="6"/>
  <c r="Z13" i="14"/>
  <c r="Z17" i="6"/>
  <c r="AE12" i="14"/>
  <c r="R17" i="6"/>
  <c r="W12" i="14"/>
  <c r="W16" i="6"/>
  <c r="AB11" i="14"/>
  <c r="T11" i="14"/>
  <c r="T15" i="6"/>
  <c r="Y10" i="14"/>
  <c r="Y14" i="6"/>
  <c r="AD9" i="14"/>
  <c r="V9" i="14"/>
  <c r="AA12" i="6"/>
  <c r="AF7" i="14"/>
  <c r="S12" i="6"/>
  <c r="X7" i="14"/>
  <c r="X11" i="6"/>
  <c r="AC6" i="14"/>
  <c r="P11" i="6"/>
  <c r="U6" i="14"/>
  <c r="U10" i="6"/>
  <c r="Z5" i="14"/>
  <c r="Z9" i="6"/>
  <c r="AE4" i="14"/>
  <c r="R9" i="6"/>
  <c r="W4" i="14"/>
  <c r="U21" i="6"/>
  <c r="Z16" i="14"/>
  <c r="Z20" i="6"/>
  <c r="AE15" i="14"/>
  <c r="R20" i="6"/>
  <c r="W15" i="14"/>
  <c r="W19" i="6"/>
  <c r="AB14" i="14"/>
  <c r="T14" i="14"/>
  <c r="T18" i="6"/>
  <c r="Y13" i="14"/>
  <c r="Y17" i="6"/>
  <c r="AD12" i="14"/>
  <c r="V12" i="14"/>
  <c r="AA15" i="6"/>
  <c r="AF10" i="14"/>
  <c r="S15" i="6"/>
  <c r="X10" i="14"/>
  <c r="X14" i="6"/>
  <c r="AC9" i="14"/>
  <c r="P14" i="6"/>
  <c r="U9" i="14"/>
  <c r="U13" i="6"/>
  <c r="Z8" i="14"/>
  <c r="Z12" i="6"/>
  <c r="AE7" i="14"/>
  <c r="R12" i="6"/>
  <c r="W7" i="14"/>
  <c r="W11" i="6"/>
  <c r="AB6" i="14"/>
  <c r="T6" i="14"/>
  <c r="T10" i="6"/>
  <c r="Y5" i="14"/>
  <c r="Y9" i="6"/>
  <c r="AD4" i="14"/>
  <c r="V4" i="14"/>
  <c r="X78" i="6"/>
  <c r="P81" i="6"/>
  <c r="W83" i="6"/>
  <c r="O86" i="6"/>
  <c r="U88" i="6"/>
  <c r="T93" i="6"/>
  <c r="AA95" i="6"/>
  <c r="S98" i="6"/>
  <c r="Z100" i="6"/>
  <c r="R103" i="6"/>
  <c r="Y105" i="6"/>
  <c r="Q108" i="6"/>
  <c r="X110" i="6"/>
  <c r="P113" i="6"/>
  <c r="S83" i="6"/>
  <c r="W78" i="6"/>
  <c r="Z79" i="6"/>
  <c r="O81" i="6"/>
  <c r="R82" i="6"/>
  <c r="U83" i="6"/>
  <c r="Y84" i="6"/>
  <c r="Q87" i="6"/>
  <c r="T88" i="6"/>
  <c r="X89" i="6"/>
  <c r="AA90" i="6"/>
  <c r="P92" i="6"/>
  <c r="S93" i="6"/>
  <c r="W94" i="6"/>
  <c r="Z95" i="6"/>
  <c r="O97" i="6"/>
  <c r="R98" i="6"/>
  <c r="U99" i="6"/>
  <c r="Y100" i="6"/>
  <c r="Q103" i="6"/>
  <c r="T104" i="6"/>
  <c r="X105" i="6"/>
  <c r="AA106" i="6"/>
  <c r="P108" i="6"/>
  <c r="S109" i="6"/>
  <c r="W110" i="6"/>
  <c r="Z111" i="6"/>
  <c r="O113" i="6"/>
  <c r="Z78" i="6"/>
  <c r="O80" i="6"/>
  <c r="R81" i="6"/>
  <c r="U82" i="6"/>
  <c r="Y83" i="6"/>
  <c r="Q86" i="6"/>
  <c r="T87" i="6"/>
  <c r="X88" i="6"/>
  <c r="AA89" i="6"/>
  <c r="P91" i="6"/>
  <c r="S92" i="6"/>
  <c r="W93" i="6"/>
  <c r="Z94" i="6"/>
  <c r="O96" i="6"/>
  <c r="R97" i="6"/>
  <c r="U98" i="6"/>
  <c r="Y99" i="6"/>
  <c r="Q102" i="6"/>
  <c r="T103" i="6"/>
  <c r="X104" i="6"/>
  <c r="AA105" i="6"/>
  <c r="P107" i="6"/>
  <c r="S108" i="6"/>
  <c r="W109" i="6"/>
  <c r="Z110" i="6"/>
  <c r="O112" i="6"/>
  <c r="R113" i="6"/>
  <c r="O79" i="6"/>
  <c r="R80" i="6"/>
  <c r="U81" i="6"/>
  <c r="Y82" i="6"/>
  <c r="Q85" i="6"/>
  <c r="T86" i="6"/>
  <c r="X87" i="6"/>
  <c r="AA88" i="6"/>
  <c r="P90" i="6"/>
  <c r="S91" i="6"/>
  <c r="W92" i="6"/>
  <c r="Z93" i="6"/>
  <c r="O95" i="6"/>
  <c r="R96" i="6"/>
  <c r="U97" i="6"/>
  <c r="Y98" i="6"/>
  <c r="Q101" i="6"/>
  <c r="T102" i="6"/>
  <c r="X103" i="6"/>
  <c r="AA104" i="6"/>
  <c r="P106" i="6"/>
  <c r="S107" i="6"/>
  <c r="W108" i="6"/>
  <c r="Z109" i="6"/>
  <c r="O111" i="6"/>
  <c r="R112" i="6"/>
  <c r="U113" i="6"/>
  <c r="Q79" i="6"/>
  <c r="P84" i="6"/>
  <c r="Z87" i="6"/>
  <c r="R90" i="6"/>
  <c r="Y92" i="6"/>
  <c r="Q95" i="6"/>
  <c r="X97" i="6"/>
  <c r="AA98" i="6"/>
  <c r="P100" i="6"/>
  <c r="W102" i="6"/>
  <c r="Z103" i="6"/>
  <c r="O105" i="6"/>
  <c r="R106" i="6"/>
  <c r="U107" i="6"/>
  <c r="Y108" i="6"/>
  <c r="Q111" i="6"/>
  <c r="T112" i="6"/>
  <c r="X113" i="6"/>
  <c r="AA79" i="6"/>
  <c r="S82" i="6"/>
  <c r="Z84" i="6"/>
  <c r="R87" i="6"/>
  <c r="Y89" i="6"/>
  <c r="Q92" i="6"/>
  <c r="X94" i="6"/>
  <c r="P97" i="6"/>
  <c r="W99" i="6"/>
  <c r="O102" i="6"/>
  <c r="U104" i="6"/>
  <c r="T109" i="6"/>
  <c r="AA111" i="6"/>
  <c r="T80" i="6"/>
  <c r="O78" i="6"/>
  <c r="R79" i="6"/>
  <c r="U80" i="6"/>
  <c r="Y81" i="6"/>
  <c r="Q84" i="6"/>
  <c r="T85" i="6"/>
  <c r="X86" i="6"/>
  <c r="AA87" i="6"/>
  <c r="P89" i="6"/>
  <c r="S90" i="6"/>
  <c r="W91" i="6"/>
  <c r="Z92" i="6"/>
  <c r="O94" i="6"/>
  <c r="R95" i="6"/>
  <c r="U96" i="6"/>
  <c r="Y97" i="6"/>
  <c r="Q100" i="6"/>
  <c r="T101" i="6"/>
  <c r="X102" i="6"/>
  <c r="AA103" i="6"/>
  <c r="P105" i="6"/>
  <c r="S106" i="6"/>
  <c r="W107" i="6"/>
  <c r="Z108" i="6"/>
  <c r="O110" i="6"/>
  <c r="R111" i="6"/>
  <c r="U112" i="6"/>
  <c r="Y113" i="6"/>
  <c r="X81" i="6"/>
  <c r="AA82" i="6"/>
  <c r="S85" i="6"/>
  <c r="W86" i="6"/>
  <c r="O89" i="6"/>
  <c r="U91" i="6"/>
  <c r="T96" i="6"/>
  <c r="S101" i="6"/>
  <c r="Q78" i="6"/>
  <c r="T79" i="6"/>
  <c r="X80" i="6"/>
  <c r="AA81" i="6"/>
  <c r="P83" i="6"/>
  <c r="S84" i="6"/>
  <c r="W85" i="6"/>
  <c r="Z86" i="6"/>
  <c r="O88" i="6"/>
  <c r="R89" i="6"/>
  <c r="U90" i="6"/>
  <c r="Y91" i="6"/>
  <c r="Q94" i="6"/>
  <c r="T95" i="6"/>
  <c r="X96" i="6"/>
  <c r="AA97" i="6"/>
  <c r="P99" i="6"/>
  <c r="S100" i="6"/>
  <c r="W101" i="6"/>
  <c r="Z102" i="6"/>
  <c r="O104" i="6"/>
  <c r="R105" i="6"/>
  <c r="U106" i="6"/>
  <c r="Y107" i="6"/>
  <c r="Q110" i="6"/>
  <c r="T111" i="6"/>
  <c r="X112" i="6"/>
  <c r="AA113" i="6"/>
  <c r="T78" i="6"/>
  <c r="X79" i="6"/>
  <c r="AA80" i="6"/>
  <c r="P82" i="6"/>
  <c r="W84" i="6"/>
  <c r="Z85" i="6"/>
  <c r="O87" i="6"/>
  <c r="R88" i="6"/>
  <c r="U89" i="6"/>
  <c r="Y90" i="6"/>
  <c r="Q93" i="6"/>
  <c r="T94" i="6"/>
  <c r="X95" i="6"/>
  <c r="AA96" i="6"/>
  <c r="P98" i="6"/>
  <c r="S99" i="6"/>
  <c r="W100" i="6"/>
  <c r="Z101" i="6"/>
  <c r="O103" i="6"/>
  <c r="R104" i="6"/>
  <c r="U105" i="6"/>
  <c r="Y106" i="6"/>
  <c r="Q109" i="6"/>
  <c r="T110" i="6"/>
  <c r="X111" i="6"/>
  <c r="AA112" i="6"/>
  <c r="U78" i="6"/>
  <c r="P79" i="6"/>
  <c r="Y79" i="6"/>
  <c r="S80" i="6"/>
  <c r="W81" i="6"/>
  <c r="Q82" i="6"/>
  <c r="Z82" i="6"/>
  <c r="T83" i="6"/>
  <c r="O84" i="6"/>
  <c r="X84" i="6"/>
  <c r="R85" i="6"/>
  <c r="AA85" i="6"/>
  <c r="U86" i="6"/>
  <c r="P87" i="6"/>
  <c r="Y87" i="6"/>
  <c r="S88" i="6"/>
  <c r="W89" i="6"/>
  <c r="Q90" i="6"/>
  <c r="Z90" i="6"/>
  <c r="T91" i="6"/>
  <c r="O92" i="6"/>
  <c r="X92" i="6"/>
  <c r="R93" i="6"/>
  <c r="AA93" i="6"/>
  <c r="U94" i="6"/>
  <c r="P95" i="6"/>
  <c r="Y95" i="6"/>
  <c r="S96" i="6"/>
  <c r="W97" i="6"/>
  <c r="Q98" i="6"/>
  <c r="Z98" i="6"/>
  <c r="T99" i="6"/>
  <c r="O100" i="6"/>
  <c r="X100" i="6"/>
  <c r="R101" i="6"/>
  <c r="AA101" i="6"/>
  <c r="U102" i="6"/>
  <c r="P103" i="6"/>
  <c r="Y103" i="6"/>
  <c r="S104" i="6"/>
  <c r="W105" i="6"/>
  <c r="Q106" i="6"/>
  <c r="Z106" i="6"/>
  <c r="T107" i="6"/>
  <c r="O108" i="6"/>
  <c r="X108" i="6"/>
  <c r="R109" i="6"/>
  <c r="AA109" i="6"/>
  <c r="U110" i="6"/>
  <c r="P111" i="6"/>
  <c r="Y111" i="6"/>
  <c r="S112" i="6"/>
  <c r="W113" i="6"/>
  <c r="P78" i="6"/>
  <c r="Y78" i="6"/>
  <c r="S79" i="6"/>
  <c r="W80" i="6"/>
  <c r="Q81" i="6"/>
  <c r="Z81" i="6"/>
  <c r="T82" i="6"/>
  <c r="O83" i="6"/>
  <c r="X83" i="6"/>
  <c r="R84" i="6"/>
  <c r="AA84" i="6"/>
  <c r="U85" i="6"/>
  <c r="P86" i="6"/>
  <c r="Y86" i="6"/>
  <c r="S87" i="6"/>
  <c r="W88" i="6"/>
  <c r="Q89" i="6"/>
  <c r="Z89" i="6"/>
  <c r="T90" i="6"/>
  <c r="O91" i="6"/>
  <c r="X91" i="6"/>
  <c r="R92" i="6"/>
  <c r="AA92" i="6"/>
  <c r="U93" i="6"/>
  <c r="P94" i="6"/>
  <c r="Y94" i="6"/>
  <c r="S95" i="6"/>
  <c r="W96" i="6"/>
  <c r="Q97" i="6"/>
  <c r="Z97" i="6"/>
  <c r="T98" i="6"/>
  <c r="O99" i="6"/>
  <c r="X99" i="6"/>
  <c r="R100" i="6"/>
  <c r="AA100" i="6"/>
  <c r="U101" i="6"/>
  <c r="P102" i="6"/>
  <c r="Y102" i="6"/>
  <c r="S103" i="6"/>
  <c r="W104" i="6"/>
  <c r="Q105" i="6"/>
  <c r="Z105" i="6"/>
  <c r="T106" i="6"/>
  <c r="O107" i="6"/>
  <c r="X107" i="6"/>
  <c r="R108" i="6"/>
  <c r="AA108" i="6"/>
  <c r="U109" i="6"/>
  <c r="P110" i="6"/>
  <c r="Y110" i="6"/>
  <c r="S111" i="6"/>
  <c r="W112" i="6"/>
  <c r="Q113" i="6"/>
  <c r="Z113" i="6"/>
  <c r="R78" i="6"/>
  <c r="AA78" i="6"/>
  <c r="U79" i="6"/>
  <c r="P80" i="6"/>
  <c r="Y80" i="6"/>
  <c r="S81" i="6"/>
  <c r="W82" i="6"/>
  <c r="Q83" i="6"/>
  <c r="Z83" i="6"/>
  <c r="T84" i="6"/>
  <c r="O85" i="6"/>
  <c r="X85" i="6"/>
  <c r="R86" i="6"/>
  <c r="AA86" i="6"/>
  <c r="U87" i="6"/>
  <c r="P88" i="6"/>
  <c r="Y88" i="6"/>
  <c r="S89" i="6"/>
  <c r="W90" i="6"/>
  <c r="Q91" i="6"/>
  <c r="Z91" i="6"/>
  <c r="T92" i="6"/>
  <c r="O93" i="6"/>
  <c r="X93" i="6"/>
  <c r="R94" i="6"/>
  <c r="AA94" i="6"/>
  <c r="U95" i="6"/>
  <c r="P96" i="6"/>
  <c r="Y96" i="6"/>
  <c r="S97" i="6"/>
  <c r="W98" i="6"/>
  <c r="Q99" i="6"/>
  <c r="Z99" i="6"/>
  <c r="T100" i="6"/>
  <c r="O101" i="6"/>
  <c r="X101" i="6"/>
  <c r="R102" i="6"/>
  <c r="AA102" i="6"/>
  <c r="U103" i="6"/>
  <c r="P104" i="6"/>
  <c r="Y104" i="6"/>
  <c r="S105" i="6"/>
  <c r="W106" i="6"/>
  <c r="Q107" i="6"/>
  <c r="Z107" i="6"/>
  <c r="T108" i="6"/>
  <c r="O109" i="6"/>
  <c r="X109" i="6"/>
  <c r="R110" i="6"/>
  <c r="AA110" i="6"/>
  <c r="U111" i="6"/>
  <c r="P112" i="6"/>
  <c r="Y112" i="6"/>
  <c r="S113" i="6"/>
  <c r="S78" i="6"/>
  <c r="W79" i="6"/>
  <c r="Q80" i="6"/>
  <c r="Z80" i="6"/>
  <c r="T81" i="6"/>
  <c r="O82" i="6"/>
  <c r="X82" i="6"/>
  <c r="R83" i="6"/>
  <c r="AA83" i="6"/>
  <c r="U84" i="6"/>
  <c r="P85" i="6"/>
  <c r="Y85" i="6"/>
  <c r="S86" i="6"/>
  <c r="W87" i="6"/>
  <c r="Q88" i="6"/>
  <c r="Z88" i="6"/>
  <c r="T89" i="6"/>
  <c r="O90" i="6"/>
  <c r="X90" i="6"/>
  <c r="R91" i="6"/>
  <c r="AA91" i="6"/>
  <c r="U92" i="6"/>
  <c r="P93" i="6"/>
  <c r="Y93" i="6"/>
  <c r="S94" i="6"/>
  <c r="W95" i="6"/>
  <c r="Q96" i="6"/>
  <c r="Z96" i="6"/>
  <c r="T97" i="6"/>
  <c r="O98" i="6"/>
  <c r="X98" i="6"/>
  <c r="R99" i="6"/>
  <c r="AA99" i="6"/>
  <c r="U100" i="6"/>
  <c r="P101" i="6"/>
  <c r="Y101" i="6"/>
  <c r="S102" i="6"/>
  <c r="W103" i="6"/>
  <c r="Q104" i="6"/>
  <c r="Z104" i="6"/>
  <c r="T105" i="6"/>
  <c r="O106" i="6"/>
  <c r="X106" i="6"/>
  <c r="R107" i="6"/>
  <c r="AA107" i="6"/>
  <c r="U108" i="6"/>
  <c r="P109" i="6"/>
  <c r="Y109" i="6"/>
  <c r="S110" i="6"/>
  <c r="W111" i="6"/>
  <c r="Q112" i="6"/>
  <c r="Z112" i="6"/>
  <c r="T113" i="6"/>
  <c r="P117" i="6"/>
  <c r="Y133" i="6"/>
  <c r="W149" i="6"/>
  <c r="X147" i="6"/>
  <c r="O125" i="6"/>
  <c r="AA132" i="6"/>
  <c r="Z140" i="6"/>
  <c r="U148" i="6"/>
  <c r="S117" i="6"/>
  <c r="Q121" i="6"/>
  <c r="AA126" i="6"/>
  <c r="Z134" i="6"/>
  <c r="Y142" i="6"/>
  <c r="X150" i="6"/>
  <c r="U117" i="6"/>
  <c r="Z121" i="6"/>
  <c r="AA135" i="6"/>
  <c r="W143" i="6"/>
  <c r="U151" i="6"/>
  <c r="Y117" i="6"/>
  <c r="T122" i="6"/>
  <c r="Z128" i="6"/>
  <c r="X144" i="6"/>
  <c r="O126" i="6"/>
  <c r="X141" i="6"/>
  <c r="W152" i="6"/>
  <c r="P118" i="6"/>
  <c r="O123" i="6"/>
  <c r="AA129" i="6"/>
  <c r="Z137" i="6"/>
  <c r="Y145" i="6"/>
  <c r="Y136" i="6"/>
  <c r="Y118" i="6"/>
  <c r="X123" i="6"/>
  <c r="X138" i="6"/>
  <c r="W146" i="6"/>
  <c r="W120" i="6"/>
  <c r="S119" i="6"/>
  <c r="R124" i="6"/>
  <c r="Z131" i="6"/>
  <c r="Y139" i="6"/>
  <c r="Q119" i="6"/>
  <c r="X121" i="6"/>
  <c r="W127" i="6"/>
  <c r="S148" i="6"/>
  <c r="T117" i="6"/>
  <c r="O118" i="6"/>
  <c r="X118" i="6"/>
  <c r="R119" i="6"/>
  <c r="AA119" i="6"/>
  <c r="U120" i="6"/>
  <c r="P121" i="6"/>
  <c r="Y121" i="6"/>
  <c r="S122" i="6"/>
  <c r="W123" i="6"/>
  <c r="Q124" i="6"/>
  <c r="Y125" i="6"/>
  <c r="Z126" i="6"/>
  <c r="AA127" i="6"/>
  <c r="Y128" i="6"/>
  <c r="Z129" i="6"/>
  <c r="X130" i="6"/>
  <c r="Y131" i="6"/>
  <c r="Z132" i="6"/>
  <c r="X133" i="6"/>
  <c r="Y134" i="6"/>
  <c r="W135" i="6"/>
  <c r="X136" i="6"/>
  <c r="Y137" i="6"/>
  <c r="W138" i="6"/>
  <c r="X139" i="6"/>
  <c r="U140" i="6"/>
  <c r="W141" i="6"/>
  <c r="X142" i="6"/>
  <c r="U143" i="6"/>
  <c r="W144" i="6"/>
  <c r="T145" i="6"/>
  <c r="U146" i="6"/>
  <c r="W147" i="6"/>
  <c r="T148" i="6"/>
  <c r="U149" i="6"/>
  <c r="S150" i="6"/>
  <c r="T151" i="6"/>
  <c r="U152" i="6"/>
  <c r="W117" i="6"/>
  <c r="Q118" i="6"/>
  <c r="Z118" i="6"/>
  <c r="T119" i="6"/>
  <c r="O120" i="6"/>
  <c r="X120" i="6"/>
  <c r="R121" i="6"/>
  <c r="AA121" i="6"/>
  <c r="U122" i="6"/>
  <c r="P123" i="6"/>
  <c r="Y123" i="6"/>
  <c r="S124" i="6"/>
  <c r="P125" i="6"/>
  <c r="P126" i="6"/>
  <c r="O128" i="6"/>
  <c r="P129" i="6"/>
  <c r="O131" i="6"/>
  <c r="AA131" i="6"/>
  <c r="O134" i="6"/>
  <c r="AA134" i="6"/>
  <c r="Z136" i="6"/>
  <c r="AA137" i="6"/>
  <c r="Z139" i="6"/>
  <c r="AA140" i="6"/>
  <c r="Y141" i="6"/>
  <c r="Z142" i="6"/>
  <c r="AA143" i="6"/>
  <c r="Y144" i="6"/>
  <c r="Z145" i="6"/>
  <c r="X146" i="6"/>
  <c r="Y147" i="6"/>
  <c r="Z148" i="6"/>
  <c r="X149" i="6"/>
  <c r="Y150" i="6"/>
  <c r="W151" i="6"/>
  <c r="X152" i="6"/>
  <c r="O117" i="6"/>
  <c r="X117" i="6"/>
  <c r="R118" i="6"/>
  <c r="AA118" i="6"/>
  <c r="U119" i="6"/>
  <c r="P120" i="6"/>
  <c r="Y120" i="6"/>
  <c r="S121" i="6"/>
  <c r="W122" i="6"/>
  <c r="Q123" i="6"/>
  <c r="Z123" i="6"/>
  <c r="T124" i="6"/>
  <c r="R125" i="6"/>
  <c r="Q126" i="6"/>
  <c r="R127" i="6"/>
  <c r="P128" i="6"/>
  <c r="Q129" i="6"/>
  <c r="O130" i="6"/>
  <c r="P131" i="6"/>
  <c r="Q132" i="6"/>
  <c r="O133" i="6"/>
  <c r="P134" i="6"/>
  <c r="O136" i="6"/>
  <c r="P137" i="6"/>
  <c r="O139" i="6"/>
  <c r="AA139" i="6"/>
  <c r="O142" i="6"/>
  <c r="AA142" i="6"/>
  <c r="Z144" i="6"/>
  <c r="AA145" i="6"/>
  <c r="Z147" i="6"/>
  <c r="AA148" i="6"/>
  <c r="Y149" i="6"/>
  <c r="Z150" i="6"/>
  <c r="AA151" i="6"/>
  <c r="Y152" i="6"/>
  <c r="S118" i="6"/>
  <c r="W119" i="6"/>
  <c r="Q120" i="6"/>
  <c r="Z120" i="6"/>
  <c r="O122" i="6"/>
  <c r="X122" i="6"/>
  <c r="R123" i="6"/>
  <c r="AA123" i="6"/>
  <c r="U124" i="6"/>
  <c r="T125" i="6"/>
  <c r="R126" i="6"/>
  <c r="Q128" i="6"/>
  <c r="R129" i="6"/>
  <c r="S130" i="6"/>
  <c r="Q131" i="6"/>
  <c r="R132" i="6"/>
  <c r="P133" i="6"/>
  <c r="Q134" i="6"/>
  <c r="R135" i="6"/>
  <c r="P136" i="6"/>
  <c r="Q137" i="6"/>
  <c r="O138" i="6"/>
  <c r="P139" i="6"/>
  <c r="Q140" i="6"/>
  <c r="O141" i="6"/>
  <c r="P142" i="6"/>
  <c r="O144" i="6"/>
  <c r="P145" i="6"/>
  <c r="O147" i="6"/>
  <c r="AA147" i="6"/>
  <c r="O150" i="6"/>
  <c r="AA150" i="6"/>
  <c r="Z152" i="6"/>
  <c r="T121" i="6"/>
  <c r="S127" i="6"/>
  <c r="Q117" i="6"/>
  <c r="Z117" i="6"/>
  <c r="T118" i="6"/>
  <c r="O119" i="6"/>
  <c r="X119" i="6"/>
  <c r="R120" i="6"/>
  <c r="AA120" i="6"/>
  <c r="U121" i="6"/>
  <c r="P122" i="6"/>
  <c r="Y122" i="6"/>
  <c r="S123" i="6"/>
  <c r="X124" i="6"/>
  <c r="U125" i="6"/>
  <c r="S126" i="6"/>
  <c r="T127" i="6"/>
  <c r="U128" i="6"/>
  <c r="S129" i="6"/>
  <c r="T130" i="6"/>
  <c r="R131" i="6"/>
  <c r="S132" i="6"/>
  <c r="T133" i="6"/>
  <c r="R134" i="6"/>
  <c r="S135" i="6"/>
  <c r="Q136" i="6"/>
  <c r="R137" i="6"/>
  <c r="S138" i="6"/>
  <c r="Q139" i="6"/>
  <c r="R140" i="6"/>
  <c r="P141" i="6"/>
  <c r="Q142" i="6"/>
  <c r="R143" i="6"/>
  <c r="P144" i="6"/>
  <c r="Q145" i="6"/>
  <c r="O146" i="6"/>
  <c r="P147" i="6"/>
  <c r="Q148" i="6"/>
  <c r="O149" i="6"/>
  <c r="P150" i="6"/>
  <c r="O152" i="6"/>
  <c r="R117" i="6"/>
  <c r="AA117" i="6"/>
  <c r="U118" i="6"/>
  <c r="P119" i="6"/>
  <c r="Y119" i="6"/>
  <c r="S120" i="6"/>
  <c r="W121" i="6"/>
  <c r="Q122" i="6"/>
  <c r="Z122" i="6"/>
  <c r="T123" i="6"/>
  <c r="O124" i="6"/>
  <c r="Z124" i="6"/>
  <c r="W125" i="6"/>
  <c r="X126" i="6"/>
  <c r="U127" i="6"/>
  <c r="W128" i="6"/>
  <c r="T129" i="6"/>
  <c r="U130" i="6"/>
  <c r="W131" i="6"/>
  <c r="T132" i="6"/>
  <c r="U133" i="6"/>
  <c r="S134" i="6"/>
  <c r="T135" i="6"/>
  <c r="U136" i="6"/>
  <c r="S137" i="6"/>
  <c r="T138" i="6"/>
  <c r="R139" i="6"/>
  <c r="S140" i="6"/>
  <c r="T141" i="6"/>
  <c r="R142" i="6"/>
  <c r="S143" i="6"/>
  <c r="Q144" i="6"/>
  <c r="R145" i="6"/>
  <c r="S146" i="6"/>
  <c r="Q147" i="6"/>
  <c r="R148" i="6"/>
  <c r="P149" i="6"/>
  <c r="Q150" i="6"/>
  <c r="R151" i="6"/>
  <c r="P152" i="6"/>
  <c r="W118" i="6"/>
  <c r="Z119" i="6"/>
  <c r="T120" i="6"/>
  <c r="O121" i="6"/>
  <c r="R122" i="6"/>
  <c r="AA122" i="6"/>
  <c r="U123" i="6"/>
  <c r="P124" i="6"/>
  <c r="AA124" i="6"/>
  <c r="X125" i="6"/>
  <c r="Y126" i="6"/>
  <c r="X128" i="6"/>
  <c r="Y129" i="6"/>
  <c r="W130" i="6"/>
  <c r="X131" i="6"/>
  <c r="U132" i="6"/>
  <c r="W133" i="6"/>
  <c r="X134" i="6"/>
  <c r="U135" i="6"/>
  <c r="W136" i="6"/>
  <c r="T137" i="6"/>
  <c r="U138" i="6"/>
  <c r="W139" i="6"/>
  <c r="T140" i="6"/>
  <c r="U141" i="6"/>
  <c r="S142" i="6"/>
  <c r="T143" i="6"/>
  <c r="U144" i="6"/>
  <c r="S145" i="6"/>
  <c r="T146" i="6"/>
  <c r="R147" i="6"/>
  <c r="T149" i="6"/>
  <c r="R150" i="6"/>
  <c r="S151" i="6"/>
  <c r="Q152" i="6"/>
  <c r="W124" i="6"/>
  <c r="Q125" i="6"/>
  <c r="Z125" i="6"/>
  <c r="T126" i="6"/>
  <c r="O127" i="6"/>
  <c r="X127" i="6"/>
  <c r="R128" i="6"/>
  <c r="AA128" i="6"/>
  <c r="U129" i="6"/>
  <c r="P130" i="6"/>
  <c r="Y130" i="6"/>
  <c r="S131" i="6"/>
  <c r="W132" i="6"/>
  <c r="Q133" i="6"/>
  <c r="Z133" i="6"/>
  <c r="T134" i="6"/>
  <c r="O135" i="6"/>
  <c r="X135" i="6"/>
  <c r="R136" i="6"/>
  <c r="AA136" i="6"/>
  <c r="U137" i="6"/>
  <c r="P138" i="6"/>
  <c r="Y138" i="6"/>
  <c r="S139" i="6"/>
  <c r="W140" i="6"/>
  <c r="Q141" i="6"/>
  <c r="Z141" i="6"/>
  <c r="T142" i="6"/>
  <c r="O143" i="6"/>
  <c r="X143" i="6"/>
  <c r="R144" i="6"/>
  <c r="AA144" i="6"/>
  <c r="U145" i="6"/>
  <c r="P146" i="6"/>
  <c r="Y146" i="6"/>
  <c r="S147" i="6"/>
  <c r="W148" i="6"/>
  <c r="Q149" i="6"/>
  <c r="Z149" i="6"/>
  <c r="T150" i="6"/>
  <c r="O151" i="6"/>
  <c r="X151" i="6"/>
  <c r="R152" i="6"/>
  <c r="AA152" i="6"/>
  <c r="AA125" i="6"/>
  <c r="U126" i="6"/>
  <c r="P127" i="6"/>
  <c r="Y127" i="6"/>
  <c r="S128" i="6"/>
  <c r="W129" i="6"/>
  <c r="Q130" i="6"/>
  <c r="Z130" i="6"/>
  <c r="T131" i="6"/>
  <c r="O132" i="6"/>
  <c r="X132" i="6"/>
  <c r="R133" i="6"/>
  <c r="AA133" i="6"/>
  <c r="U134" i="6"/>
  <c r="P135" i="6"/>
  <c r="Y135" i="6"/>
  <c r="S136" i="6"/>
  <c r="W137" i="6"/>
  <c r="Q138" i="6"/>
  <c r="Z138" i="6"/>
  <c r="T139" i="6"/>
  <c r="O140" i="6"/>
  <c r="X140" i="6"/>
  <c r="R141" i="6"/>
  <c r="AA141" i="6"/>
  <c r="U142" i="6"/>
  <c r="P143" i="6"/>
  <c r="Y143" i="6"/>
  <c r="S144" i="6"/>
  <c r="W145" i="6"/>
  <c r="Q146" i="6"/>
  <c r="Z146" i="6"/>
  <c r="T147" i="6"/>
  <c r="O148" i="6"/>
  <c r="X148" i="6"/>
  <c r="R149" i="6"/>
  <c r="AA149" i="6"/>
  <c r="U150" i="6"/>
  <c r="P151" i="6"/>
  <c r="Y151" i="6"/>
  <c r="S152" i="6"/>
  <c r="Y124" i="6"/>
  <c r="S125" i="6"/>
  <c r="W126" i="6"/>
  <c r="Q127" i="6"/>
  <c r="Z127" i="6"/>
  <c r="T128" i="6"/>
  <c r="O129" i="6"/>
  <c r="X129" i="6"/>
  <c r="R130" i="6"/>
  <c r="AA130" i="6"/>
  <c r="U131" i="6"/>
  <c r="P132" i="6"/>
  <c r="Y132" i="6"/>
  <c r="S133" i="6"/>
  <c r="W134" i="6"/>
  <c r="Q135" i="6"/>
  <c r="Z135" i="6"/>
  <c r="T136" i="6"/>
  <c r="O137" i="6"/>
  <c r="X137" i="6"/>
  <c r="R138" i="6"/>
  <c r="AA138" i="6"/>
  <c r="U139" i="6"/>
  <c r="P140" i="6"/>
  <c r="Y140" i="6"/>
  <c r="S141" i="6"/>
  <c r="W142" i="6"/>
  <c r="Q143" i="6"/>
  <c r="Z143" i="6"/>
  <c r="T144" i="6"/>
  <c r="O145" i="6"/>
  <c r="X145" i="6"/>
  <c r="R146" i="6"/>
  <c r="AA146" i="6"/>
  <c r="U147" i="6"/>
  <c r="P148" i="6"/>
  <c r="Y148" i="6"/>
  <c r="S149" i="6"/>
  <c r="W150" i="6"/>
  <c r="Q151" i="6"/>
  <c r="Z151" i="6"/>
  <c r="T152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BN8" i="6"/>
  <c r="BN24" i="6"/>
  <c r="BO8" i="6"/>
  <c r="BO44" i="6"/>
  <c r="BO25" i="6"/>
  <c r="BO32" i="6"/>
  <c r="BO42" i="6"/>
  <c r="BO16" i="6"/>
  <c r="BO34" i="6"/>
  <c r="BO26" i="6"/>
  <c r="BO28" i="6"/>
  <c r="BO10" i="6"/>
  <c r="BO27" i="6"/>
  <c r="BO13" i="6"/>
  <c r="BO41" i="6"/>
  <c r="BO12" i="6"/>
  <c r="BO31" i="6"/>
  <c r="BO40" i="6"/>
  <c r="BO15" i="6"/>
  <c r="BO22" i="6"/>
  <c r="BO36" i="6"/>
  <c r="BO35" i="6"/>
  <c r="BO21" i="6"/>
  <c r="BO33" i="6"/>
  <c r="BO11" i="6"/>
  <c r="BO23" i="6"/>
  <c r="BO20" i="6"/>
  <c r="BO9" i="6"/>
  <c r="BO17" i="6"/>
  <c r="BO37" i="6"/>
  <c r="BO38" i="6"/>
  <c r="BO14" i="6"/>
  <c r="BO39" i="6"/>
  <c r="BO29" i="6"/>
  <c r="BO30" i="6"/>
  <c r="BO19" i="6"/>
  <c r="AV8" i="6"/>
  <c r="AV42" i="6"/>
  <c r="AV37" i="6"/>
  <c r="AV11" i="6"/>
  <c r="AV32" i="6"/>
  <c r="AV41" i="6"/>
  <c r="AV27" i="6"/>
  <c r="AV12" i="6"/>
  <c r="AU8" i="6"/>
  <c r="AU18" i="6"/>
  <c r="AU34" i="6"/>
  <c r="AU42" i="6"/>
  <c r="AU26" i="6"/>
  <c r="AU20" i="6"/>
  <c r="AU40" i="6"/>
  <c r="AU10" i="6"/>
  <c r="AU35" i="6"/>
  <c r="AU25" i="6"/>
  <c r="AU16" i="6"/>
  <c r="AU38" i="6"/>
  <c r="AU43" i="6"/>
  <c r="AU36" i="6"/>
  <c r="AU19" i="6"/>
  <c r="AU44" i="6"/>
  <c r="AU31" i="6"/>
  <c r="AU30" i="6"/>
  <c r="AU12" i="6"/>
  <c r="AU14" i="6"/>
  <c r="AU21" i="6"/>
  <c r="AU33" i="6"/>
  <c r="AU24" i="6"/>
  <c r="AU9" i="6"/>
  <c r="AU17" i="6"/>
  <c r="AU22" i="6"/>
  <c r="AU11" i="6"/>
  <c r="AU37" i="6"/>
  <c r="AU27" i="6"/>
  <c r="AU28" i="6"/>
  <c r="AU41" i="6"/>
  <c r="AU29" i="6"/>
  <c r="AU15" i="6"/>
  <c r="AU32" i="6"/>
  <c r="AU39" i="6"/>
  <c r="AU13" i="6"/>
  <c r="AV35" i="6"/>
  <c r="AV28" i="6"/>
  <c r="AV20" i="6"/>
  <c r="AV31" i="6"/>
  <c r="BN41" i="6"/>
  <c r="BN27" i="6"/>
  <c r="BN21" i="6"/>
  <c r="BN22" i="6"/>
  <c r="BN17" i="6"/>
  <c r="BN9" i="6"/>
  <c r="BN29" i="6"/>
  <c r="BN39" i="6"/>
  <c r="BN36" i="6"/>
  <c r="BN26" i="6"/>
  <c r="BN25" i="6"/>
  <c r="BN38" i="6"/>
  <c r="BN13" i="6"/>
  <c r="BN34" i="6"/>
  <c r="BN44" i="6"/>
  <c r="BN43" i="6"/>
  <c r="BN15" i="6"/>
  <c r="BN14" i="6"/>
  <c r="BN10" i="6"/>
  <c r="BN12" i="6"/>
  <c r="BN32" i="6"/>
  <c r="BN11" i="6"/>
  <c r="BN31" i="6"/>
  <c r="BN23" i="6"/>
  <c r="BN37" i="6"/>
  <c r="BN40" i="6"/>
  <c r="BN35" i="6"/>
  <c r="BN20" i="6"/>
  <c r="BN16" i="6"/>
  <c r="BN28" i="6"/>
  <c r="BN30" i="6"/>
  <c r="BN19" i="6"/>
  <c r="BN33" i="6"/>
  <c r="AP8" i="6"/>
  <c r="AP24" i="6"/>
  <c r="AV25" i="6"/>
  <c r="AV22" i="6"/>
  <c r="AV43" i="6"/>
  <c r="AV39" i="6"/>
  <c r="AH8" i="6"/>
  <c r="AH28" i="6"/>
  <c r="AH24" i="6"/>
  <c r="AH14" i="6"/>
  <c r="AH39" i="6"/>
  <c r="AH44" i="6"/>
  <c r="AH31" i="6"/>
  <c r="AH9" i="6"/>
  <c r="AH21" i="6"/>
  <c r="AH32" i="6"/>
  <c r="AH22" i="6"/>
  <c r="AH37" i="6"/>
  <c r="AH16" i="6"/>
  <c r="AH36" i="6"/>
  <c r="AH42" i="6"/>
  <c r="AH18" i="6"/>
  <c r="AH41" i="6"/>
  <c r="AH40" i="6"/>
  <c r="AH13" i="6"/>
  <c r="AH35" i="6"/>
  <c r="AH11" i="6"/>
  <c r="AH17" i="6"/>
  <c r="AH15" i="6"/>
  <c r="AH12" i="6"/>
  <c r="AH25" i="6"/>
  <c r="AH34" i="6"/>
  <c r="AH33" i="6"/>
  <c r="AH29" i="6"/>
  <c r="AH20" i="6"/>
  <c r="AH30" i="6"/>
  <c r="AH43" i="6"/>
  <c r="AH27" i="6"/>
  <c r="AH38" i="6"/>
  <c r="AH26" i="6"/>
  <c r="AH23" i="6"/>
  <c r="AH19" i="6"/>
  <c r="AQ8" i="6"/>
  <c r="AQ16" i="6"/>
  <c r="AQ31" i="6"/>
  <c r="AQ24" i="6"/>
  <c r="AQ12" i="6"/>
  <c r="AQ21" i="6"/>
  <c r="AQ22" i="6"/>
  <c r="AQ27" i="6"/>
  <c r="AQ17" i="6"/>
  <c r="AQ43" i="6"/>
  <c r="AQ20" i="6"/>
  <c r="AQ44" i="6"/>
  <c r="AQ9" i="6"/>
  <c r="AQ11" i="6"/>
  <c r="AQ29" i="6"/>
  <c r="AQ42" i="6"/>
  <c r="AQ34" i="6"/>
  <c r="AQ25" i="6"/>
  <c r="AQ36" i="6"/>
  <c r="AQ26" i="6"/>
  <c r="AQ35" i="6"/>
  <c r="AQ33" i="6"/>
  <c r="AQ40" i="6"/>
  <c r="AQ30" i="6"/>
  <c r="AQ32" i="6"/>
  <c r="AQ23" i="6"/>
  <c r="AQ18" i="6"/>
  <c r="AQ13" i="6"/>
  <c r="AQ37" i="6"/>
  <c r="AQ38" i="6"/>
  <c r="AQ41" i="6"/>
  <c r="AQ14" i="6"/>
  <c r="AQ28" i="6"/>
  <c r="AQ39" i="6"/>
  <c r="AQ15" i="6"/>
  <c r="AQ10" i="6"/>
  <c r="AV40" i="6"/>
  <c r="AV26" i="6"/>
  <c r="AV10" i="6"/>
  <c r="AV23" i="6"/>
  <c r="BO18" i="6"/>
  <c r="AV19" i="6"/>
  <c r="AV30" i="6"/>
  <c r="AV36" i="6"/>
  <c r="AV14" i="6"/>
  <c r="AV15" i="6"/>
  <c r="AP31" i="6"/>
  <c r="AP29" i="6"/>
  <c r="AP39" i="6"/>
  <c r="AP12" i="6"/>
  <c r="AP11" i="6"/>
  <c r="AP16" i="6"/>
  <c r="AP9" i="6"/>
  <c r="AP20" i="6"/>
  <c r="AP34" i="6"/>
  <c r="AP26" i="6"/>
  <c r="AP38" i="6"/>
  <c r="AP28" i="6"/>
  <c r="AP33" i="6"/>
  <c r="AP35" i="6"/>
  <c r="AP30" i="6"/>
  <c r="AP41" i="6"/>
  <c r="AP37" i="6"/>
  <c r="AP36" i="6"/>
  <c r="AP23" i="6"/>
  <c r="AP21" i="6"/>
  <c r="AP27" i="6"/>
  <c r="AP43" i="6"/>
  <c r="AP40" i="6"/>
  <c r="AP10" i="6"/>
  <c r="AP13" i="6"/>
  <c r="AP14" i="6"/>
  <c r="AP44" i="6"/>
  <c r="AP15" i="6"/>
  <c r="AP32" i="6"/>
  <c r="AP42" i="6"/>
  <c r="AP17" i="6"/>
  <c r="AP25" i="6"/>
  <c r="AP22" i="6"/>
  <c r="AP19" i="6"/>
  <c r="AV13" i="6"/>
  <c r="AV34" i="6"/>
  <c r="AV38" i="6"/>
  <c r="AV44" i="6"/>
  <c r="AV21" i="6"/>
  <c r="AV18" i="6"/>
  <c r="G17" i="14"/>
  <c r="AQ27" i="14"/>
  <c r="E30" i="14"/>
  <c r="AQ37" i="14"/>
  <c r="E37" i="14"/>
  <c r="G7" i="14"/>
  <c r="G6" i="14"/>
  <c r="AR21" i="14"/>
  <c r="E21" i="14"/>
  <c r="AQ31" i="14"/>
  <c r="E31" i="14"/>
  <c r="AE12" i="6"/>
  <c r="AO8" i="6"/>
  <c r="AO32" i="6"/>
  <c r="AO44" i="6"/>
  <c r="AO15" i="6"/>
  <c r="AO18" i="6"/>
  <c r="AO24" i="6"/>
  <c r="AO21" i="6"/>
  <c r="AO16" i="6"/>
  <c r="AO26" i="6"/>
  <c r="AO19" i="6"/>
  <c r="AO33" i="6"/>
  <c r="AO10" i="6"/>
  <c r="AO37" i="6"/>
  <c r="AO42" i="6"/>
  <c r="AO39" i="6"/>
  <c r="AO23" i="6"/>
  <c r="AO36" i="6"/>
  <c r="AO34" i="6"/>
  <c r="AO31" i="6"/>
  <c r="AX8" i="6"/>
  <c r="AX19" i="6"/>
  <c r="AX39" i="6"/>
  <c r="AX32" i="6"/>
  <c r="AX33" i="6"/>
  <c r="AX21" i="6"/>
  <c r="AX44" i="6"/>
  <c r="AX42" i="6"/>
  <c r="AX38" i="6"/>
  <c r="AN8" i="6"/>
  <c r="AN42" i="6"/>
  <c r="AN33" i="6"/>
  <c r="AN23" i="6"/>
  <c r="AN44" i="6"/>
  <c r="AN21" i="6"/>
  <c r="AN39" i="6"/>
  <c r="AN15" i="6"/>
  <c r="AN32" i="6"/>
  <c r="AG8" i="6"/>
  <c r="AG12" i="6"/>
  <c r="AG22" i="6"/>
  <c r="AG18" i="6"/>
  <c r="AG34" i="6"/>
  <c r="AG14" i="6"/>
  <c r="AG35" i="6"/>
  <c r="AG24" i="6"/>
  <c r="AG31" i="6"/>
  <c r="AG30" i="6"/>
  <c r="AG43" i="6"/>
  <c r="AG15" i="6"/>
  <c r="AG16" i="6"/>
  <c r="AG13" i="6"/>
  <c r="AG44" i="6"/>
  <c r="AG23" i="6"/>
  <c r="AG36" i="6"/>
  <c r="AG29" i="6"/>
  <c r="AG11" i="6"/>
  <c r="AG32" i="6"/>
  <c r="AG21" i="6"/>
  <c r="AG39" i="6"/>
  <c r="AG40" i="6"/>
  <c r="AG10" i="6"/>
  <c r="AG28" i="6"/>
  <c r="AG41" i="6"/>
  <c r="AG33" i="6"/>
  <c r="AG38" i="6"/>
  <c r="AG27" i="6"/>
  <c r="AG19" i="6"/>
  <c r="AG42" i="6"/>
  <c r="AG25" i="6"/>
  <c r="AG20" i="6"/>
  <c r="AJ8" i="6"/>
  <c r="AJ14" i="6"/>
  <c r="AJ33" i="6"/>
  <c r="AJ21" i="6"/>
  <c r="AJ15" i="6"/>
  <c r="AJ18" i="6"/>
  <c r="AJ34" i="6"/>
  <c r="AJ40" i="6"/>
  <c r="AJ36" i="6"/>
  <c r="AJ11" i="6"/>
  <c r="AJ31" i="6"/>
  <c r="AJ13" i="6"/>
  <c r="AJ28" i="6"/>
  <c r="AJ19" i="6"/>
  <c r="AJ23" i="6"/>
  <c r="AJ29" i="6"/>
  <c r="AJ38" i="6"/>
  <c r="AJ10" i="6"/>
  <c r="AJ25" i="6"/>
  <c r="AJ27" i="6"/>
  <c r="AJ24" i="6"/>
  <c r="AJ44" i="6"/>
  <c r="AJ35" i="6"/>
  <c r="AJ39" i="6"/>
  <c r="AJ32" i="6"/>
  <c r="AJ42" i="6"/>
  <c r="AJ20" i="6"/>
  <c r="AJ16" i="6"/>
  <c r="AR8" i="6"/>
  <c r="AR38" i="6"/>
  <c r="AR21" i="6"/>
  <c r="AR36" i="6"/>
  <c r="AR39" i="6"/>
  <c r="AR10" i="6"/>
  <c r="AR32" i="6"/>
  <c r="AR11" i="6"/>
  <c r="AR44" i="6"/>
  <c r="AR27" i="6"/>
  <c r="AG17" i="6"/>
  <c r="AJ37" i="6"/>
  <c r="AG26" i="6"/>
  <c r="BP8" i="6"/>
  <c r="BP27" i="6"/>
  <c r="BP31" i="6"/>
  <c r="BP24" i="6"/>
  <c r="BP15" i="6"/>
  <c r="BP28" i="6"/>
  <c r="BP40" i="6"/>
  <c r="BP41" i="6"/>
  <c r="BP43" i="6"/>
  <c r="AV29" i="6"/>
  <c r="AR24" i="6"/>
  <c r="AX16" i="6"/>
  <c r="BP13" i="6"/>
  <c r="BP12" i="6"/>
  <c r="BP10" i="6"/>
  <c r="AV17" i="6"/>
  <c r="BP32" i="6"/>
  <c r="BP37" i="6"/>
  <c r="BP17" i="6"/>
  <c r="BP29" i="6"/>
  <c r="BP38" i="6"/>
  <c r="BP39" i="6"/>
  <c r="AY8" i="6"/>
  <c r="AY33" i="6"/>
  <c r="AY43" i="6"/>
  <c r="BP35" i="6"/>
  <c r="BP20" i="6"/>
  <c r="BP36" i="6"/>
  <c r="BP18" i="6"/>
  <c r="BP21" i="6"/>
  <c r="BP34" i="6"/>
  <c r="BP30" i="6"/>
  <c r="BP14" i="6"/>
  <c r="BP16" i="6"/>
  <c r="BP11" i="6"/>
  <c r="BP42" i="6"/>
  <c r="BP23" i="6"/>
  <c r="BP33" i="6"/>
  <c r="AY44" i="6"/>
  <c r="AY24" i="6"/>
  <c r="AY36" i="6"/>
  <c r="AY39" i="6"/>
  <c r="AR19" i="6"/>
  <c r="AR16" i="6"/>
  <c r="AY13" i="6"/>
  <c r="AY28" i="6"/>
  <c r="AY15" i="6"/>
  <c r="AY42" i="6"/>
  <c r="AY37" i="6"/>
  <c r="AY17" i="6"/>
  <c r="AY20" i="6"/>
  <c r="AY14" i="6"/>
  <c r="AY18" i="6"/>
  <c r="AY21" i="6"/>
  <c r="AR23" i="6"/>
  <c r="AY19" i="6"/>
  <c r="AY41" i="6"/>
  <c r="AY9" i="6"/>
  <c r="AY40" i="6"/>
  <c r="AY34" i="6"/>
  <c r="AY26" i="6"/>
  <c r="AY12" i="6"/>
  <c r="AY25" i="6"/>
  <c r="AR12" i="6"/>
  <c r="AY29" i="6"/>
  <c r="AR29" i="6"/>
  <c r="AR41" i="6"/>
  <c r="AR14" i="6"/>
  <c r="AR15" i="6"/>
  <c r="BP19" i="6"/>
  <c r="AY35" i="6"/>
  <c r="AY30" i="6"/>
  <c r="AX14" i="6"/>
  <c r="AY22" i="6"/>
  <c r="AR13" i="6"/>
  <c r="AY31" i="6"/>
  <c r="AY38" i="6"/>
  <c r="AY10" i="6"/>
  <c r="AV33" i="6"/>
  <c r="AX29" i="6"/>
  <c r="AX25" i="6"/>
  <c r="AX20" i="6"/>
  <c r="AX41" i="6"/>
  <c r="AX17" i="6"/>
  <c r="AX9" i="6"/>
  <c r="AX13" i="6"/>
  <c r="AX23" i="6"/>
  <c r="AX43" i="6"/>
  <c r="AX30" i="6"/>
  <c r="AX28" i="6"/>
  <c r="AX36" i="6"/>
  <c r="AX27" i="6"/>
  <c r="AX11" i="6"/>
  <c r="AX40" i="6"/>
  <c r="AX31" i="6"/>
  <c r="AR30" i="6"/>
  <c r="AX35" i="6"/>
  <c r="AX37" i="6"/>
  <c r="AX15" i="6"/>
  <c r="AX22" i="6"/>
  <c r="AR31" i="6"/>
  <c r="AR34" i="6"/>
  <c r="AR40" i="6"/>
  <c r="AR18" i="6"/>
  <c r="AR35" i="6"/>
  <c r="AR17" i="6"/>
  <c r="AR25" i="6"/>
  <c r="AR28" i="6"/>
  <c r="AR26" i="6"/>
  <c r="AR22" i="6"/>
  <c r="AR9" i="6"/>
  <c r="AR43" i="6"/>
  <c r="AZ8" i="6"/>
  <c r="AZ42" i="6"/>
  <c r="AZ43" i="6"/>
  <c r="AV9" i="6"/>
  <c r="G8" i="14"/>
  <c r="AR19" i="14"/>
  <c r="BE8" i="6"/>
  <c r="BE40" i="6"/>
  <c r="BE28" i="6"/>
  <c r="BE34" i="6"/>
  <c r="BE30" i="6"/>
  <c r="BE12" i="6"/>
  <c r="BE18" i="6"/>
  <c r="BE24" i="6"/>
  <c r="BE22" i="6"/>
  <c r="BE29" i="6"/>
  <c r="BE41" i="6"/>
  <c r="BE27" i="6"/>
  <c r="BE38" i="6"/>
  <c r="BE44" i="6"/>
  <c r="BE20" i="6"/>
  <c r="BE26" i="6"/>
  <c r="BE43" i="6"/>
  <c r="BE16" i="6"/>
  <c r="BE13" i="6"/>
  <c r="BE14" i="6"/>
  <c r="BE37" i="6"/>
  <c r="BE35" i="6"/>
  <c r="BE31" i="6"/>
  <c r="BE36" i="6"/>
  <c r="BE21" i="6"/>
  <c r="BE19" i="6"/>
  <c r="BE11" i="6"/>
  <c r="BE17" i="6"/>
  <c r="BE15" i="6"/>
  <c r="BE23" i="6"/>
  <c r="BE25" i="6"/>
  <c r="BE42" i="6"/>
  <c r="AN38" i="6"/>
  <c r="AN17" i="6"/>
  <c r="AN30" i="6"/>
  <c r="AN28" i="6"/>
  <c r="AN20" i="6"/>
  <c r="AN25" i="6"/>
  <c r="AN40" i="6"/>
  <c r="AN43" i="6"/>
  <c r="AN13" i="6"/>
  <c r="AN24" i="6"/>
  <c r="AN31" i="6"/>
  <c r="AN14" i="6"/>
  <c r="BH8" i="6"/>
  <c r="BH21" i="6"/>
  <c r="BH19" i="6"/>
  <c r="AZ25" i="6"/>
  <c r="AN12" i="6"/>
  <c r="AN10" i="6"/>
  <c r="AN9" i="6"/>
  <c r="AZ21" i="6"/>
  <c r="AZ38" i="6"/>
  <c r="AZ39" i="6"/>
  <c r="AN26" i="6"/>
  <c r="AN22" i="6"/>
  <c r="AN29" i="6"/>
  <c r="AN27" i="6"/>
  <c r="AN11" i="6"/>
  <c r="BP9" i="6"/>
  <c r="BP25" i="6"/>
  <c r="BP22" i="6"/>
  <c r="AY11" i="6"/>
  <c r="AI8" i="6"/>
  <c r="AI15" i="6"/>
  <c r="AI21" i="6"/>
  <c r="AI36" i="6"/>
  <c r="AY16" i="6"/>
  <c r="BG8" i="6"/>
  <c r="BG19" i="6"/>
  <c r="BE9" i="6"/>
  <c r="BG44" i="6"/>
  <c r="BG34" i="6"/>
  <c r="BG23" i="6"/>
  <c r="BG26" i="6"/>
  <c r="BG20" i="6"/>
  <c r="BG24" i="6"/>
  <c r="BG9" i="6"/>
  <c r="AN18" i="6"/>
  <c r="AI39" i="6"/>
  <c r="AZ15" i="6"/>
  <c r="AI44" i="6"/>
  <c r="BG18" i="6"/>
  <c r="BG38" i="6"/>
  <c r="BG30" i="6"/>
  <c r="BG11" i="6"/>
  <c r="AZ40" i="6"/>
  <c r="AZ19" i="6"/>
  <c r="AZ34" i="6"/>
  <c r="BG37" i="6"/>
  <c r="BG22" i="6"/>
  <c r="BG36" i="6"/>
  <c r="BG13" i="6"/>
  <c r="BG41" i="6"/>
  <c r="AI31" i="6"/>
  <c r="AI9" i="6"/>
  <c r="AI13" i="6"/>
  <c r="AI28" i="6"/>
  <c r="AZ32" i="6"/>
  <c r="AZ33" i="6"/>
  <c r="AZ10" i="6"/>
  <c r="AI27" i="6"/>
  <c r="AR37" i="6"/>
  <c r="AR33" i="6"/>
  <c r="BG29" i="6"/>
  <c r="AI37" i="6"/>
  <c r="AN36" i="6"/>
  <c r="AI40" i="6"/>
  <c r="AI20" i="6"/>
  <c r="AI14" i="6"/>
  <c r="BG25" i="6"/>
  <c r="BG21" i="6"/>
  <c r="BG32" i="6"/>
  <c r="AI33" i="6"/>
  <c r="BG10" i="6"/>
  <c r="BG14" i="6"/>
  <c r="BG43" i="6"/>
  <c r="AN41" i="6"/>
  <c r="AI41" i="6"/>
  <c r="AI43" i="6"/>
  <c r="BG42" i="6"/>
  <c r="BG15" i="6"/>
  <c r="BG33" i="6"/>
  <c r="AZ23" i="6"/>
  <c r="AI23" i="6"/>
  <c r="BG39" i="6"/>
  <c r="AI10" i="6"/>
  <c r="AI25" i="6"/>
  <c r="BG28" i="6"/>
  <c r="BG27" i="6"/>
  <c r="BG40" i="6"/>
  <c r="AI18" i="6"/>
  <c r="AI16" i="6"/>
  <c r="AN35" i="6"/>
  <c r="BG16" i="6"/>
  <c r="BH16" i="6"/>
  <c r="BH40" i="6"/>
  <c r="BH25" i="6"/>
  <c r="BH30" i="6"/>
  <c r="BH31" i="6"/>
  <c r="BG31" i="6"/>
  <c r="AI22" i="6"/>
  <c r="AI24" i="6"/>
  <c r="AI32" i="6"/>
  <c r="AI34" i="6"/>
  <c r="AI38" i="6"/>
  <c r="AI26" i="6"/>
  <c r="AI29" i="6"/>
  <c r="BH11" i="6"/>
  <c r="BH37" i="6"/>
  <c r="BH20" i="6"/>
  <c r="AI30" i="6"/>
  <c r="BH23" i="6"/>
  <c r="BH38" i="6"/>
  <c r="BH10" i="6"/>
  <c r="BH43" i="6"/>
  <c r="BH39" i="6"/>
  <c r="AI19" i="6"/>
  <c r="BH29" i="6"/>
  <c r="BH28" i="6"/>
  <c r="BH34" i="6"/>
  <c r="BH44" i="6"/>
  <c r="BH9" i="6"/>
  <c r="BH35" i="6"/>
  <c r="AI12" i="6"/>
  <c r="BH42" i="6"/>
  <c r="BH24" i="6"/>
  <c r="BH12" i="6"/>
  <c r="BH22" i="6"/>
  <c r="BH14" i="6"/>
  <c r="BH15" i="6"/>
  <c r="BH32" i="6"/>
  <c r="BH26" i="6"/>
  <c r="BH27" i="6"/>
  <c r="BH13" i="6"/>
  <c r="AI17" i="6"/>
  <c r="BH18" i="6"/>
  <c r="AZ14" i="6"/>
  <c r="AZ29" i="6"/>
  <c r="BH41" i="6"/>
  <c r="AZ18" i="6"/>
  <c r="AZ30" i="6"/>
  <c r="BK8" i="6"/>
  <c r="BK19" i="6"/>
  <c r="BK29" i="6"/>
  <c r="BK22" i="6"/>
  <c r="BK27" i="6"/>
  <c r="BK26" i="6"/>
  <c r="BK16" i="6"/>
  <c r="BK11" i="6"/>
  <c r="BK33" i="6"/>
  <c r="BK38" i="6"/>
  <c r="BK10" i="6"/>
  <c r="AY32" i="6"/>
  <c r="BK23" i="6"/>
  <c r="BK43" i="6"/>
  <c r="BK17" i="6"/>
  <c r="BK35" i="6"/>
  <c r="BK18" i="6"/>
  <c r="BK13" i="6"/>
  <c r="BK28" i="6"/>
  <c r="BK37" i="6"/>
  <c r="BK12" i="6"/>
  <c r="BK42" i="6"/>
  <c r="BK31" i="6"/>
  <c r="BK41" i="6"/>
  <c r="BK24" i="6"/>
  <c r="BK25" i="6"/>
  <c r="BK44" i="6"/>
  <c r="BK30" i="6"/>
  <c r="BK20" i="6"/>
  <c r="BK40" i="6"/>
  <c r="BK36" i="6"/>
  <c r="BK32" i="6"/>
  <c r="AO13" i="6"/>
  <c r="AX34" i="6"/>
  <c r="AO20" i="6"/>
  <c r="AO27" i="6"/>
  <c r="AO40" i="6"/>
  <c r="AO30" i="6"/>
  <c r="AO41" i="6"/>
  <c r="AX12" i="6"/>
  <c r="AO35" i="6"/>
  <c r="AO38" i="6"/>
  <c r="AX18" i="6"/>
  <c r="AO12" i="6"/>
  <c r="AO22" i="6"/>
  <c r="AO25" i="6"/>
  <c r="AO9" i="6"/>
  <c r="AX24" i="6"/>
  <c r="AO11" i="6"/>
  <c r="AO43" i="6"/>
  <c r="AO28" i="6"/>
  <c r="AZ37" i="6"/>
  <c r="AN19" i="6"/>
  <c r="AZ27" i="6"/>
  <c r="AZ13" i="6"/>
  <c r="AZ20" i="6"/>
  <c r="AZ26" i="6"/>
  <c r="AZ9" i="6"/>
  <c r="AK8" i="6"/>
  <c r="AK34" i="6"/>
  <c r="AK17" i="6"/>
  <c r="AZ24" i="6"/>
  <c r="AZ44" i="6"/>
  <c r="AZ17" i="6"/>
  <c r="AZ35" i="6"/>
  <c r="AZ31" i="6"/>
  <c r="AZ16" i="6"/>
  <c r="AZ12" i="6"/>
  <c r="AZ41" i="6"/>
  <c r="BL8" i="6"/>
  <c r="BL36" i="6"/>
  <c r="BL34" i="6"/>
  <c r="BL31" i="6"/>
  <c r="BL42" i="6"/>
  <c r="BL9" i="6"/>
  <c r="BL18" i="6"/>
  <c r="BL29" i="6"/>
  <c r="BL14" i="6"/>
  <c r="BL37" i="6"/>
  <c r="AK38" i="6"/>
  <c r="BL26" i="6"/>
  <c r="BL35" i="6"/>
  <c r="BL43" i="6"/>
  <c r="BL24" i="6"/>
  <c r="BL19" i="6"/>
  <c r="BL27" i="6"/>
  <c r="BL12" i="6"/>
  <c r="G11" i="14"/>
  <c r="AR17" i="14"/>
  <c r="E17" i="14"/>
  <c r="BL16" i="6"/>
  <c r="BL11" i="6"/>
  <c r="AK18" i="6"/>
  <c r="AZ11" i="6"/>
  <c r="BL33" i="6"/>
  <c r="BL32" i="6"/>
  <c r="BL25" i="6"/>
  <c r="BL10" i="6"/>
  <c r="BL22" i="6"/>
  <c r="BL41" i="6"/>
  <c r="BL20" i="6"/>
  <c r="BL21" i="6"/>
  <c r="BL23" i="6"/>
  <c r="BL44" i="6"/>
  <c r="BB8" i="6"/>
  <c r="BB17" i="6"/>
  <c r="BB14" i="6"/>
  <c r="BB26" i="6"/>
  <c r="BB38" i="6"/>
  <c r="BF8" i="6"/>
  <c r="BF32" i="6"/>
  <c r="BB40" i="6"/>
  <c r="BF25" i="6"/>
  <c r="BF12" i="6"/>
  <c r="BF27" i="6"/>
  <c r="BF44" i="6"/>
  <c r="BF16" i="6"/>
  <c r="BF13" i="6"/>
  <c r="BF38" i="6"/>
  <c r="BB29" i="6"/>
  <c r="BB35" i="6"/>
  <c r="BB33" i="6"/>
  <c r="BB37" i="6"/>
  <c r="BF10" i="6"/>
  <c r="BB39" i="6"/>
  <c r="BB32" i="6"/>
  <c r="BF31" i="6"/>
  <c r="BF19" i="6"/>
  <c r="BB42" i="6"/>
  <c r="BB13" i="6"/>
  <c r="BB31" i="6"/>
  <c r="BB25" i="6"/>
  <c r="BF43" i="6"/>
  <c r="BF22" i="6"/>
  <c r="BB11" i="6"/>
  <c r="BB22" i="6"/>
  <c r="BF14" i="6"/>
  <c r="BF23" i="6"/>
  <c r="BB44" i="6"/>
  <c r="BF42" i="6"/>
  <c r="BB16" i="6"/>
  <c r="BF20" i="6"/>
  <c r="BB9" i="6"/>
  <c r="BB18" i="6"/>
  <c r="BB15" i="6"/>
  <c r="BF15" i="6"/>
  <c r="BF36" i="6"/>
  <c r="BB34" i="6"/>
  <c r="BF39" i="6"/>
  <c r="BF33" i="6"/>
  <c r="BB21" i="6"/>
  <c r="BB27" i="6"/>
  <c r="BF21" i="6"/>
  <c r="BF41" i="6"/>
  <c r="BF9" i="6"/>
  <c r="BB36" i="6"/>
  <c r="BF26" i="6"/>
  <c r="BF17" i="6"/>
  <c r="BF40" i="6"/>
  <c r="BB19" i="6"/>
  <c r="BF37" i="6"/>
  <c r="BB28" i="6"/>
  <c r="BF28" i="6"/>
  <c r="AK26" i="6"/>
  <c r="BF35" i="6"/>
  <c r="BB43" i="6"/>
  <c r="BB10" i="6"/>
  <c r="BB12" i="6"/>
  <c r="BF29" i="6"/>
  <c r="BF11" i="6"/>
  <c r="BB20" i="6"/>
  <c r="BH17" i="6"/>
  <c r="AK33" i="6"/>
  <c r="AE11" i="6"/>
  <c r="AK36" i="6"/>
  <c r="AK15" i="6"/>
  <c r="BJ8" i="6"/>
  <c r="BJ44" i="6"/>
  <c r="BK14" i="6"/>
  <c r="BJ30" i="6"/>
  <c r="BJ29" i="6"/>
  <c r="BJ9" i="6"/>
  <c r="BJ27" i="6"/>
  <c r="AK23" i="6"/>
  <c r="BJ15" i="6"/>
  <c r="AK32" i="6"/>
  <c r="AK16" i="6"/>
  <c r="BJ25" i="6"/>
  <c r="BJ34" i="6"/>
  <c r="BJ43" i="6"/>
  <c r="AK12" i="6"/>
  <c r="AK20" i="6"/>
  <c r="AK29" i="6"/>
  <c r="BJ42" i="6"/>
  <c r="BJ39" i="6"/>
  <c r="AK10" i="6"/>
  <c r="BJ10" i="6"/>
  <c r="BJ28" i="6"/>
  <c r="BJ11" i="6"/>
  <c r="AK24" i="6"/>
  <c r="AK42" i="6"/>
  <c r="BJ23" i="6"/>
  <c r="BJ21" i="6"/>
  <c r="BJ33" i="6"/>
  <c r="BJ26" i="6"/>
  <c r="AK11" i="6"/>
  <c r="BJ35" i="6"/>
  <c r="BJ22" i="6"/>
  <c r="AK41" i="6"/>
  <c r="AK40" i="6"/>
  <c r="AK19" i="6"/>
  <c r="AK35" i="6"/>
  <c r="AK37" i="6"/>
  <c r="BJ16" i="6"/>
  <c r="BJ32" i="6"/>
  <c r="AK25" i="6"/>
  <c r="AK43" i="6"/>
  <c r="BJ14" i="6"/>
  <c r="BJ40" i="6"/>
  <c r="BJ41" i="6"/>
  <c r="AK22" i="6"/>
  <c r="BJ31" i="6"/>
  <c r="BJ36" i="6"/>
  <c r="BJ20" i="6"/>
  <c r="BJ13" i="6"/>
  <c r="AK31" i="6"/>
  <c r="AK44" i="6"/>
  <c r="BJ19" i="6"/>
  <c r="AK14" i="6"/>
  <c r="BK15" i="6"/>
  <c r="BK34" i="6"/>
  <c r="BJ37" i="6"/>
  <c r="BJ24" i="6"/>
  <c r="AK39" i="6"/>
  <c r="BJ17" i="6"/>
  <c r="AK9" i="6"/>
  <c r="AK28" i="6"/>
  <c r="BD8" i="6"/>
  <c r="BD38" i="6"/>
  <c r="BD12" i="6"/>
  <c r="BD34" i="6"/>
  <c r="BD27" i="6"/>
  <c r="BD25" i="6"/>
  <c r="BD23" i="6"/>
  <c r="BD19" i="6"/>
  <c r="BD35" i="6"/>
  <c r="BD28" i="6"/>
  <c r="BD41" i="6"/>
  <c r="BD13" i="6"/>
  <c r="BD16" i="6"/>
  <c r="BD26" i="6"/>
  <c r="BD22" i="6"/>
  <c r="BD31" i="6"/>
  <c r="BD36" i="6"/>
  <c r="BD40" i="6"/>
  <c r="BD44" i="6"/>
  <c r="BD11" i="6"/>
  <c r="BD14" i="6"/>
  <c r="BD10" i="6"/>
  <c r="BD24" i="6"/>
  <c r="BD9" i="6"/>
  <c r="BD37" i="6"/>
  <c r="BD30" i="6"/>
  <c r="BD20" i="6"/>
  <c r="BD42" i="6"/>
  <c r="BD33" i="6"/>
  <c r="AW8" i="6"/>
  <c r="AW44" i="6"/>
  <c r="AW31" i="6"/>
  <c r="BA8" i="6"/>
  <c r="BA37" i="6"/>
  <c r="BA9" i="6"/>
  <c r="BA12" i="6"/>
  <c r="BA28" i="6"/>
  <c r="E10" i="14"/>
  <c r="AQ16" i="14"/>
  <c r="E11" i="14"/>
  <c r="AQ17" i="14"/>
  <c r="AW29" i="6"/>
  <c r="AW15" i="6"/>
  <c r="AW35" i="6"/>
  <c r="BA35" i="6"/>
  <c r="BA16" i="6"/>
  <c r="AW10" i="6"/>
  <c r="AW11" i="6"/>
  <c r="AW12" i="6"/>
  <c r="BD39" i="6"/>
  <c r="BD21" i="6"/>
  <c r="BA41" i="6"/>
  <c r="BA11" i="6"/>
  <c r="BA19" i="6"/>
  <c r="BA21" i="6"/>
  <c r="BA15" i="6"/>
  <c r="AW38" i="6"/>
  <c r="AW39" i="6"/>
  <c r="BA18" i="6"/>
  <c r="AW40" i="6"/>
  <c r="AW26" i="6"/>
  <c r="AW37" i="6"/>
  <c r="BD29" i="6"/>
  <c r="BA25" i="6"/>
  <c r="AW43" i="6"/>
  <c r="BA17" i="6"/>
  <c r="BA32" i="6"/>
  <c r="AW42" i="6"/>
  <c r="AW23" i="6"/>
  <c r="AW19" i="6"/>
  <c r="AW27" i="6"/>
  <c r="BD18" i="6"/>
  <c r="BA34" i="6"/>
  <c r="BA20" i="6"/>
  <c r="BA31" i="6"/>
  <c r="BA22" i="6"/>
  <c r="AW20" i="6"/>
  <c r="BA30" i="6"/>
  <c r="BA24" i="6"/>
  <c r="BA39" i="6"/>
  <c r="AW21" i="6"/>
  <c r="AW36" i="6"/>
  <c r="AW24" i="6"/>
  <c r="BA26" i="6"/>
  <c r="AW13" i="6"/>
  <c r="BA38" i="6"/>
  <c r="AW41" i="6"/>
  <c r="E6" i="14"/>
  <c r="AQ20" i="14"/>
  <c r="E7" i="14"/>
  <c r="AQ21" i="14"/>
  <c r="E9" i="14"/>
  <c r="E8" i="14"/>
  <c r="AQ18" i="14"/>
  <c r="AQ19" i="14"/>
  <c r="E19" i="14"/>
  <c r="AW34" i="6"/>
  <c r="BA42" i="6"/>
  <c r="AW18" i="6"/>
  <c r="AW16" i="6"/>
  <c r="AW28" i="6"/>
  <c r="BD43" i="6"/>
  <c r="BA14" i="6"/>
  <c r="BA43" i="6"/>
  <c r="AW33" i="6"/>
  <c r="AW30" i="6"/>
  <c r="BG17" i="6"/>
  <c r="BB23" i="6"/>
  <c r="AJ22" i="6"/>
  <c r="AJ17" i="6"/>
  <c r="AJ43" i="6"/>
  <c r="AO14" i="6"/>
  <c r="AJ26" i="6"/>
  <c r="BA44" i="6"/>
  <c r="AW14" i="6"/>
  <c r="E5" i="14"/>
  <c r="E4" i="14"/>
  <c r="AQ22" i="14"/>
  <c r="BA40" i="6"/>
  <c r="BC8" i="6"/>
  <c r="BC17" i="6"/>
  <c r="BC14" i="6"/>
  <c r="BC12" i="6"/>
  <c r="BC28" i="6"/>
  <c r="BC29" i="6"/>
  <c r="BC41" i="6"/>
  <c r="BC25" i="6"/>
  <c r="BC9" i="6"/>
  <c r="BC32" i="6"/>
  <c r="BC37" i="6"/>
  <c r="BC19" i="6"/>
  <c r="BC35" i="6"/>
  <c r="BC16" i="6"/>
  <c r="BC11" i="6"/>
  <c r="BC38" i="6"/>
  <c r="BC33" i="6"/>
  <c r="BC34" i="6"/>
  <c r="BC10" i="6"/>
  <c r="BC42" i="6"/>
  <c r="BC24" i="6"/>
  <c r="BC39" i="6"/>
  <c r="BC22" i="6"/>
  <c r="BC15" i="6"/>
  <c r="BC21" i="6"/>
  <c r="BC23" i="6"/>
  <c r="BC20" i="6"/>
  <c r="BC40" i="6"/>
  <c r="BC36" i="6"/>
  <c r="BC43" i="6"/>
  <c r="BC30" i="6"/>
  <c r="BC44" i="6"/>
  <c r="AM8" i="6"/>
  <c r="AM42" i="6"/>
  <c r="AS8" i="6"/>
  <c r="AS23" i="6"/>
  <c r="AM14" i="6"/>
  <c r="AM27" i="6"/>
  <c r="AS27" i="6"/>
  <c r="AS24" i="6"/>
  <c r="AM36" i="6"/>
  <c r="AW17" i="6"/>
  <c r="BA27" i="6"/>
  <c r="BA13" i="6"/>
  <c r="AS32" i="6"/>
  <c r="AS19" i="6"/>
  <c r="BA33" i="6"/>
  <c r="AM38" i="6"/>
  <c r="AS14" i="6"/>
  <c r="AM43" i="6"/>
  <c r="AS25" i="6"/>
  <c r="AS41" i="6"/>
  <c r="AS20" i="6"/>
  <c r="AS18" i="6"/>
  <c r="G4" i="14"/>
  <c r="AR23" i="14"/>
  <c r="BL30" i="6"/>
  <c r="BL28" i="6"/>
  <c r="AJ9" i="6"/>
  <c r="AS15" i="6"/>
  <c r="AS29" i="6"/>
  <c r="AS17" i="6"/>
  <c r="AS16" i="6"/>
  <c r="AM19" i="6"/>
  <c r="AM33" i="6"/>
  <c r="BL38" i="6"/>
  <c r="AM10" i="6"/>
  <c r="AM29" i="6"/>
  <c r="AM17" i="6"/>
  <c r="AM16" i="6"/>
  <c r="AM30" i="6"/>
  <c r="AS37" i="6"/>
  <c r="AS13" i="6"/>
  <c r="AS12" i="6"/>
  <c r="BF30" i="6"/>
  <c r="BL13" i="6"/>
  <c r="AJ30" i="6"/>
  <c r="AM39" i="6"/>
  <c r="AM44" i="6"/>
  <c r="AM32" i="6"/>
  <c r="AS38" i="6"/>
  <c r="AM35" i="6"/>
  <c r="AM20" i="6"/>
  <c r="AM26" i="6"/>
  <c r="AS40" i="6"/>
  <c r="AS34" i="6"/>
  <c r="AS11" i="6"/>
  <c r="AS33" i="6"/>
  <c r="AS44" i="6"/>
  <c r="AM13" i="6"/>
  <c r="AM41" i="6"/>
  <c r="AM37" i="6"/>
  <c r="AM34" i="6"/>
  <c r="AM31" i="6"/>
  <c r="AM24" i="6"/>
  <c r="AS30" i="6"/>
  <c r="AS35" i="6"/>
  <c r="BL39" i="6"/>
  <c r="AS36" i="6"/>
  <c r="AS26" i="6"/>
  <c r="AM11" i="6"/>
  <c r="AM18" i="6"/>
  <c r="AM25" i="6"/>
  <c r="AS31" i="6"/>
  <c r="AS22" i="6"/>
  <c r="AS43" i="6"/>
  <c r="AS39" i="6"/>
  <c r="AM12" i="6"/>
  <c r="BL17" i="6"/>
  <c r="BF18" i="6"/>
  <c r="AF24" i="6"/>
  <c r="BC18" i="6"/>
  <c r="G22" i="14"/>
  <c r="AC15" i="6"/>
  <c r="AM7" i="6"/>
  <c r="BB24" i="6"/>
  <c r="BI8" i="6"/>
  <c r="BI24" i="6"/>
  <c r="AF23" i="6"/>
  <c r="AC23" i="6"/>
  <c r="AU7" i="6"/>
  <c r="AV16" i="6"/>
  <c r="AC19" i="6"/>
  <c r="AQ7" i="6"/>
  <c r="AF43" i="6"/>
  <c r="BO24" i="6"/>
  <c r="AC43" i="6"/>
  <c r="BO7" i="6"/>
  <c r="AS42" i="6"/>
  <c r="AC10" i="6"/>
  <c r="AH7" i="6"/>
  <c r="AF10" i="6"/>
  <c r="AC42" i="6"/>
  <c r="BN7" i="6"/>
  <c r="BN18" i="6"/>
  <c r="AF42" i="6"/>
  <c r="AT8" i="6"/>
  <c r="AT24" i="6"/>
  <c r="BI18" i="6"/>
  <c r="BF24" i="6"/>
  <c r="AL8" i="6"/>
  <c r="AL24" i="6"/>
  <c r="BM8" i="6"/>
  <c r="BM24" i="6"/>
  <c r="AC18" i="6"/>
  <c r="AP7" i="6"/>
  <c r="AF18" i="6"/>
  <c r="BJ18" i="6"/>
  <c r="G5" i="14"/>
  <c r="AR22" i="14"/>
  <c r="E22" i="14"/>
  <c r="AQ32" i="14"/>
  <c r="G30" i="14"/>
  <c r="AL43" i="6"/>
  <c r="AL13" i="6"/>
  <c r="BA10" i="6"/>
  <c r="AI35" i="6"/>
  <c r="BM14" i="6"/>
  <c r="BM40" i="6"/>
  <c r="BM38" i="6"/>
  <c r="BM12" i="6"/>
  <c r="AW22" i="6"/>
  <c r="BB41" i="6"/>
  <c r="BI25" i="6"/>
  <c r="AT17" i="6"/>
  <c r="BM20" i="6"/>
  <c r="AT43" i="6"/>
  <c r="BI28" i="6"/>
  <c r="AT28" i="6"/>
  <c r="AK30" i="6"/>
  <c r="AL22" i="6"/>
  <c r="BM29" i="6"/>
  <c r="BM27" i="6"/>
  <c r="BM30" i="6"/>
  <c r="AT9" i="6"/>
  <c r="AL20" i="6"/>
  <c r="BI20" i="6"/>
  <c r="BM22" i="6"/>
  <c r="BM25" i="6"/>
  <c r="BM9" i="6"/>
  <c r="BM17" i="6"/>
  <c r="AK27" i="6"/>
  <c r="BC27" i="6"/>
  <c r="BM11" i="6"/>
  <c r="AW9" i="6"/>
  <c r="BI17" i="6"/>
  <c r="AL17" i="6"/>
  <c r="AT27" i="6"/>
  <c r="AL28" i="6"/>
  <c r="BI13" i="6"/>
  <c r="BM37" i="6"/>
  <c r="AL37" i="6"/>
  <c r="AM9" i="6"/>
  <c r="AS28" i="6"/>
  <c r="AS10" i="6"/>
  <c r="BJ12" i="6"/>
  <c r="G18" i="14"/>
  <c r="AQ28" i="14"/>
  <c r="E29" i="14"/>
  <c r="AQ36" i="14"/>
  <c r="E36" i="14"/>
  <c r="AR20" i="14"/>
  <c r="E20" i="14"/>
  <c r="AQ30" i="14"/>
  <c r="G29" i="14"/>
  <c r="AM23" i="6"/>
  <c r="AM22" i="6"/>
  <c r="BE10" i="6"/>
  <c r="BD17" i="6"/>
  <c r="AS9" i="6"/>
  <c r="AN37" i="6"/>
  <c r="BK9" i="6"/>
  <c r="AM40" i="6"/>
  <c r="AT20" i="6"/>
  <c r="AL12" i="6"/>
  <c r="BI30" i="6"/>
  <c r="BI16" i="6"/>
  <c r="BI23" i="6"/>
  <c r="BI42" i="6"/>
  <c r="BI32" i="6"/>
  <c r="AC17" i="6"/>
  <c r="AO7" i="6"/>
  <c r="AL25" i="6"/>
  <c r="BM31" i="6"/>
  <c r="BI11" i="6"/>
  <c r="AL36" i="6"/>
  <c r="BI26" i="6"/>
  <c r="BI44" i="6"/>
  <c r="BI33" i="6"/>
  <c r="AF17" i="6"/>
  <c r="AL27" i="6"/>
  <c r="BI41" i="6"/>
  <c r="BI31" i="6"/>
  <c r="AL10" i="6"/>
  <c r="BI38" i="6"/>
  <c r="BI34" i="6"/>
  <c r="BI22" i="6"/>
  <c r="AO29" i="6"/>
  <c r="BI12" i="6"/>
  <c r="AT30" i="6"/>
  <c r="BI39" i="6"/>
  <c r="BI21" i="6"/>
  <c r="BI19" i="6"/>
  <c r="BM28" i="6"/>
  <c r="AL30" i="6"/>
  <c r="BI35" i="6"/>
  <c r="AL41" i="6"/>
  <c r="BI14" i="6"/>
  <c r="AL40" i="6"/>
  <c r="BI29" i="6"/>
  <c r="BC26" i="6"/>
  <c r="BI9" i="6"/>
  <c r="BI43" i="6"/>
  <c r="AT25" i="6"/>
  <c r="AT29" i="6"/>
  <c r="AT36" i="6"/>
  <c r="BM39" i="6"/>
  <c r="BM21" i="6"/>
  <c r="BM13" i="6"/>
  <c r="AT37" i="6"/>
  <c r="AL31" i="6"/>
  <c r="AT10" i="6"/>
  <c r="BM16" i="6"/>
  <c r="AT26" i="6"/>
  <c r="BM15" i="6"/>
  <c r="AT41" i="6"/>
  <c r="AT40" i="6"/>
  <c r="AT16" i="6"/>
  <c r="BM26" i="6"/>
  <c r="BM44" i="6"/>
  <c r="BE32" i="6"/>
  <c r="AZ22" i="6"/>
  <c r="AT13" i="6"/>
  <c r="AF26" i="6"/>
  <c r="AC22" i="6"/>
  <c r="AT7" i="6"/>
  <c r="AT11" i="6"/>
  <c r="AT14" i="6"/>
  <c r="AT18" i="6"/>
  <c r="AX10" i="6"/>
  <c r="BM23" i="6"/>
  <c r="AT15" i="6"/>
  <c r="AT31" i="6"/>
  <c r="AL11" i="6"/>
  <c r="AC26" i="6"/>
  <c r="AX7" i="6"/>
  <c r="AF22" i="6"/>
  <c r="BM10" i="6"/>
  <c r="BM35" i="6"/>
  <c r="AT35" i="6"/>
  <c r="BM36" i="6"/>
  <c r="AT23" i="6"/>
  <c r="AT21" i="6"/>
  <c r="AC32" i="6"/>
  <c r="BD7" i="6"/>
  <c r="AL35" i="6"/>
  <c r="AL15" i="6"/>
  <c r="AL44" i="6"/>
  <c r="AL16" i="6"/>
  <c r="AC16" i="6"/>
  <c r="AN7" i="6"/>
  <c r="AL23" i="6"/>
  <c r="AL39" i="6"/>
  <c r="AL19" i="6"/>
  <c r="AT19" i="6"/>
  <c r="AL42" i="6"/>
  <c r="G9" i="14"/>
  <c r="AR18" i="14"/>
  <c r="E18" i="14"/>
  <c r="AF19" i="6"/>
  <c r="BI10" i="6"/>
  <c r="AL38" i="6"/>
  <c r="AL34" i="6"/>
  <c r="AN34" i="6"/>
  <c r="BI15" i="6"/>
  <c r="AL32" i="6"/>
  <c r="AL26" i="6"/>
  <c r="AF37" i="6"/>
  <c r="AL29" i="6"/>
  <c r="BI36" i="6"/>
  <c r="AC37" i="6"/>
  <c r="BI7" i="6"/>
  <c r="AF16" i="6"/>
  <c r="AL21" i="6"/>
  <c r="AL9" i="6"/>
  <c r="AC20" i="6"/>
  <c r="AR7" i="6"/>
  <c r="AG37" i="6"/>
  <c r="AF9" i="6"/>
  <c r="AC9" i="6"/>
  <c r="AG7" i="6"/>
  <c r="AJ41" i="6"/>
  <c r="AT12" i="6"/>
  <c r="BI40" i="6"/>
  <c r="BM32" i="6"/>
  <c r="BM18" i="6"/>
  <c r="BM34" i="6"/>
  <c r="BM42" i="6"/>
  <c r="BM19" i="6"/>
  <c r="BM33" i="6"/>
  <c r="BM43" i="6"/>
  <c r="AT38" i="6"/>
  <c r="AR42" i="6"/>
  <c r="AT39" i="6"/>
  <c r="AT33" i="6"/>
  <c r="AT34" i="6"/>
  <c r="AT42" i="6"/>
  <c r="AF44" i="6"/>
  <c r="BP26" i="6"/>
  <c r="BI27" i="6"/>
  <c r="AF31" i="6"/>
  <c r="AM21" i="6"/>
  <c r="AC27" i="6"/>
  <c r="AY7" i="6"/>
  <c r="AC31" i="6"/>
  <c r="BC7" i="6"/>
  <c r="AC44" i="6"/>
  <c r="BP7" i="6"/>
  <c r="AY23" i="6"/>
  <c r="AT44" i="6"/>
  <c r="BA36" i="6"/>
  <c r="AL33" i="6"/>
  <c r="BE39" i="6"/>
  <c r="AF14" i="6"/>
  <c r="AC14" i="6"/>
  <c r="AL7" i="6"/>
  <c r="AC34" i="6"/>
  <c r="BF7" i="6"/>
  <c r="AZ36" i="6"/>
  <c r="AC28" i="6"/>
  <c r="AZ7" i="6"/>
  <c r="AC33" i="6"/>
  <c r="BE7" i="6"/>
  <c r="BH33" i="6"/>
  <c r="AC36" i="6"/>
  <c r="BH7" i="6"/>
  <c r="BD15" i="6"/>
  <c r="AC12" i="6"/>
  <c r="AJ7" i="6"/>
  <c r="AC40" i="6"/>
  <c r="BL7" i="6"/>
  <c r="AC41" i="6"/>
  <c r="BM7" i="6"/>
  <c r="BG12" i="6"/>
  <c r="AF41" i="6"/>
  <c r="AF13" i="6"/>
  <c r="AI42" i="6"/>
  <c r="AC35" i="6"/>
  <c r="BG7" i="6"/>
  <c r="AF29" i="6"/>
  <c r="G21" i="14"/>
  <c r="BK21" i="6"/>
  <c r="AK21" i="6"/>
  <c r="AC11" i="6"/>
  <c r="AI7" i="6"/>
  <c r="AC13" i="6"/>
  <c r="AK7" i="6"/>
  <c r="AC29" i="6"/>
  <c r="BA7" i="6"/>
  <c r="BL15" i="6"/>
  <c r="AC38" i="6"/>
  <c r="BJ7" i="6"/>
  <c r="AC39" i="6"/>
  <c r="BK7" i="6"/>
  <c r="AF15" i="6"/>
  <c r="AM28" i="6"/>
  <c r="AT32" i="6"/>
  <c r="AW32" i="6"/>
  <c r="AC30" i="6"/>
  <c r="BB7" i="6"/>
  <c r="AF28" i="6"/>
  <c r="BC13" i="6"/>
  <c r="BA23" i="6"/>
  <c r="AF27" i="6"/>
  <c r="AQ23" i="14"/>
  <c r="E23" i="14"/>
  <c r="AF32" i="6"/>
  <c r="AF25" i="6"/>
  <c r="AF21" i="6"/>
  <c r="AC21" i="6"/>
  <c r="AS7" i="6"/>
  <c r="AC24" i="6"/>
  <c r="AV7" i="6"/>
  <c r="AF33" i="6"/>
  <c r="AF36" i="6"/>
  <c r="G16" i="14"/>
  <c r="AF20" i="6"/>
  <c r="AL18" i="6"/>
  <c r="AC25" i="6"/>
  <c r="AW7" i="6"/>
  <c r="AF30" i="6"/>
  <c r="AF40" i="6"/>
  <c r="AF39" i="6"/>
  <c r="AF35" i="6"/>
  <c r="AF34" i="6"/>
  <c r="AE10" i="6"/>
  <c r="G20" i="14"/>
  <c r="AF11" i="6"/>
  <c r="AF38" i="6"/>
  <c r="AF12" i="6"/>
  <c r="AE9" i="6"/>
  <c r="G23" i="14"/>
  <c r="AQ33" i="14"/>
  <c r="G28" i="14"/>
</calcChain>
</file>

<file path=xl/sharedStrings.xml><?xml version="1.0" encoding="utf-8"?>
<sst xmlns="http://schemas.openxmlformats.org/spreadsheetml/2006/main" count="897" uniqueCount="342">
  <si>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</si>
  <si>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</si>
  <si>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</si>
  <si>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</si>
  <si>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</si>
  <si>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</si>
  <si>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</si>
  <si>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</si>
  <si>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</si>
  <si>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</si>
  <si>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</si>
  <si>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</si>
  <si>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</si>
  <si>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</si>
  <si>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</si>
  <si>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</si>
  <si>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</si>
  <si>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</si>
  <si>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</si>
  <si>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</si>
  <si>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</si>
  <si>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</si>
  <si>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</si>
  <si>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</si>
  <si>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</si>
  <si>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</si>
  <si>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</si>
  <si>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</si>
  <si>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</si>
  <si>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</si>
  <si>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</si>
  <si>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</si>
  <si>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</si>
  <si>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</si>
  <si>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</si>
  <si>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</si>
  <si>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</si>
  <si>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</si>
  <si>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</si>
  <si>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</si>
  <si>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</si>
  <si>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</si>
  <si>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</si>
  <si>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</si>
  <si>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</si>
  <si>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</si>
  <si>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</si>
  <si>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</si>
  <si>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</si>
  <si>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</si>
  <si>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</si>
  <si>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</si>
  <si>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</si>
  <si>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</si>
  <si>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</si>
  <si>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</si>
  <si>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</si>
  <si>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</si>
  <si>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</si>
  <si>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</si>
  <si>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</si>
  <si>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</si>
  <si>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</si>
  <si>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</si>
  <si>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</si>
  <si>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</si>
  <si>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</si>
  <si>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</si>
  <si>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</si>
  <si>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</si>
  <si>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</si>
  <si>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</si>
  <si>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</si>
  <si>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</si>
  <si>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</si>
  <si>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</si>
  <si>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</si>
  <si>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</si>
  <si>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</si>
  <si>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</si>
  <si>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</si>
  <si>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</si>
  <si>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</si>
  <si>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</si>
  <si>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</si>
  <si>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</si>
  <si>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</si>
  <si>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</si>
  <si>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</si>
  <si>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</si>
  <si>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</si>
  <si>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</si>
  <si>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</si>
  <si>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</si>
  <si>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</si>
  <si>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</si>
  <si>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</si>
  <si>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</si>
  <si>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</si>
  <si>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</si>
  <si>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</si>
  <si>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</si>
  <si>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</si>
  <si>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</si>
  <si>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</si>
  <si>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</si>
  <si>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</si>
  <si>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</si>
  <si>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</si>
  <si>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</si>
  <si>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</si>
  <si>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</si>
  <si>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</si>
  <si>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</si>
  <si>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</si>
  <si>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</si>
  <si>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</si>
  <si>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</si>
  <si>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</si>
  <si>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</si>
  <si>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</si>
  <si>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</si>
  <si>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</si>
  <si>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</si>
  <si>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</si>
  <si>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</si>
  <si>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</si>
  <si>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</si>
  <si>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</si>
  <si>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</si>
  <si>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</si>
  <si>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</si>
  <si>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</si>
  <si>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</si>
  <si>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</si>
  <si>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</si>
  <si>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</si>
  <si>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</si>
  <si>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</si>
  <si>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</si>
  <si>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</si>
  <si>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</si>
  <si>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</si>
  <si>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</si>
  <si>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</si>
  <si>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</si>
  <si>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</si>
  <si>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</si>
  <si>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</si>
  <si>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</si>
  <si>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</si>
  <si>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</si>
  <si>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</si>
  <si>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</si>
  <si>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</si>
  <si>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</si>
  <si>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</si>
  <si>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</si>
  <si>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</si>
  <si>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</si>
  <si>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</si>
  <si>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</si>
  <si>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</si>
  <si>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</si>
  <si>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</si>
  <si>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</si>
  <si>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</si>
  <si>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</si>
  <si>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</si>
  <si>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</si>
  <si>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</si>
  <si>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</si>
  <si>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</si>
  <si>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</si>
  <si>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</si>
  <si>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</si>
  <si>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</si>
  <si>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</si>
  <si>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</si>
  <si>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</si>
  <si>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</si>
  <si>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</si>
  <si>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</si>
  <si>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</si>
  <si>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</si>
  <si>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</si>
  <si>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</si>
  <si>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</si>
  <si>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</si>
  <si>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</si>
  <si>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</si>
  <si>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</si>
  <si>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</si>
  <si>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</si>
  <si>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</si>
  <si>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</si>
  <si>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</si>
  <si>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</si>
  <si>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</si>
  <si>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</si>
  <si>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</si>
  <si>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</si>
  <si>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</si>
  <si>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</si>
  <si>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</si>
  <si>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</si>
  <si>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</si>
  <si>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</si>
  <si>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</si>
  <si>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</si>
  <si>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</si>
  <si>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</si>
  <si>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</si>
  <si>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</si>
  <si>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</si>
  <si>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</si>
  <si>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</si>
  <si>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</si>
  <si>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</si>
  <si>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</si>
  <si>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</si>
  <si>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</si>
  <si>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</si>
  <si>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</si>
  <si>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</si>
  <si>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</si>
  <si>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</si>
  <si>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</si>
  <si>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</si>
  <si>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</si>
  <si>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</si>
  <si>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</si>
  <si>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</si>
  <si>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</si>
  <si>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</si>
  <si>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</si>
  <si>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</si>
  <si>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</si>
  <si>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</si>
  <si>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</si>
  <si>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</si>
  <si>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</si>
  <si>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</si>
  <si>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</si>
  <si>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</si>
  <si>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</si>
  <si>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</si>
  <si>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</si>
  <si>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</si>
  <si>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</si>
  <si>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</si>
  <si>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</si>
  <si>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</si>
  <si>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</si>
  <si>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</si>
  <si>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</si>
  <si>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</si>
  <si>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</si>
  <si>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</si>
  <si>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</si>
  <si>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</si>
  <si>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</si>
  <si>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</si>
  <si>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</si>
  <si>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</si>
  <si>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</si>
  <si>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</si>
  <si>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</si>
  <si>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</si>
  <si>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</si>
  <si>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</si>
  <si>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</si>
  <si>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</si>
  <si>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</si>
  <si>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</si>
  <si>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</si>
  <si>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</si>
  <si>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</si>
  <si>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</si>
  <si>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</si>
  <si>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</si>
  <si>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</si>
  <si>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</si>
  <si>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</si>
  <si>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</si>
  <si>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</si>
  <si>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Version  1.3</t>
  </si>
  <si>
    <t>Champions League 2025/26</t>
  </si>
  <si>
    <t>Champion 2026:</t>
  </si>
  <si>
    <t>Qarabag Agdam</t>
  </si>
  <si>
    <t>Qairat Almaty</t>
  </si>
  <si>
    <t>Ajax Amsterdam</t>
  </si>
  <si>
    <t>FC Arsenal</t>
  </si>
  <si>
    <t>FC Barcelona</t>
  </si>
  <si>
    <t>Atalanta Bergamo</t>
  </si>
  <si>
    <t>Athletic Bilbao</t>
  </si>
  <si>
    <t>FK Bodö/Glimt</t>
  </si>
  <si>
    <t>Club Brügge</t>
  </si>
  <si>
    <t>FC Chelsea</t>
  </si>
  <si>
    <t>Borussia Dortmund</t>
  </si>
  <si>
    <t>PSV Eindhoven</t>
  </si>
  <si>
    <t>Eintracht Frankfurt</t>
  </si>
  <si>
    <t>Galatasaray SK</t>
  </si>
  <si>
    <t>FC Kopenhagen</t>
  </si>
  <si>
    <t>Bayer 04 Leverkusen</t>
  </si>
  <si>
    <t>Benfica Lissabon</t>
  </si>
  <si>
    <t>Sporting Lissabon</t>
  </si>
  <si>
    <t>FC Liverpool</t>
  </si>
  <si>
    <t>Atletico Madrid</t>
  </si>
  <si>
    <t>Real Madrid</t>
  </si>
  <si>
    <t>Inter Mailand</t>
  </si>
  <si>
    <t>Manchester City</t>
  </si>
  <si>
    <t>Olympique Marseille</t>
  </si>
  <si>
    <t>AS Monaco</t>
  </si>
  <si>
    <t>Bayern München</t>
  </si>
  <si>
    <t>SSC Neapel</t>
  </si>
  <si>
    <t>Newcastle United</t>
  </si>
  <si>
    <t>Pafos FC</t>
  </si>
  <si>
    <t>Paris St. Germain</t>
  </si>
  <si>
    <t>Olympiakos Piräus</t>
  </si>
  <si>
    <t>Salva Prag</t>
  </si>
  <si>
    <t>Union Saint-Gilloise</t>
  </si>
  <si>
    <t>Tottenham Hotspur</t>
  </si>
  <si>
    <t>Juventus Turin</t>
  </si>
  <si>
    <t>FC Villarreal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</si>
  <si>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</si>
  <si>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</si>
  <si>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</si>
  <si>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</si>
  <si>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</si>
  <si>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</si>
  <si>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</si>
  <si>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</si>
  <si>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17./18.02.2026</t>
  </si>
  <si>
    <t>24./25.02.2026</t>
  </si>
  <si>
    <t>10./11.03.2026</t>
  </si>
  <si>
    <t>17./18.03.2026</t>
  </si>
  <si>
    <t>7./8.04.2026</t>
  </si>
  <si>
    <t>14./15.04.2026</t>
  </si>
  <si>
    <t>28./29.04.2026</t>
  </si>
  <si>
    <t>5./6.05.2026</t>
  </si>
  <si>
    <t>Last updated: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</si>
</sst>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6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60" fillId="0" borderId="0" xfId="3" applyFont="1" applyAlignment="1" applyProtection="1">
      <alignment horizontal="left"/>
      <protection locked="0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67" fillId="0" borderId="42" xfId="0" applyFont="1" applyBorder="1" applyAlignment="1">
      <alignment horizontal="left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286</v>
      </c>
      <c r="C1" s="184"/>
    </row>
    <row r="2" spans="1:68" x14ac:dyDescent="0.2">
      <c r="B2" s="185">
        <v>45727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8" t="s">
        <v>287</v>
      </c>
      <c r="H3" s="489"/>
      <c r="I3" s="489"/>
      <c r="J3" s="489"/>
      <c r="K3" s="489"/>
      <c r="L3" s="489"/>
      <c r="M3" s="489"/>
      <c r="N3" s="489"/>
      <c r="O3" s="489"/>
      <c r="P3" s="489"/>
      <c r="Q3" s="490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91" t="s">
        <v>341</v>
      </c>
      <c r="H4" s="492"/>
      <c r="I4" s="492"/>
      <c r="J4" s="492"/>
      <c r="K4" s="492"/>
      <c r="L4" s="492"/>
      <c r="M4" s="492"/>
      <c r="N4" s="492"/>
      <c r="O4" s="492"/>
      <c r="P4" s="492"/>
      <c r="Q4" s="493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Results</v>
      </c>
      <c r="D6" s="182"/>
      <c r="E6" s="182"/>
      <c r="F6" s="182"/>
      <c r="G6" s="182"/>
      <c r="I6" s="182"/>
      <c r="J6" s="182"/>
      <c r="K6" s="182"/>
      <c r="L6" s="182"/>
      <c r="M6" s="182"/>
      <c r="O6" s="483" t="str">
        <f>Language!$E$17</f>
        <v>Matchweek</v>
      </c>
      <c r="P6" s="483"/>
      <c r="Q6" s="220"/>
      <c r="R6" s="494" t="str">
        <f>Language!$E$43</f>
        <v>INVALID TABLE</v>
      </c>
      <c r="S6" s="494"/>
      <c r="T6" s="494"/>
      <c r="U6" s="494"/>
      <c r="V6" s="494"/>
      <c r="W6" s="494"/>
      <c r="X6" s="494"/>
      <c r="Y6" s="494"/>
      <c r="Z6" s="494"/>
      <c r="AA6" s="494"/>
      <c r="AB6" s="224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113"/>
    </row>
    <row r="7" spans="1:68" ht="15.75" customHeight="1" thickBot="1" x14ac:dyDescent="0.3">
      <c r="A7" s="179"/>
      <c r="B7" s="179"/>
      <c r="C7" s="500"/>
      <c r="D7" s="500"/>
      <c r="E7" s="500"/>
      <c r="F7" s="500"/>
      <c r="G7" s="500"/>
      <c r="H7" s="500"/>
      <c r="I7" s="500"/>
      <c r="J7" s="500"/>
      <c r="K7" s="500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5" t="str">
        <f>Language!$E$18</f>
        <v>Away games</v>
      </c>
      <c r="Z7" s="506"/>
      <c r="AA7" s="107"/>
      <c r="AB7" s="107"/>
      <c r="AC7" s="107"/>
      <c r="AD7" s="107"/>
      <c r="AE7" s="107"/>
      <c r="AF7" s="107"/>
      <c r="AG7" s="149" t="str">
        <f>AC9</f>
        <v>Qarabag.</v>
      </c>
      <c r="AH7" s="150" t="str">
        <f>AC10</f>
        <v>Qairat .</v>
      </c>
      <c r="AI7" s="150" t="str">
        <f>AC11</f>
        <v>Ajax Am.</v>
      </c>
      <c r="AJ7" s="150" t="str">
        <f>AC12</f>
        <v>FC Arse.</v>
      </c>
      <c r="AK7" s="150" t="str">
        <f>AC13</f>
        <v>FC Barc.</v>
      </c>
      <c r="AL7" s="150" t="str">
        <f>AC14</f>
        <v>Atalant.</v>
      </c>
      <c r="AM7" s="150" t="str">
        <f>AC15</f>
        <v>Athleti.</v>
      </c>
      <c r="AN7" s="150" t="str">
        <f>AC16</f>
        <v>FK Bodö.</v>
      </c>
      <c r="AO7" s="150" t="str">
        <f>AC17</f>
        <v>Club Br.</v>
      </c>
      <c r="AP7" s="150" t="str">
        <f>AC18</f>
        <v>FC Chel.</v>
      </c>
      <c r="AQ7" s="150" t="str">
        <f>AC19</f>
        <v>Borussi.</v>
      </c>
      <c r="AR7" s="150" t="str">
        <f>AC20</f>
        <v>PSV Ein.</v>
      </c>
      <c r="AS7" s="150" t="str">
        <f>AC21</f>
        <v>Eintrac.</v>
      </c>
      <c r="AT7" s="150" t="str">
        <f>AC22</f>
        <v>Galatas.</v>
      </c>
      <c r="AU7" s="150" t="str">
        <f>AC23</f>
        <v>FC Kope.</v>
      </c>
      <c r="AV7" s="150" t="str">
        <f>AC24</f>
        <v>Bayer 0.</v>
      </c>
      <c r="AW7" s="150" t="str">
        <f>AC25</f>
        <v>Benfica.</v>
      </c>
      <c r="AX7" s="150" t="str">
        <f>AC26</f>
        <v>Sportin.</v>
      </c>
      <c r="AY7" s="150" t="str">
        <f>AC27</f>
        <v>FC Live.</v>
      </c>
      <c r="AZ7" s="150" t="str">
        <f>AC28</f>
        <v>Atletic.</v>
      </c>
      <c r="BA7" s="150" t="str">
        <f>AC29</f>
        <v>Real Ma.</v>
      </c>
      <c r="BB7" s="150" t="str">
        <f>AC30</f>
        <v>Inter M.</v>
      </c>
      <c r="BC7" s="150" t="str">
        <f>AC31</f>
        <v>Manches.</v>
      </c>
      <c r="BD7" s="150" t="str">
        <f>AC32</f>
        <v>Olympiq.</v>
      </c>
      <c r="BE7" s="150" t="str">
        <f>AC33</f>
        <v>AS Mona.</v>
      </c>
      <c r="BF7" s="150" t="str">
        <f>AC34</f>
        <v>Bayern .</v>
      </c>
      <c r="BG7" s="150" t="str">
        <f>AC35</f>
        <v>SSC Nea.</v>
      </c>
      <c r="BH7" s="150" t="str">
        <f>AC36</f>
        <v>Newcast.</v>
      </c>
      <c r="BI7" s="150" t="str">
        <f>AC37</f>
        <v>Pafos F.</v>
      </c>
      <c r="BJ7" s="150" t="str">
        <f>AC38</f>
        <v>Paris S.</v>
      </c>
      <c r="BK7" s="150" t="str">
        <f>AC39</f>
        <v>Olympia.</v>
      </c>
      <c r="BL7" s="150" t="str">
        <f>AC40</f>
        <v>Salva P.</v>
      </c>
      <c r="BM7" s="312" t="str">
        <f>AC41</f>
        <v>Union S.</v>
      </c>
      <c r="BN7" s="150" t="str">
        <f>AC42</f>
        <v>Tottenh.</v>
      </c>
      <c r="BO7" s="317" t="str">
        <f>AC43</f>
        <v>Juventu.</v>
      </c>
      <c r="BP7" s="151" t="str">
        <f>AC44</f>
        <v>FC Vill.</v>
      </c>
    </row>
    <row r="8" spans="1:68" ht="30.75" customHeight="1" thickTop="1" thickBot="1" x14ac:dyDescent="0.3">
      <c r="B8" s="396" t="str">
        <f>Language!$E$17</f>
        <v>Matchweek</v>
      </c>
      <c r="C8" s="198" t="str">
        <f>Language!$E$9</f>
        <v>No.</v>
      </c>
      <c r="D8" s="200" t="str">
        <f>Language!$E$59</f>
        <v>Date</v>
      </c>
      <c r="E8" s="200" t="str">
        <f>Language!$E$62</f>
        <v>Time</v>
      </c>
      <c r="F8" s="495" t="str">
        <f>Language!$E$14</f>
        <v>Matchup</v>
      </c>
      <c r="G8" s="496"/>
      <c r="H8" s="497"/>
      <c r="I8" s="498" t="str">
        <f>Language!$E$15</f>
        <v>Result</v>
      </c>
      <c r="J8" s="496"/>
      <c r="K8" s="499"/>
      <c r="L8" s="503" t="str">
        <f>Language!$E$65</f>
        <v>Penalty points</v>
      </c>
      <c r="M8" s="504"/>
      <c r="N8" s="201"/>
      <c r="O8" s="501"/>
      <c r="P8" s="502"/>
      <c r="Q8" s="202" t="str">
        <f>Language!$E$21</f>
        <v>Pl</v>
      </c>
      <c r="R8" s="203" t="str">
        <f>Language!$E$22</f>
        <v>W</v>
      </c>
      <c r="S8" s="203" t="str">
        <f>Language!$E$23</f>
        <v>D</v>
      </c>
      <c r="T8" s="204" t="str">
        <f>Language!$E$24</f>
        <v>L</v>
      </c>
      <c r="U8" s="484" t="str">
        <f>Language!$E$25</f>
        <v>GF  -  GA</v>
      </c>
      <c r="V8" s="485"/>
      <c r="W8" s="486"/>
      <c r="X8" s="203" t="str">
        <f>Language!$E$26</f>
        <v>GD</v>
      </c>
      <c r="Y8" s="294" t="str">
        <f>Language!$E$29</f>
        <v>AGls</v>
      </c>
      <c r="Z8" s="294" t="str">
        <f>Language!$E$30</f>
        <v>AWin</v>
      </c>
      <c r="AA8" s="205" t="str">
        <f>Language!$E$27</f>
        <v>Pts</v>
      </c>
      <c r="AB8" s="228" t="str">
        <f>Language!$E$66</f>
        <v>PenPts</v>
      </c>
      <c r="AC8" s="145"/>
      <c r="AD8" s="116"/>
      <c r="AE8" s="116"/>
      <c r="AF8" s="145"/>
      <c r="AG8" s="152" t="str">
        <f>P9</f>
        <v>Qarabag Agdam</v>
      </c>
      <c r="AH8" s="153" t="str">
        <f>P10</f>
        <v>Qairat Almaty</v>
      </c>
      <c r="AI8" s="153" t="str">
        <f>P11</f>
        <v>Ajax Amsterdam</v>
      </c>
      <c r="AJ8" s="153" t="str">
        <f>P12</f>
        <v>FC Arsenal</v>
      </c>
      <c r="AK8" s="153" t="str">
        <f>P13</f>
        <v>FC Barcelona</v>
      </c>
      <c r="AL8" s="153" t="str">
        <f>P14</f>
        <v>Atalanta Bergamo</v>
      </c>
      <c r="AM8" s="153" t="str">
        <f>P15</f>
        <v>Athletic Bilbao</v>
      </c>
      <c r="AN8" s="153" t="str">
        <f>P16</f>
        <v>FK Bodö/Glimt</v>
      </c>
      <c r="AO8" s="153" t="str">
        <f>P17</f>
        <v>Club Brügge</v>
      </c>
      <c r="AP8" s="153" t="str">
        <f>P18</f>
        <v>FC Chelsea</v>
      </c>
      <c r="AQ8" s="153" t="str">
        <f>P19</f>
        <v>Borussia Dortmund</v>
      </c>
      <c r="AR8" s="153" t="str">
        <f>P20</f>
        <v>PSV Eindhoven</v>
      </c>
      <c r="AS8" s="153" t="str">
        <f>P21</f>
        <v>Eintracht Frankfurt</v>
      </c>
      <c r="AT8" s="153" t="str">
        <f>P22</f>
        <v>Galatasaray SK</v>
      </c>
      <c r="AU8" s="153" t="str">
        <f>P23</f>
        <v>FC Kopenhagen</v>
      </c>
      <c r="AV8" s="153" t="str">
        <f>P24</f>
        <v>Bayer 04 Leverkusen</v>
      </c>
      <c r="AW8" s="153" t="str">
        <f>P25</f>
        <v>Benfica Lissabon</v>
      </c>
      <c r="AX8" s="153" t="str">
        <f>P26</f>
        <v>Sporting Lissabon</v>
      </c>
      <c r="AY8" s="153" t="str">
        <f>P27</f>
        <v>FC Liverpool</v>
      </c>
      <c r="AZ8" s="153" t="str">
        <f>P28</f>
        <v>Atletico Madrid</v>
      </c>
      <c r="BA8" s="153" t="str">
        <f>P29</f>
        <v>Real Madrid</v>
      </c>
      <c r="BB8" s="153" t="str">
        <f>P30</f>
        <v>Inter Mailand</v>
      </c>
      <c r="BC8" s="153" t="str">
        <f>P31</f>
        <v>Manchester City</v>
      </c>
      <c r="BD8" s="153" t="str">
        <f>P32</f>
        <v>Olympique Marseille</v>
      </c>
      <c r="BE8" s="153" t="str">
        <f>P33</f>
        <v>AS Monaco</v>
      </c>
      <c r="BF8" s="153" t="str">
        <f>P34</f>
        <v>Bayern München</v>
      </c>
      <c r="BG8" s="153" t="str">
        <f>P35</f>
        <v>SSC Neapel</v>
      </c>
      <c r="BH8" s="153" t="str">
        <f>P36</f>
        <v>Newcastle United</v>
      </c>
      <c r="BI8" s="153" t="str">
        <f>P37</f>
        <v>Pafos FC</v>
      </c>
      <c r="BJ8" s="153" t="str">
        <f>P38</f>
        <v>Paris St. Germain</v>
      </c>
      <c r="BK8" s="153" t="str">
        <f>P39</f>
        <v>Olympiakos Piräus</v>
      </c>
      <c r="BL8" s="153" t="str">
        <f>P40</f>
        <v>Salva Prag</v>
      </c>
      <c r="BM8" s="313" t="str">
        <f>P41</f>
        <v>Union Saint-Gilloise</v>
      </c>
      <c r="BN8" s="153" t="str">
        <f>P42</f>
        <v>Tottenham Hotspur</v>
      </c>
      <c r="BO8" s="318" t="str">
        <f>P43</f>
        <v>Juventus Turin</v>
      </c>
      <c r="BP8" s="154" t="str">
        <f>P44</f>
        <v>FC Villarreal</v>
      </c>
    </row>
    <row r="9" spans="1:68" ht="15.95" customHeight="1" thickTop="1" x14ac:dyDescent="0.25">
      <c r="B9" s="199">
        <v>1</v>
      </c>
      <c r="C9" s="197">
        <v>1</v>
      </c>
      <c r="D9" s="121">
        <f>IF(Planning!$T7="","",Planning!$T7)</f>
        <v>45916</v>
      </c>
      <c r="E9" s="122">
        <f>IF(Planning!$U7="","",Planning!$U7)</f>
        <v>0.78125</v>
      </c>
      <c r="F9" s="130" t="str">
        <f>Planning!$Q7</f>
        <v>PSV Eindhoven</v>
      </c>
      <c r="G9" s="131" t="s">
        <v>4</v>
      </c>
      <c r="H9" s="130" t="str">
        <f>Planning!$S7</f>
        <v>Union Saint-Gilloise</v>
      </c>
      <c r="I9" s="132"/>
      <c r="J9" s="410" t="str">
        <f>Language!$E$90</f>
        <v xml:space="preserve"> - </v>
      </c>
      <c r="K9" s="133"/>
      <c r="L9" s="233"/>
      <c r="M9" s="234"/>
      <c r="N9" s="328"/>
      <c r="O9" s="329" t="str">
        <f>IF(Calc!$K$40=0,"",1)</f>
        <v/>
      </c>
      <c r="P9" s="330" t="str">
        <f>IF(Calc!$K$40=0,Calc2!$C4,VLOOKUP(Calc!B4,Calc!$C$4:$N$39,4,0))</f>
        <v>Qarabag Agdam</v>
      </c>
      <c r="Q9" s="331" t="str">
        <f>IF(Calc!$K$40=0,"",VLOOKUP(Calc!B4,Calc!$C$4:$N$39,9,0))</f>
        <v/>
      </c>
      <c r="R9" s="332" t="str">
        <f>IF(Calc!$K$40=0,"",IF($Q9=0,"",VLOOKUP(Calc!B4,Calc!$C$4:$N$39,10,0)))</f>
        <v/>
      </c>
      <c r="S9" s="332" t="str">
        <f>IF(Calc!$K$40=0,"",IF($Q9=0,"",VLOOKUP(Calc!B4,Calc!$C$4:$N$39,11,0)))</f>
        <v/>
      </c>
      <c r="T9" s="333" t="str">
        <f>IF(Calc!$K$40=0,"",IF($Q9=0,"",VLOOKUP(Calc!B4,Calc!$C$4:$N$39,12,0)))</f>
        <v/>
      </c>
      <c r="U9" s="334" t="str">
        <f>IF(Calc!$K$40=0,"",IF($Q9=0,"",VLOOKUP(Calc!B4,Calc!$C$4:$N$39,5,0)))</f>
        <v/>
      </c>
      <c r="V9" s="335" t="str">
        <f>Language!$E$90</f>
        <v xml:space="preserve"> - </v>
      </c>
      <c r="W9" s="336" t="str">
        <f>IF(Calc!$K$40=0,"",IF($Q9=0,"",VLOOKUP(Calc!B4,Calc!$C$4:$N$39,6,0)))</f>
        <v/>
      </c>
      <c r="X9" s="337" t="str">
        <f>IF(Calc!$K$40=0,"",IF($Q9=0,"",VLOOKUP(Calc!B4,Calc!$C$4:$N$39,7,0)))</f>
        <v/>
      </c>
      <c r="Y9" s="338" t="str">
        <f>IF(Calc!$K$40=0,"",IF($Q9=0,"",VLOOKUP(Calc!B4,Calc!$C$4:$P$39,13,0)))</f>
        <v/>
      </c>
      <c r="Z9" s="338" t="str">
        <f>IF(Calc!$K$40=0,"",IF($Q9=0,"",VLOOKUP(Calc!B4,Calc!$C$4:$P$39,14,0)))</f>
        <v/>
      </c>
      <c r="AA9" s="339" t="str">
        <f>IF(Calc!$K$40=0,"",IF($Q9=0,"",VLOOKUP(Calc!B4,Calc!$C$4:$N$39,8,0)))</f>
        <v/>
      </c>
      <c r="AB9" s="235" t="str">
        <f>IF(VLOOKUP(Calc!B4,Calc!$C$4:$Q$39,15,0)=0,"",VLOOKUP(Calc!B4,Calc!$C$4:$Q$39,15,0))</f>
        <v/>
      </c>
      <c r="AC9" s="227" t="str">
        <f>IF(IFERROR(VLOOKUP($P9,Planning!$D$7:$E$42,2,0),0)=0,IF(LEN(P9)&gt;Factors!$D$12,LEFT(P9,Factors!$D$12)&amp;".",P9),VLOOKUP($P9,Planning!$D$7:$E$42,2,0))</f>
        <v>Qarabag.</v>
      </c>
      <c r="AD9" s="187"/>
      <c r="AE9" s="160" t="str">
        <f>O9</f>
        <v/>
      </c>
      <c r="AF9" s="161" t="str">
        <f>P9</f>
        <v>Qarabag Agdam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/>
      </c>
      <c r="BM9" s="314" t="str">
        <f>IFERROR(VLOOKUP($P9&amp;BM$8,Calc2!$J$4:$L$291,3,0),"")</f>
        <v/>
      </c>
      <c r="BN9" s="147" t="str">
        <f>IFERROR(VLOOKUP($P9&amp;BN$8,Calc2!$J$4:$L$291,3,0),"")</f>
        <v/>
      </c>
      <c r="BO9" s="319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>
        <f>IF(Planning!$T8="","",Planning!$T8)</f>
        <v>45916</v>
      </c>
      <c r="E10" s="122">
        <f>IF(Planning!$U8="","",Planning!$U8)</f>
        <v>0.78125</v>
      </c>
      <c r="F10" s="130" t="str">
        <f>Planning!$Q8</f>
        <v>Athletic Bilbao</v>
      </c>
      <c r="G10" s="131" t="s">
        <v>4</v>
      </c>
      <c r="H10" s="130" t="str">
        <f>Planning!$S8</f>
        <v>FC Arsenal</v>
      </c>
      <c r="I10" s="132"/>
      <c r="J10" s="410" t="str">
        <f>Language!$E$90</f>
        <v xml:space="preserve"> - </v>
      </c>
      <c r="K10" s="133"/>
      <c r="L10" s="233"/>
      <c r="M10" s="234"/>
      <c r="N10" s="328"/>
      <c r="O10" s="340" t="str">
        <f>IF(Calc!$K$40=0,"",IF(VLOOKUP(Calc!B5,Calc!$C$4:$E$39,3,0)=MAX(O$9:O9),VLOOKUP(Calc!B5,Calc!$C$4:$E$39,3,0),Calc!B5))</f>
        <v/>
      </c>
      <c r="P10" s="341" t="str">
        <f>IF(Calc!$K$40=0,Calc2!$C5,VLOOKUP(Calc!B5,Calc!$C$4:$N$39,4,0))</f>
        <v>Qairat Almaty</v>
      </c>
      <c r="Q10" s="342" t="str">
        <f>IF(Calc!$K$40=0,"",VLOOKUP(Calc!B5,Calc!$C$4:$N$39,9,0))</f>
        <v/>
      </c>
      <c r="R10" s="343" t="str">
        <f>IF(Calc!$K$40=0,"",IF($Q10=0,"",VLOOKUP(Calc!B5,Calc!$C$4:$N$39,10,0)))</f>
        <v/>
      </c>
      <c r="S10" s="343" t="str">
        <f>IF(Calc!$K$40=0,"",IF($Q10=0,"",VLOOKUP(Calc!B5,Calc!$C$4:$N$39,11,0)))</f>
        <v/>
      </c>
      <c r="T10" s="344" t="str">
        <f>IF(Calc!$K$40=0,"",IF($Q10=0,"",VLOOKUP(Calc!B5,Calc!$C$4:$N$39,12,0)))</f>
        <v/>
      </c>
      <c r="U10" s="345" t="str">
        <f>IF(Calc!$K$40=0,"",IF($Q10=0,"",VLOOKUP(Calc!B5,Calc!$C$4:$N$39,5,0)))</f>
        <v/>
      </c>
      <c r="V10" s="346" t="str">
        <f>Language!$E$90</f>
        <v xml:space="preserve"> - </v>
      </c>
      <c r="W10" s="347" t="str">
        <f>IF(Calc!$K$40=0,"",IF($Q10=0,"",VLOOKUP(Calc!B5,Calc!$C$4:$N$39,6,0)))</f>
        <v/>
      </c>
      <c r="X10" s="348" t="str">
        <f>IF(Calc!$K$40=0,"",IF($Q10=0,"",VLOOKUP(Calc!B5,Calc!$C$4:$N$39,7,0)))</f>
        <v/>
      </c>
      <c r="Y10" s="349" t="str">
        <f>IF(Calc!$K$40=0,"",IF($Q10=0,"",VLOOKUP(Calc!B5,Calc!$C$4:$P$39,13,0)))</f>
        <v/>
      </c>
      <c r="Z10" s="349" t="str">
        <f>IF(Calc!$K$40=0,"",IF($Q10=0,"",VLOOKUP(Calc!B5,Calc!$C$4:$P$39,14,0)))</f>
        <v/>
      </c>
      <c r="AA10" s="350" t="str">
        <f>IF(Calc!$K$40=0,"",IF($Q10=0,"",VLOOKUP(Calc!B5,Calc!$C$4:$N$39,8,0)))</f>
        <v/>
      </c>
      <c r="AB10" s="236" t="str">
        <f>IF(VLOOKUP(Calc!B5,Calc!$C$4:$Q$39,15,0)=0,"",VLOOKUP(Calc!B5,Calc!$C$4:$Q$39,15,0))</f>
        <v/>
      </c>
      <c r="AC10" s="227" t="str">
        <f>IF(IFERROR(VLOOKUP($P10,Planning!$D$7:$E$42,2,0),0)=0,IF(LEN(P10)&gt;Factors!$D$12,LEFT(P10,Factors!$D$12)&amp;".",P10),VLOOKUP($P10,Planning!$D$7:$E$42,2,0))</f>
        <v>Qairat .</v>
      </c>
      <c r="AD10" s="187"/>
      <c r="AE10" s="162" t="str">
        <f t="shared" ref="AE10:AE27" si="0">O10</f>
        <v/>
      </c>
      <c r="AF10" s="163" t="str">
        <f t="shared" ref="AF10:AF27" si="1">P10</f>
        <v>Qairat Almaty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/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5" t="str">
        <f>IFERROR(VLOOKUP($P10&amp;BM$8,Calc2!$J$4:$L$291,3,0),"")</f>
        <v/>
      </c>
      <c r="BN10" s="123" t="str">
        <f>IFERROR(VLOOKUP($P10&amp;BN$8,Calc2!$J$4:$L$291,3,0),"")</f>
        <v/>
      </c>
      <c r="BO10" s="320" t="str">
        <f>IFERROR(VLOOKUP($P10&amp;BO$8,Calc2!$J$4:$L$291,3,0),"")</f>
        <v/>
      </c>
      <c r="BP10" s="126" t="str">
        <f>IFERROR(VLOOKUP($P10&amp;BP$8,Calc2!$J$4:$L$291,3,0),"")</f>
        <v/>
      </c>
    </row>
    <row r="11" spans="1:68" ht="15.95" customHeight="1" x14ac:dyDescent="0.25">
      <c r="B11" s="199"/>
      <c r="C11" s="197">
        <v>3</v>
      </c>
      <c r="D11" s="121">
        <f>IF(Planning!$T9="","",Planning!$T9)</f>
        <v>45916</v>
      </c>
      <c r="E11" s="122">
        <f>IF(Planning!$U9="","",Planning!$U9)</f>
        <v>0.875</v>
      </c>
      <c r="F11" s="130" t="str">
        <f>Planning!$Q9</f>
        <v>Real Madrid</v>
      </c>
      <c r="G11" s="131" t="s">
        <v>4</v>
      </c>
      <c r="H11" s="130" t="str">
        <f>Planning!$S9</f>
        <v>Olympique Marseille</v>
      </c>
      <c r="I11" s="132"/>
      <c r="J11" s="410" t="str">
        <f>Language!$E$90</f>
        <v xml:space="preserve"> - </v>
      </c>
      <c r="K11" s="133"/>
      <c r="L11" s="233"/>
      <c r="M11" s="234"/>
      <c r="N11" s="328"/>
      <c r="O11" s="340" t="str">
        <f>IF(Calc!$K$40=0,"",IF(VLOOKUP(Calc!B6,Calc!$C$4:$E$39,3,0)=MAX(O$9:O10),VLOOKUP(Calc!B6,Calc!$C$4:$E$39,3,0),Calc!B6))</f>
        <v/>
      </c>
      <c r="P11" s="341" t="str">
        <f>IF(Calc!$K$40=0,Calc2!$C6,VLOOKUP(Calc!B6,Calc!$C$4:$N$39,4,0))</f>
        <v>Ajax Amsterdam</v>
      </c>
      <c r="Q11" s="342" t="str">
        <f>IF(Calc!$K$40=0,"",VLOOKUP(Calc!B6,Calc!$C$4:$N$39,9,0))</f>
        <v/>
      </c>
      <c r="R11" s="343" t="str">
        <f>IF(Calc!$K$40=0,"",IF($Q11=0,"",VLOOKUP(Calc!B6,Calc!$C$4:$N$39,10,0)))</f>
        <v/>
      </c>
      <c r="S11" s="343" t="str">
        <f>IF(Calc!$K$40=0,"",IF($Q11=0,"",VLOOKUP(Calc!B6,Calc!$C$4:$N$39,11,0)))</f>
        <v/>
      </c>
      <c r="T11" s="344" t="str">
        <f>IF(Calc!$K$40=0,"",IF($Q11=0,"",VLOOKUP(Calc!B6,Calc!$C$4:$N$39,12,0)))</f>
        <v/>
      </c>
      <c r="U11" s="345" t="str">
        <f>IF(Calc!$K$40=0,"",IF($Q11=0,"",VLOOKUP(Calc!B6,Calc!$C$4:$N$39,5,0)))</f>
        <v/>
      </c>
      <c r="V11" s="346" t="str">
        <f>Language!$E$90</f>
        <v xml:space="preserve"> - </v>
      </c>
      <c r="W11" s="347" t="str">
        <f>IF(Calc!$K$40=0,"",IF($Q11=0,"",VLOOKUP(Calc!B6,Calc!$C$4:$N$39,6,0)))</f>
        <v/>
      </c>
      <c r="X11" s="348" t="str">
        <f>IF(Calc!$K$40=0,"",IF($Q11=0,"",VLOOKUP(Calc!B6,Calc!$C$4:$N$39,7,0)))</f>
        <v/>
      </c>
      <c r="Y11" s="349" t="str">
        <f>IF(Calc!$K$40=0,"",IF($Q11=0,"",VLOOKUP(Calc!B6,Calc!$C$4:$P$39,13,0)))</f>
        <v/>
      </c>
      <c r="Z11" s="349" t="str">
        <f>IF(Calc!$K$40=0,"",IF($Q11=0,"",VLOOKUP(Calc!B6,Calc!$C$4:$P$39,14,0)))</f>
        <v/>
      </c>
      <c r="AA11" s="350" t="str">
        <f>IF(Calc!$K$40=0,"",IF($Q11=0,"",VLOOKUP(Calc!B6,Calc!$C$4:$N$39,8,0)))</f>
        <v/>
      </c>
      <c r="AB11" s="236" t="str">
        <f>IF(VLOOKUP(Calc!B6,Calc!$C$4:$Q$39,15,0)=0,"",VLOOKUP(Calc!B6,Calc!$C$4:$Q$39,15,0))</f>
        <v/>
      </c>
      <c r="AC11" s="227" t="str">
        <f>IF(IFERROR(VLOOKUP($P11,Planning!$D$7:$E$42,2,0),0)=0,IF(LEN(P11)&gt;Factors!$D$12,LEFT(P11,Factors!$D$12)&amp;".",P11),VLOOKUP($P11,Planning!$D$7:$E$42,2,0))</f>
        <v>Ajax Am.</v>
      </c>
      <c r="AD11" s="187"/>
      <c r="AE11" s="162" t="str">
        <f t="shared" si="0"/>
        <v/>
      </c>
      <c r="AF11" s="163" t="str">
        <f t="shared" si="1"/>
        <v>Ajax Amsterdam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/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5" t="str">
        <f>IFERROR(VLOOKUP($P11&amp;BM$8,Calc2!$J$4:$L$291,3,0),"")</f>
        <v/>
      </c>
      <c r="BN11" s="123" t="str">
        <f>IFERROR(VLOOKUP($P11&amp;BN$8,Calc2!$J$4:$L$291,3,0),"")</f>
        <v/>
      </c>
      <c r="BO11" s="320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>
        <f>IF(Planning!$T10="","",Planning!$T10)</f>
        <v>45916</v>
      </c>
      <c r="E12" s="122">
        <f>IF(Planning!$U10="","",Planning!$U10)</f>
        <v>0.875</v>
      </c>
      <c r="F12" s="130" t="str">
        <f>Planning!$Q10</f>
        <v>Benfica Lissabon</v>
      </c>
      <c r="G12" s="131" t="s">
        <v>4</v>
      </c>
      <c r="H12" s="130" t="str">
        <f>Planning!$S10</f>
        <v>Qarabag Agdam</v>
      </c>
      <c r="I12" s="132"/>
      <c r="J12" s="410" t="str">
        <f>Language!$E$90</f>
        <v xml:space="preserve"> - </v>
      </c>
      <c r="K12" s="133"/>
      <c r="L12" s="233"/>
      <c r="M12" s="234"/>
      <c r="N12" s="328"/>
      <c r="O12" s="340" t="str">
        <f>IF(Calc!$K$40=0,"",IF(VLOOKUP(Calc!B7,Calc!$C$4:$E$39,3,0)=MAX(O$9:O11),VLOOKUP(Calc!B7,Calc!$C$4:$E$39,3,0),Calc!B7))</f>
        <v/>
      </c>
      <c r="P12" s="341" t="str">
        <f>IF(Calc!$K$40=0,Calc2!$C7,VLOOKUP(Calc!B7,Calc!$C$4:$N$39,4,0))</f>
        <v>FC Arsenal</v>
      </c>
      <c r="Q12" s="342" t="str">
        <f>IF(Calc!$K$40=0,"",VLOOKUP(Calc!B7,Calc!$C$4:$N$39,9,0))</f>
        <v/>
      </c>
      <c r="R12" s="343" t="str">
        <f>IF(Calc!$K$40=0,"",IF($Q12=0,"",VLOOKUP(Calc!B7,Calc!$C$4:$N$39,10,0)))</f>
        <v/>
      </c>
      <c r="S12" s="343" t="str">
        <f>IF(Calc!$K$40=0,"",IF($Q12=0,"",VLOOKUP(Calc!B7,Calc!$C$4:$N$39,11,0)))</f>
        <v/>
      </c>
      <c r="T12" s="344" t="str">
        <f>IF(Calc!$K$40=0,"",IF($Q12=0,"",VLOOKUP(Calc!B7,Calc!$C$4:$N$39,12,0)))</f>
        <v/>
      </c>
      <c r="U12" s="345" t="str">
        <f>IF(Calc!$K$40=0,"",IF($Q12=0,"",VLOOKUP(Calc!B7,Calc!$C$4:$N$39,5,0)))</f>
        <v/>
      </c>
      <c r="V12" s="346" t="str">
        <f>Language!$E$90</f>
        <v xml:space="preserve"> - </v>
      </c>
      <c r="W12" s="347" t="str">
        <f>IF(Calc!$K$40=0,"",IF($Q12=0,"",VLOOKUP(Calc!B7,Calc!$C$4:$N$39,6,0)))</f>
        <v/>
      </c>
      <c r="X12" s="348" t="str">
        <f>IF(Calc!$K$40=0,"",IF($Q12=0,"",VLOOKUP(Calc!B7,Calc!$C$4:$N$39,7,0)))</f>
        <v/>
      </c>
      <c r="Y12" s="349" t="str">
        <f>IF(Calc!$K$40=0,"",IF($Q12=0,"",VLOOKUP(Calc!B7,Calc!$C$4:$P$39,13,0)))</f>
        <v/>
      </c>
      <c r="Z12" s="349" t="str">
        <f>IF(Calc!$K$40=0,"",IF($Q12=0,"",VLOOKUP(Calc!B7,Calc!$C$4:$P$39,14,0)))</f>
        <v/>
      </c>
      <c r="AA12" s="350" t="str">
        <f>IF(Calc!$K$40=0,"",IF($Q12=0,"",VLOOKUP(Calc!B7,Calc!$C$4:$N$39,8,0)))</f>
        <v/>
      </c>
      <c r="AB12" s="236" t="str">
        <f>IF(VLOOKUP(Calc!B7,Calc!$C$4:$Q$39,15,0)=0,"",VLOOKUP(Calc!B7,Calc!$C$4:$Q$39,15,0))</f>
        <v/>
      </c>
      <c r="AC12" s="227" t="str">
        <f>IF(IFERROR(VLOOKUP($P12,Planning!$D$7:$E$42,2,0),0)=0,IF(LEN(P12)&gt;Factors!$D$12,LEFT(P12,Factors!$D$12)&amp;".",P12),VLOOKUP($P12,Planning!$D$7:$E$42,2,0))</f>
        <v>FC Arse.</v>
      </c>
      <c r="AD12" s="187"/>
      <c r="AE12" s="162" t="str">
        <f t="shared" si="0"/>
        <v/>
      </c>
      <c r="AF12" s="163" t="str">
        <f t="shared" si="1"/>
        <v>FC Arsenal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/>
      </c>
      <c r="BL12" s="123" t="str">
        <f>IFERROR(VLOOKUP($P12&amp;BL$8,Calc2!$J$4:$L$291,3,0),"")</f>
        <v/>
      </c>
      <c r="BM12" s="315" t="str">
        <f>IFERROR(VLOOKUP($P12&amp;BM$8,Calc2!$J$4:$L$291,3,0),"")</f>
        <v/>
      </c>
      <c r="BN12" s="123" t="str">
        <f>IFERROR(VLOOKUP($P12&amp;BN$8,Calc2!$J$4:$L$291,3,0),"")</f>
        <v/>
      </c>
      <c r="BO12" s="320" t="str">
        <f>IFERROR(VLOOKUP($P12&amp;BO$8,Calc2!$J$4:$L$291,3,0),"")</f>
        <v/>
      </c>
      <c r="BP12" s="126" t="str">
        <f>IFERROR(VLOOKUP($P12&amp;BP$8,Calc2!$J$4:$L$291,3,0),"")</f>
        <v/>
      </c>
    </row>
    <row r="13" spans="1:68" ht="15.95" customHeight="1" x14ac:dyDescent="0.25">
      <c r="B13" s="199"/>
      <c r="C13" s="197">
        <v>5</v>
      </c>
      <c r="D13" s="121">
        <f>IF(Planning!$T11="","",Planning!$T11)</f>
        <v>45916</v>
      </c>
      <c r="E13" s="122">
        <f>IF(Planning!$U11="","",Planning!$U11)</f>
        <v>0.875</v>
      </c>
      <c r="F13" s="130" t="str">
        <f>Planning!$Q11</f>
        <v>Juventus Turin</v>
      </c>
      <c r="G13" s="131" t="s">
        <v>4</v>
      </c>
      <c r="H13" s="130" t="str">
        <f>Planning!$S11</f>
        <v>Borussia Dortmund</v>
      </c>
      <c r="I13" s="132"/>
      <c r="J13" s="410" t="str">
        <f>Language!$E$90</f>
        <v xml:space="preserve"> - </v>
      </c>
      <c r="K13" s="133"/>
      <c r="L13" s="233"/>
      <c r="M13" s="234"/>
      <c r="N13" s="328"/>
      <c r="O13" s="340" t="str">
        <f>IF(Calc!$K$40=0,"",IF(VLOOKUP(Calc!B8,Calc!$C$4:$E$39,3,0)=MAX(O$9:O12),VLOOKUP(Calc!B8,Calc!$C$4:$E$39,3,0),Calc!B8))</f>
        <v/>
      </c>
      <c r="P13" s="341" t="str">
        <f>IF(Calc!$K$40=0,Calc2!$C8,VLOOKUP(Calc!B8,Calc!$C$4:$N$39,4,0))</f>
        <v>FC Barcelona</v>
      </c>
      <c r="Q13" s="342" t="str">
        <f>IF(Calc!$K$40=0,"",VLOOKUP(Calc!B8,Calc!$C$4:$N$39,9,0))</f>
        <v/>
      </c>
      <c r="R13" s="343" t="str">
        <f>IF(Calc!$K$40=0,"",IF($Q13=0,"",VLOOKUP(Calc!B8,Calc!$C$4:$N$39,10,0)))</f>
        <v/>
      </c>
      <c r="S13" s="343" t="str">
        <f>IF(Calc!$K$40=0,"",IF($Q13=0,"",VLOOKUP(Calc!B8,Calc!$C$4:$N$39,11,0)))</f>
        <v/>
      </c>
      <c r="T13" s="344" t="str">
        <f>IF(Calc!$K$40=0,"",IF($Q13=0,"",VLOOKUP(Calc!B8,Calc!$C$4:$N$39,12,0)))</f>
        <v/>
      </c>
      <c r="U13" s="345" t="str">
        <f>IF(Calc!$K$40=0,"",IF($Q13=0,"",VLOOKUP(Calc!B8,Calc!$C$4:$N$39,5,0)))</f>
        <v/>
      </c>
      <c r="V13" s="346" t="str">
        <f>Language!$E$90</f>
        <v xml:space="preserve"> - </v>
      </c>
      <c r="W13" s="347" t="str">
        <f>IF(Calc!$K$40=0,"",IF($Q13=0,"",VLOOKUP(Calc!B8,Calc!$C$4:$N$39,6,0)))</f>
        <v/>
      </c>
      <c r="X13" s="348" t="str">
        <f>IF(Calc!$K$40=0,"",IF($Q13=0,"",VLOOKUP(Calc!B8,Calc!$C$4:$N$39,7,0)))</f>
        <v/>
      </c>
      <c r="Y13" s="349" t="str">
        <f>IF(Calc!$K$40=0,"",IF($Q13=0,"",VLOOKUP(Calc!B8,Calc!$C$4:$P$39,13,0)))</f>
        <v/>
      </c>
      <c r="Z13" s="349" t="str">
        <f>IF(Calc!$K$40=0,"",IF($Q13=0,"",VLOOKUP(Calc!B8,Calc!$C$4:$P$39,14,0)))</f>
        <v/>
      </c>
      <c r="AA13" s="350" t="str">
        <f>IF(Calc!$K$40=0,"",IF($Q13=0,"",VLOOKUP(Calc!B8,Calc!$C$4:$N$39,8,0)))</f>
        <v/>
      </c>
      <c r="AB13" s="236" t="str">
        <f>IF(VLOOKUP(Calc!B8,Calc!$C$4:$Q$39,15,0)=0,"",VLOOKUP(Calc!B8,Calc!$C$4:$Q$39,15,0))</f>
        <v/>
      </c>
      <c r="AC13" s="227" t="str">
        <f>IF(IFERROR(VLOOKUP($P13,Planning!$D$7:$E$42,2,0),0)=0,IF(LEN(P13)&gt;Factors!$D$12,LEFT(P13,Factors!$D$12)&amp;".",P13),VLOOKUP($P13,Planning!$D$7:$E$42,2,0))</f>
        <v>FC Barc.</v>
      </c>
      <c r="AD13" s="187"/>
      <c r="AE13" s="162" t="str">
        <f t="shared" si="0"/>
        <v/>
      </c>
      <c r="AF13" s="163" t="str">
        <f t="shared" si="1"/>
        <v>FC Barcelona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5" t="str">
        <f>IFERROR(VLOOKUP($P13&amp;BM$8,Calc2!$J$4:$L$291,3,0),"")</f>
        <v/>
      </c>
      <c r="BN13" s="123" t="str">
        <f>IFERROR(VLOOKUP($P13&amp;BN$8,Calc2!$J$4:$L$291,3,0),"")</f>
        <v/>
      </c>
      <c r="BO13" s="320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>
        <f>IF(Planning!$T12="","",Planning!$T12)</f>
        <v>45916</v>
      </c>
      <c r="E14" s="122">
        <f>IF(Planning!$U12="","",Planning!$U12)</f>
        <v>0.875</v>
      </c>
      <c r="F14" s="130" t="str">
        <f>Planning!$Q12</f>
        <v>Tottenham Hotspur</v>
      </c>
      <c r="G14" s="131" t="s">
        <v>4</v>
      </c>
      <c r="H14" s="130" t="str">
        <f>Planning!$S12</f>
        <v>FC Villarreal</v>
      </c>
      <c r="I14" s="132"/>
      <c r="J14" s="410" t="str">
        <f>Language!$E$90</f>
        <v xml:space="preserve"> - </v>
      </c>
      <c r="K14" s="133"/>
      <c r="L14" s="233"/>
      <c r="M14" s="234"/>
      <c r="N14" s="328"/>
      <c r="O14" s="340" t="str">
        <f>IF(Calc!$K$40=0,"",IF(VLOOKUP(Calc!B9,Calc!$C$4:$E$39,3,0)=MAX(O$9:O13),VLOOKUP(Calc!B9,Calc!$C$4:$E$39,3,0),Calc!B9))</f>
        <v/>
      </c>
      <c r="P14" s="341" t="str">
        <f>IF(Calc!$K$40=0,Calc2!$C9,VLOOKUP(Calc!B9,Calc!$C$4:$N$39,4,0))</f>
        <v>Atalanta Bergamo</v>
      </c>
      <c r="Q14" s="342" t="str">
        <f>IF(Calc!$K$40=0,"",VLOOKUP(Calc!B9,Calc!$C$4:$N$39,9,0))</f>
        <v/>
      </c>
      <c r="R14" s="343" t="str">
        <f>IF(Calc!$K$40=0,"",IF($Q14=0,"",VLOOKUP(Calc!B9,Calc!$C$4:$N$39,10,0)))</f>
        <v/>
      </c>
      <c r="S14" s="343" t="str">
        <f>IF(Calc!$K$40=0,"",IF($Q14=0,"",VLOOKUP(Calc!B9,Calc!$C$4:$N$39,11,0)))</f>
        <v/>
      </c>
      <c r="T14" s="344" t="str">
        <f>IF(Calc!$K$40=0,"",IF($Q14=0,"",VLOOKUP(Calc!B9,Calc!$C$4:$N$39,12,0)))</f>
        <v/>
      </c>
      <c r="U14" s="345" t="str">
        <f>IF(Calc!$K$40=0,"",IF($Q14=0,"",VLOOKUP(Calc!B9,Calc!$C$4:$N$39,5,0)))</f>
        <v/>
      </c>
      <c r="V14" s="346" t="str">
        <f>Language!$E$90</f>
        <v xml:space="preserve"> - </v>
      </c>
      <c r="W14" s="347" t="str">
        <f>IF(Calc!$K$40=0,"",IF($Q14=0,"",VLOOKUP(Calc!B9,Calc!$C$4:$N$39,6,0)))</f>
        <v/>
      </c>
      <c r="X14" s="348" t="str">
        <f>IF(Calc!$K$40=0,"",IF($Q14=0,"",VLOOKUP(Calc!B9,Calc!$C$4:$N$39,7,0)))</f>
        <v/>
      </c>
      <c r="Y14" s="349" t="str">
        <f>IF(Calc!$K$40=0,"",IF($Q14=0,"",VLOOKUP(Calc!B9,Calc!$C$4:$P$39,13,0)))</f>
        <v/>
      </c>
      <c r="Z14" s="349" t="str">
        <f>IF(Calc!$K$40=0,"",IF($Q14=0,"",VLOOKUP(Calc!B9,Calc!$C$4:$P$39,14,0)))</f>
        <v/>
      </c>
      <c r="AA14" s="350" t="str">
        <f>IF(Calc!$K$40=0,"",IF($Q14=0,"",VLOOKUP(Calc!B9,Calc!$C$4:$N$39,8,0)))</f>
        <v/>
      </c>
      <c r="AB14" s="236" t="str">
        <f>IF(VLOOKUP(Calc!B9,Calc!$C$4:$Q$39,15,0)=0,"",VLOOKUP(Calc!B9,Calc!$C$4:$Q$39,15,0))</f>
        <v/>
      </c>
      <c r="AC14" s="227" t="str">
        <f>IF(IFERROR(VLOOKUP($P14,Planning!$D$7:$E$42,2,0),0)=0,IF(LEN(P14)&gt;Factors!$D$12,LEFT(P14,Factors!$D$12)&amp;".",P14),VLOOKUP($P14,Planning!$D$7:$E$42,2,0))</f>
        <v>Atalant.</v>
      </c>
      <c r="AD14" s="187"/>
      <c r="AE14" s="162" t="str">
        <f t="shared" si="0"/>
        <v/>
      </c>
      <c r="AF14" s="163" t="str">
        <f t="shared" si="1"/>
        <v>Atalanta Bergamo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5" t="str">
        <f>IFERROR(VLOOKUP($P14&amp;BM$8,Calc2!$J$4:$L$291,3,0),"")</f>
        <v/>
      </c>
      <c r="BN14" s="123" t="str">
        <f>IFERROR(VLOOKUP($P14&amp;BN$8,Calc2!$J$4:$L$291,3,0),"")</f>
        <v/>
      </c>
      <c r="BO14" s="320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IF(Planning!$T13="","",Planning!$T13)</f>
        <v>45917</v>
      </c>
      <c r="E15" s="122">
        <f>IF(Planning!$U13="","",Planning!$U13)</f>
        <v>0.78125</v>
      </c>
      <c r="F15" s="130" t="str">
        <f>Planning!$Q13</f>
        <v>Olympiakos Piräus</v>
      </c>
      <c r="G15" s="131" t="s">
        <v>4</v>
      </c>
      <c r="H15" s="130" t="str">
        <f>Planning!$S13</f>
        <v>Pafos FC</v>
      </c>
      <c r="I15" s="132"/>
      <c r="J15" s="410" t="str">
        <f>Language!$E$90</f>
        <v xml:space="preserve"> - </v>
      </c>
      <c r="K15" s="133"/>
      <c r="L15" s="233"/>
      <c r="M15" s="234"/>
      <c r="N15" s="328"/>
      <c r="O15" s="340" t="str">
        <f>IF(Calc!$K$40=0,"",IF(VLOOKUP(Calc!B10,Calc!$C$4:$E$39,3,0)=MAX(O$9:O14),VLOOKUP(Calc!B10,Calc!$C$4:$E$39,3,0),Calc!B10))</f>
        <v/>
      </c>
      <c r="P15" s="341" t="str">
        <f>IF(Calc!$K$40=0,Calc2!$C10,VLOOKUP(Calc!B10,Calc!$C$4:$N$39,4,0))</f>
        <v>Athletic Bilbao</v>
      </c>
      <c r="Q15" s="342" t="str">
        <f>IF(Calc!$K$40=0,"",VLOOKUP(Calc!B10,Calc!$C$4:$N$39,9,0))</f>
        <v/>
      </c>
      <c r="R15" s="343" t="str">
        <f>IF(Calc!$K$40=0,"",IF($Q15=0,"",VLOOKUP(Calc!B10,Calc!$C$4:$N$39,10,0)))</f>
        <v/>
      </c>
      <c r="S15" s="343" t="str">
        <f>IF(Calc!$K$40=0,"",IF($Q15=0,"",VLOOKUP(Calc!B10,Calc!$C$4:$N$39,11,0)))</f>
        <v/>
      </c>
      <c r="T15" s="344" t="str">
        <f>IF(Calc!$K$40=0,"",IF($Q15=0,"",VLOOKUP(Calc!B10,Calc!$C$4:$N$39,12,0)))</f>
        <v/>
      </c>
      <c r="U15" s="345" t="str">
        <f>IF(Calc!$K$40=0,"",IF($Q15=0,"",VLOOKUP(Calc!B10,Calc!$C$4:$N$39,5,0)))</f>
        <v/>
      </c>
      <c r="V15" s="346" t="str">
        <f>Language!$E$90</f>
        <v xml:space="preserve"> - </v>
      </c>
      <c r="W15" s="347" t="str">
        <f>IF(Calc!$K$40=0,"",IF($Q15=0,"",VLOOKUP(Calc!B10,Calc!$C$4:$N$39,6,0)))</f>
        <v/>
      </c>
      <c r="X15" s="348" t="str">
        <f>IF(Calc!$K$40=0,"",IF($Q15=0,"",VLOOKUP(Calc!B10,Calc!$C$4:$N$39,7,0)))</f>
        <v/>
      </c>
      <c r="Y15" s="349" t="str">
        <f>IF(Calc!$K$40=0,"",IF($Q15=0,"",VLOOKUP(Calc!B10,Calc!$C$4:$P$39,13,0)))</f>
        <v/>
      </c>
      <c r="Z15" s="349" t="str">
        <f>IF(Calc!$K$40=0,"",IF($Q15=0,"",VLOOKUP(Calc!B10,Calc!$C$4:$P$39,14,0)))</f>
        <v/>
      </c>
      <c r="AA15" s="350" t="str">
        <f>IF(Calc!$K$40=0,"",IF($Q15=0,"",VLOOKUP(Calc!B10,Calc!$C$4:$N$39,8,0)))</f>
        <v/>
      </c>
      <c r="AB15" s="236" t="str">
        <f>IF(VLOOKUP(Calc!B10,Calc!$C$4:$Q$39,15,0)=0,"",VLOOKUP(Calc!B10,Calc!$C$4:$Q$39,15,0))</f>
        <v/>
      </c>
      <c r="AC15" s="227" t="str">
        <f>IF(IFERROR(VLOOKUP($P15,Planning!$D$7:$E$42,2,0),0)=0,IF(LEN(P15)&gt;Factors!$D$12,LEFT(P15,Factors!$D$12)&amp;".",P15),VLOOKUP($P15,Planning!$D$7:$E$42,2,0))</f>
        <v>Athleti.</v>
      </c>
      <c r="AD15" s="187"/>
      <c r="AE15" s="162" t="str">
        <f t="shared" si="0"/>
        <v/>
      </c>
      <c r="AF15" s="163" t="str">
        <f t="shared" si="1"/>
        <v>Athletic Bilbao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/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5" t="str">
        <f>IFERROR(VLOOKUP($P15&amp;BM$8,Calc2!$J$4:$L$291,3,0),"")</f>
        <v/>
      </c>
      <c r="BN15" s="123" t="str">
        <f>IFERROR(VLOOKUP($P15&amp;BN$8,Calc2!$J$4:$L$291,3,0),"")</f>
        <v/>
      </c>
      <c r="BO15" s="320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>
        <f>IF(Planning!$T14="","",Planning!$T14)</f>
        <v>45917</v>
      </c>
      <c r="E16" s="122">
        <f>IF(Planning!$U14="","",Planning!$U14)</f>
        <v>0.78125</v>
      </c>
      <c r="F16" s="130" t="str">
        <f>Planning!$Q14</f>
        <v>Salva Prag</v>
      </c>
      <c r="G16" s="131" t="s">
        <v>4</v>
      </c>
      <c r="H16" s="130" t="str">
        <f>Planning!$S14</f>
        <v>FK Bodö/Glimt</v>
      </c>
      <c r="I16" s="132"/>
      <c r="J16" s="410" t="str">
        <f>Language!$E$90</f>
        <v xml:space="preserve"> - </v>
      </c>
      <c r="K16" s="133"/>
      <c r="L16" s="233"/>
      <c r="M16" s="234"/>
      <c r="N16" s="328"/>
      <c r="O16" s="340" t="str">
        <f>IF(Calc!$K$40=0,"",IF(VLOOKUP(Calc!B11,Calc!$C$4:$E$39,3,0)=MAX(O$9:O15),VLOOKUP(Calc!B11,Calc!$C$4:$E$39,3,0),Calc!B11))</f>
        <v/>
      </c>
      <c r="P16" s="341" t="str">
        <f>IF(Calc!$K$40=0,Calc2!$C11,VLOOKUP(Calc!B11,Calc!$C$4:$N$39,4,0))</f>
        <v>FK Bodö/Glimt</v>
      </c>
      <c r="Q16" s="342" t="str">
        <f>IF(Calc!$K$40=0,"",VLOOKUP(Calc!B11,Calc!$C$4:$N$39,9,0))</f>
        <v/>
      </c>
      <c r="R16" s="343" t="str">
        <f>IF(Calc!$K$40=0,"",IF($Q16=0,"",VLOOKUP(Calc!B11,Calc!$C$4:$N$39,10,0)))</f>
        <v/>
      </c>
      <c r="S16" s="343" t="str">
        <f>IF(Calc!$K$40=0,"",IF($Q16=0,"",VLOOKUP(Calc!B11,Calc!$C$4:$N$39,11,0)))</f>
        <v/>
      </c>
      <c r="T16" s="344" t="str">
        <f>IF(Calc!$K$40=0,"",IF($Q16=0,"",VLOOKUP(Calc!B11,Calc!$C$4:$N$39,12,0)))</f>
        <v/>
      </c>
      <c r="U16" s="345" t="str">
        <f>IF(Calc!$K$40=0,"",IF($Q16=0,"",VLOOKUP(Calc!B11,Calc!$C$4:$N$39,5,0)))</f>
        <v/>
      </c>
      <c r="V16" s="346" t="str">
        <f>Language!$E$90</f>
        <v xml:space="preserve"> - </v>
      </c>
      <c r="W16" s="347" t="str">
        <f>IF(Calc!$K$40=0,"",IF($Q16=0,"",VLOOKUP(Calc!B11,Calc!$C$4:$N$39,6,0)))</f>
        <v/>
      </c>
      <c r="X16" s="348" t="str">
        <f>IF(Calc!$K$40=0,"",IF($Q16=0,"",VLOOKUP(Calc!B11,Calc!$C$4:$N$39,7,0)))</f>
        <v/>
      </c>
      <c r="Y16" s="349" t="str">
        <f>IF(Calc!$K$40=0,"",IF($Q16=0,"",VLOOKUP(Calc!B11,Calc!$C$4:$P$39,13,0)))</f>
        <v/>
      </c>
      <c r="Z16" s="349" t="str">
        <f>IF(Calc!$K$40=0,"",IF($Q16=0,"",VLOOKUP(Calc!B11,Calc!$C$4:$P$39,14,0)))</f>
        <v/>
      </c>
      <c r="AA16" s="350" t="str">
        <f>IF(Calc!$K$40=0,"",IF($Q16=0,"",VLOOKUP(Calc!B11,Calc!$C$4:$N$39,8,0)))</f>
        <v/>
      </c>
      <c r="AB16" s="236" t="str">
        <f>IF(VLOOKUP(Calc!B11,Calc!$C$4:$Q$39,15,0)=0,"",VLOOKUP(Calc!B11,Calc!$C$4:$Q$39,15,0))</f>
        <v/>
      </c>
      <c r="AC16" s="227" t="str">
        <f>IF(IFERROR(VLOOKUP($P16,Planning!$D$7:$E$42,2,0),0)=0,IF(LEN(P16)&gt;Factors!$D$12,LEFT(P16,Factors!$D$12)&amp;".",P16),VLOOKUP($P16,Planning!$D$7:$E$42,2,0))</f>
        <v>FK Bodö.</v>
      </c>
      <c r="AD16" s="187"/>
      <c r="AE16" s="162" t="str">
        <f t="shared" si="0"/>
        <v/>
      </c>
      <c r="AF16" s="163" t="str">
        <f t="shared" si="1"/>
        <v>FK Bodö/Glimt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5" t="str">
        <f>IFERROR(VLOOKUP($P16&amp;BM$8,Calc2!$J$4:$L$291,3,0),"")</f>
        <v/>
      </c>
      <c r="BN16" s="123" t="str">
        <f>IFERROR(VLOOKUP($P16&amp;BN$8,Calc2!$J$4:$L$291,3,0),"")</f>
        <v/>
      </c>
      <c r="BO16" s="320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5" customHeight="1" x14ac:dyDescent="0.25">
      <c r="B17" s="199"/>
      <c r="C17" s="197">
        <v>9</v>
      </c>
      <c r="D17" s="121">
        <f>IF(Planning!$T15="","",Planning!$T15)</f>
        <v>45917</v>
      </c>
      <c r="E17" s="122">
        <f>IF(Planning!$U15="","",Planning!$U15)</f>
        <v>0.875</v>
      </c>
      <c r="F17" s="130" t="str">
        <f>Planning!$Q15</f>
        <v>Paris St. Germain</v>
      </c>
      <c r="G17" s="131" t="s">
        <v>4</v>
      </c>
      <c r="H17" s="130" t="str">
        <f>Planning!$S15</f>
        <v>Atalanta Bergamo</v>
      </c>
      <c r="I17" s="132"/>
      <c r="J17" s="410" t="str">
        <f>Language!$E$90</f>
        <v xml:space="preserve"> - </v>
      </c>
      <c r="K17" s="133"/>
      <c r="L17" s="233"/>
      <c r="M17" s="234"/>
      <c r="N17" s="328"/>
      <c r="O17" s="351" t="str">
        <f>IF(Calc!$K$40=0,"",IF(VLOOKUP(Calc!B12,Calc!$C$4:$E$39,3,0)=MAX(O$9:O16),VLOOKUP(Calc!B12,Calc!$C$4:$E$39,3,0),Calc!B12))</f>
        <v/>
      </c>
      <c r="P17" s="352" t="str">
        <f>IF(Calc!$K$40=0,Calc2!$C12,VLOOKUP(Calc!B12,Calc!$C$4:$N$39,4,0))</f>
        <v>Club Brügge</v>
      </c>
      <c r="Q17" s="353" t="str">
        <f>IF(Calc!$K$40=0,"",VLOOKUP(Calc!B12,Calc!$C$4:$N$39,9,0))</f>
        <v/>
      </c>
      <c r="R17" s="354" t="str">
        <f>IF(Calc!$K$40=0,"",IF($Q17=0,"",VLOOKUP(Calc!B12,Calc!$C$4:$N$39,10,0)))</f>
        <v/>
      </c>
      <c r="S17" s="354" t="str">
        <f>IF(Calc!$K$40=0,"",IF($Q17=0,"",VLOOKUP(Calc!B12,Calc!$C$4:$N$39,11,0)))</f>
        <v/>
      </c>
      <c r="T17" s="355" t="str">
        <f>IF(Calc!$K$40=0,"",IF($Q17=0,"",VLOOKUP(Calc!B12,Calc!$C$4:$N$39,12,0)))</f>
        <v/>
      </c>
      <c r="U17" s="356" t="str">
        <f>IF(Calc!$K$40=0,"",IF($Q17=0,"",VLOOKUP(Calc!B12,Calc!$C$4:$N$39,5,0)))</f>
        <v/>
      </c>
      <c r="V17" s="357" t="str">
        <f>Language!$E$90</f>
        <v xml:space="preserve"> - </v>
      </c>
      <c r="W17" s="358" t="str">
        <f>IF(Calc!$K$40=0,"",IF($Q17=0,"",VLOOKUP(Calc!B12,Calc!$C$4:$N$39,6,0)))</f>
        <v/>
      </c>
      <c r="X17" s="359" t="str">
        <f>IF(Calc!$K$40=0,"",IF($Q17=0,"",VLOOKUP(Calc!B12,Calc!$C$4:$N$39,7,0)))</f>
        <v/>
      </c>
      <c r="Y17" s="360" t="str">
        <f>IF(Calc!$K$40=0,"",IF($Q17=0,"",VLOOKUP(Calc!B12,Calc!$C$4:$P$39,13,0)))</f>
        <v/>
      </c>
      <c r="Z17" s="360" t="str">
        <f>IF(Calc!$K$40=0,"",IF($Q17=0,"",VLOOKUP(Calc!B12,Calc!$C$4:$P$39,14,0)))</f>
        <v/>
      </c>
      <c r="AA17" s="361" t="str">
        <f>IF(Calc!$K$40=0,"",IF($Q17=0,"",VLOOKUP(Calc!B12,Calc!$C$4:$N$39,8,0)))</f>
        <v/>
      </c>
      <c r="AB17" s="236" t="str">
        <f>IF(VLOOKUP(Calc!B12,Calc!$C$4:$Q$39,15,0)=0,"",VLOOKUP(Calc!B12,Calc!$C$4:$Q$39,15,0))</f>
        <v/>
      </c>
      <c r="AC17" s="227" t="str">
        <f>IF(IFERROR(VLOOKUP($P17,Planning!$D$7:$E$42,2,0),0)=0,IF(LEN(P17)&gt;Factors!$D$12,LEFT(P17,Factors!$D$12)&amp;".",P17),VLOOKUP($P17,Planning!$D$7:$E$42,2,0))</f>
        <v>Club Br.</v>
      </c>
      <c r="AD17" s="187"/>
      <c r="AE17" s="162" t="str">
        <f t="shared" si="0"/>
        <v/>
      </c>
      <c r="AF17" s="163" t="str">
        <f t="shared" si="1"/>
        <v>Club Brügge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/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5" t="str">
        <f>IFERROR(VLOOKUP($P17&amp;BM$8,Calc2!$J$4:$L$291,3,0),"")</f>
        <v/>
      </c>
      <c r="BN17" s="123" t="str">
        <f>IFERROR(VLOOKUP($P17&amp;BN$8,Calc2!$J$4:$L$291,3,0),"")</f>
        <v/>
      </c>
      <c r="BO17" s="320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5" customHeight="1" x14ac:dyDescent="0.25">
      <c r="B18" s="199"/>
      <c r="C18" s="197">
        <v>10</v>
      </c>
      <c r="D18" s="121">
        <f>IF(Planning!$T16="","",Planning!$T16)</f>
        <v>45917</v>
      </c>
      <c r="E18" s="122">
        <f>IF(Planning!$U16="","",Planning!$U16)</f>
        <v>0.875</v>
      </c>
      <c r="F18" s="130" t="str">
        <f>Planning!$Q16</f>
        <v>Bayern München</v>
      </c>
      <c r="G18" s="131" t="s">
        <v>4</v>
      </c>
      <c r="H18" s="130" t="str">
        <f>Planning!$S16</f>
        <v>FC Chelsea</v>
      </c>
      <c r="I18" s="132"/>
      <c r="J18" s="410" t="str">
        <f>Language!$E$90</f>
        <v xml:space="preserve"> - </v>
      </c>
      <c r="K18" s="133"/>
      <c r="L18" s="233"/>
      <c r="M18" s="234"/>
      <c r="N18" s="328"/>
      <c r="O18" s="351" t="str">
        <f>IF(Calc!$K$40=0,"",IF(VLOOKUP(Calc!B13,Calc!$C$4:$E$39,3,0)=MAX(O$9:O17),VLOOKUP(Calc!B13,Calc!$C$4:$E$39,3,0),Calc!B13))</f>
        <v/>
      </c>
      <c r="P18" s="352" t="str">
        <f>IF(Calc!$K$40=0,Calc2!$C13,VLOOKUP(Calc!B13,Calc!$C$4:$N$39,4,0))</f>
        <v>FC Chelsea</v>
      </c>
      <c r="Q18" s="353" t="str">
        <f>IF(Calc!$K$40=0,"",VLOOKUP(Calc!B13,Calc!$C$4:$N$39,9,0))</f>
        <v/>
      </c>
      <c r="R18" s="354" t="str">
        <f>IF(Calc!$K$40=0,"",IF($Q18=0,"",VLOOKUP(Calc!B13,Calc!$C$4:$N$39,10,0)))</f>
        <v/>
      </c>
      <c r="S18" s="354" t="str">
        <f>IF(Calc!$K$40=0,"",IF($Q18=0,"",VLOOKUP(Calc!B13,Calc!$C$4:$N$39,11,0)))</f>
        <v/>
      </c>
      <c r="T18" s="355" t="str">
        <f>IF(Calc!$K$40=0,"",IF($Q18=0,"",VLOOKUP(Calc!B13,Calc!$C$4:$N$39,12,0)))</f>
        <v/>
      </c>
      <c r="U18" s="356" t="str">
        <f>IF(Calc!$K$40=0,"",IF($Q18=0,"",VLOOKUP(Calc!B13,Calc!$C$4:$N$39,5,0)))</f>
        <v/>
      </c>
      <c r="V18" s="357" t="str">
        <f>Language!$E$90</f>
        <v xml:space="preserve"> - </v>
      </c>
      <c r="W18" s="358" t="str">
        <f>IF(Calc!$K$40=0,"",IF($Q18=0,"",VLOOKUP(Calc!B13,Calc!$C$4:$N$39,6,0)))</f>
        <v/>
      </c>
      <c r="X18" s="359" t="str">
        <f>IF(Calc!$K$40=0,"",IF($Q18=0,"",VLOOKUP(Calc!B13,Calc!$C$4:$N$39,7,0)))</f>
        <v/>
      </c>
      <c r="Y18" s="360" t="str">
        <f>IF(Calc!$K$40=0,"",IF($Q18=0,"",VLOOKUP(Calc!B13,Calc!$C$4:$P$39,13,0)))</f>
        <v/>
      </c>
      <c r="Z18" s="360" t="str">
        <f>IF(Calc!$K$40=0,"",IF($Q18=0,"",VLOOKUP(Calc!B13,Calc!$C$4:$P$39,14,0)))</f>
        <v/>
      </c>
      <c r="AA18" s="361" t="str">
        <f>IF(Calc!$K$40=0,"",IF($Q18=0,"",VLOOKUP(Calc!B13,Calc!$C$4:$N$39,8,0)))</f>
        <v/>
      </c>
      <c r="AB18" s="236" t="str">
        <f>IF(VLOOKUP(Calc!B13,Calc!$C$4:$Q$39,15,0)=0,"",VLOOKUP(Calc!B13,Calc!$C$4:$Q$39,15,0))</f>
        <v/>
      </c>
      <c r="AC18" s="227" t="str">
        <f>IF(IFERROR(VLOOKUP($P18,Planning!$D$7:$E$42,2,0),0)=0,IF(LEN(P18)&gt;Factors!$D$12,LEFT(P18,Factors!$D$12)&amp;".",P18),VLOOKUP($P18,Planning!$D$7:$E$42,2,0))</f>
        <v>FC Chel.</v>
      </c>
      <c r="AD18" s="187"/>
      <c r="AE18" s="162" t="str">
        <f t="shared" si="0"/>
        <v/>
      </c>
      <c r="AF18" s="163" t="str">
        <f t="shared" si="1"/>
        <v>FC Chelsea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5" t="str">
        <f>IFERROR(VLOOKUP($P18&amp;BM$8,Calc2!$J$4:$L$291,3,0),"")</f>
        <v/>
      </c>
      <c r="BN18" s="123" t="str">
        <f>IFERROR(VLOOKUP($P18&amp;BN$8,Calc2!$J$4:$L$291,3,0),"")</f>
        <v/>
      </c>
      <c r="BO18" s="320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>
        <f>IF(Planning!$T17="","",Planning!$T17)</f>
        <v>45917</v>
      </c>
      <c r="E19" s="122">
        <f>IF(Planning!$U17="","",Planning!$U17)</f>
        <v>0.875</v>
      </c>
      <c r="F19" s="130" t="str">
        <f>Planning!$Q17</f>
        <v>FC Liverpool</v>
      </c>
      <c r="G19" s="131" t="s">
        <v>4</v>
      </c>
      <c r="H19" s="130" t="str">
        <f>Planning!$S17</f>
        <v>Atletico Madrid</v>
      </c>
      <c r="I19" s="132"/>
      <c r="J19" s="410" t="str">
        <f>Language!$E$90</f>
        <v xml:space="preserve"> - </v>
      </c>
      <c r="K19" s="133"/>
      <c r="L19" s="233"/>
      <c r="M19" s="234"/>
      <c r="N19" s="328"/>
      <c r="O19" s="351" t="str">
        <f>IF(Calc!$K$40=0,"",IF(VLOOKUP(Calc!B14,Calc!$C$4:$E$39,3,0)=MAX(O$9:O18),VLOOKUP(Calc!B14,Calc!$C$4:$E$39,3,0),Calc!B14))</f>
        <v/>
      </c>
      <c r="P19" s="352" t="str">
        <f>IF(Calc!$K$40=0,Calc2!$C14,VLOOKUP(Calc!B14,Calc!$C$4:$N$39,4,0))</f>
        <v>Borussia Dortmund</v>
      </c>
      <c r="Q19" s="353" t="str">
        <f>IF(Calc!$K$40=0,"",VLOOKUP(Calc!B14,Calc!$C$4:$N$39,9,0))</f>
        <v/>
      </c>
      <c r="R19" s="354" t="str">
        <f>IF(Calc!$K$40=0,"",IF($Q19=0,"",VLOOKUP(Calc!B14,Calc!$C$4:$N$39,10,0)))</f>
        <v/>
      </c>
      <c r="S19" s="354" t="str">
        <f>IF(Calc!$K$40=0,"",IF($Q19=0,"",VLOOKUP(Calc!B14,Calc!$C$4:$N$39,11,0)))</f>
        <v/>
      </c>
      <c r="T19" s="355" t="str">
        <f>IF(Calc!$K$40=0,"",IF($Q19=0,"",VLOOKUP(Calc!B14,Calc!$C$4:$N$39,12,0)))</f>
        <v/>
      </c>
      <c r="U19" s="356" t="str">
        <f>IF(Calc!$K$40=0,"",IF($Q19=0,"",VLOOKUP(Calc!B14,Calc!$C$4:$N$39,5,0)))</f>
        <v/>
      </c>
      <c r="V19" s="357" t="str">
        <f>Language!$E$90</f>
        <v xml:space="preserve"> - </v>
      </c>
      <c r="W19" s="358" t="str">
        <f>IF(Calc!$K$40=0,"",IF($Q19=0,"",VLOOKUP(Calc!B14,Calc!$C$4:$N$39,6,0)))</f>
        <v/>
      </c>
      <c r="X19" s="359" t="str">
        <f>IF(Calc!$K$40=0,"",IF($Q19=0,"",VLOOKUP(Calc!B14,Calc!$C$4:$N$39,7,0)))</f>
        <v/>
      </c>
      <c r="Y19" s="360" t="str">
        <f>IF(Calc!$K$40=0,"",IF($Q19=0,"",VLOOKUP(Calc!B14,Calc!$C$4:$P$39,13,0)))</f>
        <v/>
      </c>
      <c r="Z19" s="360" t="str">
        <f>IF(Calc!$K$40=0,"",IF($Q19=0,"",VLOOKUP(Calc!B14,Calc!$C$4:$P$39,14,0)))</f>
        <v/>
      </c>
      <c r="AA19" s="361" t="str">
        <f>IF(Calc!$K$40=0,"",IF($Q19=0,"",VLOOKUP(Calc!B14,Calc!$C$4:$N$39,8,0)))</f>
        <v/>
      </c>
      <c r="AB19" s="236" t="str">
        <f>IF(VLOOKUP(Calc!B14,Calc!$C$4:$Q$39,15,0)=0,"",VLOOKUP(Calc!B14,Calc!$C$4:$Q$39,15,0))</f>
        <v/>
      </c>
      <c r="AC19" s="227" t="str">
        <f>IF(IFERROR(VLOOKUP($P19,Planning!$D$7:$E$42,2,0),0)=0,IF(LEN(P19)&gt;Factors!$D$12,LEFT(P19,Factors!$D$12)&amp;".",P19),VLOOKUP($P19,Planning!$D$7:$E$42,2,0))</f>
        <v>Borussi.</v>
      </c>
      <c r="AD19" s="187"/>
      <c r="AE19" s="162" t="str">
        <f t="shared" si="0"/>
        <v/>
      </c>
      <c r="AF19" s="163" t="str">
        <f t="shared" si="1"/>
        <v>Borussia Dortmund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5" t="str">
        <f>IFERROR(VLOOKUP($P19&amp;BM$8,Calc2!$J$4:$L$291,3,0),"")</f>
        <v/>
      </c>
      <c r="BN19" s="123" t="str">
        <f>IFERROR(VLOOKUP($P19&amp;BN$8,Calc2!$J$4:$L$291,3,0),"")</f>
        <v/>
      </c>
      <c r="BO19" s="320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>
        <f>IF(Planning!$T18="","",Planning!$T18)</f>
        <v>45917</v>
      </c>
      <c r="E20" s="122">
        <f>IF(Planning!$U18="","",Planning!$U18)</f>
        <v>0.875</v>
      </c>
      <c r="F20" s="130" t="str">
        <f>Planning!$Q18</f>
        <v>Ajax Amsterdam</v>
      </c>
      <c r="G20" s="131" t="s">
        <v>4</v>
      </c>
      <c r="H20" s="130" t="str">
        <f>Planning!$S18</f>
        <v>Inter Mailand</v>
      </c>
      <c r="I20" s="132"/>
      <c r="J20" s="410" t="str">
        <f>Language!$E$90</f>
        <v xml:space="preserve"> - </v>
      </c>
      <c r="K20" s="133"/>
      <c r="L20" s="233"/>
      <c r="M20" s="234"/>
      <c r="N20" s="328"/>
      <c r="O20" s="351" t="str">
        <f>IF(Calc!$K$40=0,"",IF(VLOOKUP(Calc!B15,Calc!$C$4:$E$39,3,0)=MAX(O$9:O19),VLOOKUP(Calc!B15,Calc!$C$4:$E$39,3,0),Calc!B15))</f>
        <v/>
      </c>
      <c r="P20" s="352" t="str">
        <f>IF(Calc!$K$40=0,Calc2!$C15,VLOOKUP(Calc!B15,Calc!$C$4:$N$39,4,0))</f>
        <v>PSV Eindhoven</v>
      </c>
      <c r="Q20" s="353" t="str">
        <f>IF(Calc!$K$40=0,"",VLOOKUP(Calc!B15,Calc!$C$4:$N$39,9,0))</f>
        <v/>
      </c>
      <c r="R20" s="354" t="str">
        <f>IF(Calc!$K$40=0,"",IF($Q20=0,"",VLOOKUP(Calc!B15,Calc!$C$4:$N$39,10,0)))</f>
        <v/>
      </c>
      <c r="S20" s="354" t="str">
        <f>IF(Calc!$K$40=0,"",IF($Q20=0,"",VLOOKUP(Calc!B15,Calc!$C$4:$N$39,11,0)))</f>
        <v/>
      </c>
      <c r="T20" s="355" t="str">
        <f>IF(Calc!$K$40=0,"",IF($Q20=0,"",VLOOKUP(Calc!B15,Calc!$C$4:$N$39,12,0)))</f>
        <v/>
      </c>
      <c r="U20" s="356" t="str">
        <f>IF(Calc!$K$40=0,"",IF($Q20=0,"",VLOOKUP(Calc!B15,Calc!$C$4:$N$39,5,0)))</f>
        <v/>
      </c>
      <c r="V20" s="357" t="str">
        <f>Language!$E$90</f>
        <v xml:space="preserve"> - </v>
      </c>
      <c r="W20" s="358" t="str">
        <f>IF(Calc!$K$40=0,"",IF($Q20=0,"",VLOOKUP(Calc!B15,Calc!$C$4:$N$39,6,0)))</f>
        <v/>
      </c>
      <c r="X20" s="359" t="str">
        <f>IF(Calc!$K$40=0,"",IF($Q20=0,"",VLOOKUP(Calc!B15,Calc!$C$4:$N$39,7,0)))</f>
        <v/>
      </c>
      <c r="Y20" s="360" t="str">
        <f>IF(Calc!$K$40=0,"",IF($Q20=0,"",VLOOKUP(Calc!B15,Calc!$C$4:$P$39,13,0)))</f>
        <v/>
      </c>
      <c r="Z20" s="360" t="str">
        <f>IF(Calc!$K$40=0,"",IF($Q20=0,"",VLOOKUP(Calc!B15,Calc!$C$4:$P$39,14,0)))</f>
        <v/>
      </c>
      <c r="AA20" s="361" t="str">
        <f>IF(Calc!$K$40=0,"",IF($Q20=0,"",VLOOKUP(Calc!B15,Calc!$C$4:$N$39,8,0)))</f>
        <v/>
      </c>
      <c r="AB20" s="236" t="str">
        <f>IF(VLOOKUP(Calc!B15,Calc!$C$4:$Q$39,15,0)=0,"",VLOOKUP(Calc!B15,Calc!$C$4:$Q$39,15,0))</f>
        <v/>
      </c>
      <c r="AC20" s="227" t="str">
        <f>IF(IFERROR(VLOOKUP($P20,Planning!$D$7:$E$42,2,0),0)=0,IF(LEN(P20)&gt;Factors!$D$12,LEFT(P20,Factors!$D$12)&amp;".",P20),VLOOKUP($P20,Planning!$D$7:$E$42,2,0))</f>
        <v>PSV Ein.</v>
      </c>
      <c r="AD20" s="187"/>
      <c r="AE20" s="162" t="str">
        <f t="shared" si="0"/>
        <v/>
      </c>
      <c r="AF20" s="163" t="str">
        <f t="shared" si="1"/>
        <v>PSV Eindhoven</v>
      </c>
      <c r="AG20" s="124" t="str">
        <f>IFERROR(VLOOKUP($P20&amp;AG$8,Calc2!$J$4:$L$291,3,0),"")</f>
        <v/>
      </c>
      <c r="AH20" s="123" t="str">
        <f>IFERROR(VLOOKUP($P20&amp;AH$8,Calc2!$J$4:$L$291,3,0),"")</f>
        <v/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5" t="str">
        <f>IFERROR(VLOOKUP($P20&amp;BM$8,Calc2!$J$4:$L$291,3,0),"")</f>
        <v/>
      </c>
      <c r="BN20" s="123" t="str">
        <f>IFERROR(VLOOKUP($P20&amp;BN$8,Calc2!$J$4:$L$291,3,0),"")</f>
        <v/>
      </c>
      <c r="BO20" s="320" t="str">
        <f>IFERROR(VLOOKUP($P20&amp;BO$8,Calc2!$J$4:$L$291,3,0),"")</f>
        <v/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IF(Planning!$T19="","",Planning!$T19)</f>
        <v>45918</v>
      </c>
      <c r="E21" s="122">
        <f>IF(Planning!$U19="","",Planning!$U19)</f>
        <v>0.78125</v>
      </c>
      <c r="F21" s="130" t="str">
        <f>Planning!$Q19</f>
        <v>Club Brügge</v>
      </c>
      <c r="G21" s="131" t="s">
        <v>4</v>
      </c>
      <c r="H21" s="130" t="str">
        <f>Planning!$S19</f>
        <v>AS Monaco</v>
      </c>
      <c r="I21" s="132"/>
      <c r="J21" s="410" t="str">
        <f>Language!$E$90</f>
        <v xml:space="preserve"> - </v>
      </c>
      <c r="K21" s="133"/>
      <c r="L21" s="233"/>
      <c r="M21" s="234"/>
      <c r="N21" s="328"/>
      <c r="O21" s="351" t="str">
        <f>IF(Calc!$K$40=0,"",IF(VLOOKUP(Calc!B16,Calc!$C$4:$E$39,3,0)=MAX(O$9:O20),VLOOKUP(Calc!B16,Calc!$C$4:$E$39,3,0),Calc!B16))</f>
        <v/>
      </c>
      <c r="P21" s="352" t="str">
        <f>IF(Calc!$K$40=0,Calc2!$C16,VLOOKUP(Calc!B16,Calc!$C$4:$N$39,4,0))</f>
        <v>Eintracht Frankfurt</v>
      </c>
      <c r="Q21" s="353" t="str">
        <f>IF(Calc!$K$40=0,"",VLOOKUP(Calc!B16,Calc!$C$4:$N$39,9,0))</f>
        <v/>
      </c>
      <c r="R21" s="354" t="str">
        <f>IF(Calc!$K$40=0,"",IF($Q21=0,"",VLOOKUP(Calc!B16,Calc!$C$4:$N$39,10,0)))</f>
        <v/>
      </c>
      <c r="S21" s="354" t="str">
        <f>IF(Calc!$K$40=0,"",IF($Q21=0,"",VLOOKUP(Calc!B16,Calc!$C$4:$N$39,11,0)))</f>
        <v/>
      </c>
      <c r="T21" s="355" t="str">
        <f>IF(Calc!$K$40=0,"",IF($Q21=0,"",VLOOKUP(Calc!B16,Calc!$C$4:$N$39,12,0)))</f>
        <v/>
      </c>
      <c r="U21" s="356" t="str">
        <f>IF(Calc!$K$40=0,"",IF($Q21=0,"",VLOOKUP(Calc!B16,Calc!$C$4:$N$39,5,0)))</f>
        <v/>
      </c>
      <c r="V21" s="357" t="str">
        <f>Language!$E$90</f>
        <v xml:space="preserve"> - </v>
      </c>
      <c r="W21" s="358" t="str">
        <f>IF(Calc!$K$40=0,"",IF($Q21=0,"",VLOOKUP(Calc!B16,Calc!$C$4:$N$39,6,0)))</f>
        <v/>
      </c>
      <c r="X21" s="359" t="str">
        <f>IF(Calc!$K$40=0,"",IF($Q21=0,"",VLOOKUP(Calc!B16,Calc!$C$4:$N$39,7,0)))</f>
        <v/>
      </c>
      <c r="Y21" s="360" t="str">
        <f>IF(Calc!$K$40=0,"",IF($Q21=0,"",VLOOKUP(Calc!B16,Calc!$C$4:$P$39,13,0)))</f>
        <v/>
      </c>
      <c r="Z21" s="360" t="str">
        <f>IF(Calc!$K$40=0,"",IF($Q21=0,"",VLOOKUP(Calc!B16,Calc!$C$4:$P$39,14,0)))</f>
        <v/>
      </c>
      <c r="AA21" s="361" t="str">
        <f>IF(Calc!$K$40=0,"",IF($Q21=0,"",VLOOKUP(Calc!B16,Calc!$C$4:$N$39,8,0)))</f>
        <v/>
      </c>
      <c r="AB21" s="236" t="str">
        <f>IF(VLOOKUP(Calc!B16,Calc!$C$4:$Q$39,15,0)=0,"",VLOOKUP(Calc!B16,Calc!$C$4:$Q$39,15,0))</f>
        <v/>
      </c>
      <c r="AC21" s="227" t="str">
        <f>IF(IFERROR(VLOOKUP($P21,Planning!$D$7:$E$42,2,0),0)=0,IF(LEN(P21)&gt;Factors!$D$12,LEFT(P21,Factors!$D$12)&amp;".",P21),VLOOKUP($P21,Planning!$D$7:$E$42,2,0))</f>
        <v>Eintrac.</v>
      </c>
      <c r="AD21" s="187"/>
      <c r="AE21" s="162" t="str">
        <f t="shared" si="0"/>
        <v/>
      </c>
      <c r="AF21" s="163" t="str">
        <f t="shared" si="1"/>
        <v>Eintracht Frankfurt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5" t="str">
        <f>IFERROR(VLOOKUP($P21&amp;BM$8,Calc2!$J$4:$L$291,3,0),"")</f>
        <v/>
      </c>
      <c r="BN21" s="123" t="str">
        <f>IFERROR(VLOOKUP($P21&amp;BN$8,Calc2!$J$4:$L$291,3,0),"")</f>
        <v/>
      </c>
      <c r="BO21" s="320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>
        <f>IF(Planning!$T20="","",Planning!$T20)</f>
        <v>45918</v>
      </c>
      <c r="E22" s="122">
        <f>IF(Planning!$U20="","",Planning!$U20)</f>
        <v>0.78125</v>
      </c>
      <c r="F22" s="130" t="str">
        <f>Planning!$Q20</f>
        <v>FC Kopenhagen</v>
      </c>
      <c r="G22" s="131" t="s">
        <v>4</v>
      </c>
      <c r="H22" s="130" t="str">
        <f>Planning!$S20</f>
        <v>Bayer 04 Leverkusen</v>
      </c>
      <c r="I22" s="132"/>
      <c r="J22" s="410" t="str">
        <f>Language!$E$90</f>
        <v xml:space="preserve"> - </v>
      </c>
      <c r="K22" s="133"/>
      <c r="L22" s="233"/>
      <c r="M22" s="234"/>
      <c r="N22" s="328"/>
      <c r="O22" s="351" t="str">
        <f>IF(Calc!$K$40=0,"",IF(VLOOKUP(Calc!B17,Calc!$C$4:$E$39,3,0)=MAX(O$9:O21),VLOOKUP(Calc!B17,Calc!$C$4:$E$39,3,0),Calc!B17))</f>
        <v/>
      </c>
      <c r="P22" s="352" t="str">
        <f>IF(Calc!$K$40=0,Calc2!$C17,VLOOKUP(Calc!B17,Calc!$C$4:$N$39,4,0))</f>
        <v>Galatasaray SK</v>
      </c>
      <c r="Q22" s="353" t="str">
        <f>IF(Calc!$K$40=0,"",VLOOKUP(Calc!B17,Calc!$C$4:$N$39,9,0))</f>
        <v/>
      </c>
      <c r="R22" s="354" t="str">
        <f>IF(Calc!$K$40=0,"",IF($Q22=0,"",VLOOKUP(Calc!B17,Calc!$C$4:$N$39,10,0)))</f>
        <v/>
      </c>
      <c r="S22" s="354" t="str">
        <f>IF(Calc!$K$40=0,"",IF($Q22=0,"",VLOOKUP(Calc!B17,Calc!$C$4:$N$39,11,0)))</f>
        <v/>
      </c>
      <c r="T22" s="355" t="str">
        <f>IF(Calc!$K$40=0,"",IF($Q22=0,"",VLOOKUP(Calc!B17,Calc!$C$4:$N$39,12,0)))</f>
        <v/>
      </c>
      <c r="U22" s="356" t="str">
        <f>IF(Calc!$K$40=0,"",IF($Q22=0,"",VLOOKUP(Calc!B17,Calc!$C$4:$N$39,5,0)))</f>
        <v/>
      </c>
      <c r="V22" s="357" t="str">
        <f>Language!$E$90</f>
        <v xml:space="preserve"> - </v>
      </c>
      <c r="W22" s="358" t="str">
        <f>IF(Calc!$K$40=0,"",IF($Q22=0,"",VLOOKUP(Calc!B17,Calc!$C$4:$N$39,6,0)))</f>
        <v/>
      </c>
      <c r="X22" s="359" t="str">
        <f>IF(Calc!$K$40=0,"",IF($Q22=0,"",VLOOKUP(Calc!B17,Calc!$C$4:$N$39,7,0)))</f>
        <v/>
      </c>
      <c r="Y22" s="360" t="str">
        <f>IF(Calc!$K$40=0,"",IF($Q22=0,"",VLOOKUP(Calc!B17,Calc!$C$4:$P$39,13,0)))</f>
        <v/>
      </c>
      <c r="Z22" s="360" t="str">
        <f>IF(Calc!$K$40=0,"",IF($Q22=0,"",VLOOKUP(Calc!B17,Calc!$C$4:$P$39,14,0)))</f>
        <v/>
      </c>
      <c r="AA22" s="361" t="str">
        <f>IF(Calc!$K$40=0,"",IF($Q22=0,"",VLOOKUP(Calc!B17,Calc!$C$4:$N$39,8,0)))</f>
        <v/>
      </c>
      <c r="AB22" s="236" t="str">
        <f>IF(VLOOKUP(Calc!B17,Calc!$C$4:$Q$39,15,0)=0,"",VLOOKUP(Calc!B17,Calc!$C$4:$Q$39,15,0))</f>
        <v/>
      </c>
      <c r="AC22" s="227" t="str">
        <f>IF(IFERROR(VLOOKUP($P22,Planning!$D$7:$E$42,2,0),0)=0,IF(LEN(P22)&gt;Factors!$D$12,LEFT(P22,Factors!$D$12)&amp;".",P22),VLOOKUP($P22,Planning!$D$7:$E$42,2,0))</f>
        <v>Galatas.</v>
      </c>
      <c r="AD22" s="187"/>
      <c r="AE22" s="162" t="str">
        <f t="shared" si="0"/>
        <v/>
      </c>
      <c r="AF22" s="163" t="str">
        <f t="shared" si="1"/>
        <v>Galatasaray SK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/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5" t="str">
        <f>IFERROR(VLOOKUP($P22&amp;BM$8,Calc2!$J$4:$L$291,3,0),"")</f>
        <v/>
      </c>
      <c r="BN22" s="123" t="str">
        <f>IFERROR(VLOOKUP($P22&amp;BN$8,Calc2!$J$4:$L$291,3,0),"")</f>
        <v/>
      </c>
      <c r="BO22" s="320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>
        <f>IF(Planning!$T21="","",Planning!$T21)</f>
        <v>45918</v>
      </c>
      <c r="E23" s="122">
        <f>IF(Planning!$U21="","",Planning!$U21)</f>
        <v>0.875</v>
      </c>
      <c r="F23" s="130" t="str">
        <f>Planning!$Q21</f>
        <v>Manchester City</v>
      </c>
      <c r="G23" s="131" t="s">
        <v>4</v>
      </c>
      <c r="H23" s="130" t="str">
        <f>Planning!$S21</f>
        <v>SSC Neapel</v>
      </c>
      <c r="I23" s="132"/>
      <c r="J23" s="410" t="str">
        <f>Language!$E$90</f>
        <v xml:space="preserve"> - </v>
      </c>
      <c r="K23" s="133"/>
      <c r="L23" s="233"/>
      <c r="M23" s="234"/>
      <c r="N23" s="328"/>
      <c r="O23" s="351" t="str">
        <f>IF(Calc!$K$40=0,"",IF(VLOOKUP(Calc!B18,Calc!$C$4:$E$39,3,0)=MAX(O$9:O22),VLOOKUP(Calc!B18,Calc!$C$4:$E$39,3,0),Calc!B18))</f>
        <v/>
      </c>
      <c r="P23" s="352" t="str">
        <f>IF(Calc!$K$40=0,Calc2!$C18,VLOOKUP(Calc!B18,Calc!$C$4:$N$39,4,0))</f>
        <v>FC Kopenhagen</v>
      </c>
      <c r="Q23" s="353" t="str">
        <f>IF(Calc!$K$40=0,"",VLOOKUP(Calc!B18,Calc!$C$4:$N$39,9,0))</f>
        <v/>
      </c>
      <c r="R23" s="354" t="str">
        <f>IF(Calc!$K$40=0,"",IF($Q23=0,"",VLOOKUP(Calc!B18,Calc!$C$4:$N$39,10,0)))</f>
        <v/>
      </c>
      <c r="S23" s="354" t="str">
        <f>IF(Calc!$K$40=0,"",IF($Q23=0,"",VLOOKUP(Calc!B18,Calc!$C$4:$N$39,11,0)))</f>
        <v/>
      </c>
      <c r="T23" s="355" t="str">
        <f>IF(Calc!$K$40=0,"",IF($Q23=0,"",VLOOKUP(Calc!B18,Calc!$C$4:$N$39,12,0)))</f>
        <v/>
      </c>
      <c r="U23" s="356" t="str">
        <f>IF(Calc!$K$40=0,"",IF($Q23=0,"",VLOOKUP(Calc!B18,Calc!$C$4:$N$39,5,0)))</f>
        <v/>
      </c>
      <c r="V23" s="357" t="str">
        <f>Language!$E$90</f>
        <v xml:space="preserve"> - </v>
      </c>
      <c r="W23" s="358" t="str">
        <f>IF(Calc!$K$40=0,"",IF($Q23=0,"",VLOOKUP(Calc!B18,Calc!$C$4:$N$39,6,0)))</f>
        <v/>
      </c>
      <c r="X23" s="359" t="str">
        <f>IF(Calc!$K$40=0,"",IF($Q23=0,"",VLOOKUP(Calc!B18,Calc!$C$4:$N$39,7,0)))</f>
        <v/>
      </c>
      <c r="Y23" s="360" t="str">
        <f>IF(Calc!$K$40=0,"",IF($Q23=0,"",VLOOKUP(Calc!B18,Calc!$C$4:$P$39,13,0)))</f>
        <v/>
      </c>
      <c r="Z23" s="360" t="str">
        <f>IF(Calc!$K$40=0,"",IF($Q23=0,"",VLOOKUP(Calc!B18,Calc!$C$4:$P$39,14,0)))</f>
        <v/>
      </c>
      <c r="AA23" s="361" t="str">
        <f>IF(Calc!$K$40=0,"",IF($Q23=0,"",VLOOKUP(Calc!B18,Calc!$C$4:$N$39,8,0)))</f>
        <v/>
      </c>
      <c r="AB23" s="236" t="str">
        <f>IF(VLOOKUP(Calc!B18,Calc!$C$4:$Q$39,15,0)=0,"",VLOOKUP(Calc!B18,Calc!$C$4:$Q$39,15,0))</f>
        <v/>
      </c>
      <c r="AC23" s="227" t="str">
        <f>IF(IFERROR(VLOOKUP($P23,Planning!$D$7:$E$42,2,0),0)=0,IF(LEN(P23)&gt;Factors!$D$12,LEFT(P23,Factors!$D$12)&amp;".",P23),VLOOKUP($P23,Planning!$D$7:$E$42,2,0))</f>
        <v>FC Kope.</v>
      </c>
      <c r="AD23" s="187"/>
      <c r="AE23" s="162" t="str">
        <f t="shared" si="0"/>
        <v/>
      </c>
      <c r="AF23" s="163" t="str">
        <f t="shared" si="1"/>
        <v>FC Kopenhagen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5" t="str">
        <f>IFERROR(VLOOKUP($P23&amp;BM$8,Calc2!$J$4:$L$291,3,0),"")</f>
        <v/>
      </c>
      <c r="BN23" s="123" t="str">
        <f>IFERROR(VLOOKUP($P23&amp;BN$8,Calc2!$J$4:$L$291,3,0),"")</f>
        <v/>
      </c>
      <c r="BO23" s="320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>
        <f>IF(Planning!$T22="","",Planning!$T22)</f>
        <v>45918</v>
      </c>
      <c r="E24" s="122">
        <f>IF(Planning!$U22="","",Planning!$U22)</f>
        <v>0.875</v>
      </c>
      <c r="F24" s="130" t="str">
        <f>Planning!$Q22</f>
        <v>Eintracht Frankfurt</v>
      </c>
      <c r="G24" s="131" t="s">
        <v>4</v>
      </c>
      <c r="H24" s="130" t="str">
        <f>Planning!$S22</f>
        <v>Galatasaray SK</v>
      </c>
      <c r="I24" s="132"/>
      <c r="J24" s="410" t="str">
        <f>Language!$E$90</f>
        <v xml:space="preserve"> - </v>
      </c>
      <c r="K24" s="133"/>
      <c r="L24" s="233"/>
      <c r="M24" s="234"/>
      <c r="N24" s="328"/>
      <c r="O24" s="351" t="str">
        <f>IF(Calc!$K$40=0,"",IF(VLOOKUP(Calc!B19,Calc!$C$4:$E$39,3,0)=MAX(O$9:O23),VLOOKUP(Calc!B19,Calc!$C$4:$E$39,3,0),Calc!B19))</f>
        <v/>
      </c>
      <c r="P24" s="352" t="str">
        <f>IF(Calc!$K$40=0,Calc2!$C19,VLOOKUP(Calc!B19,Calc!$C$4:$N$39,4,0))</f>
        <v>Bayer 04 Leverkusen</v>
      </c>
      <c r="Q24" s="353" t="str">
        <f>IF(Calc!$K$40=0,"",VLOOKUP(Calc!B19,Calc!$C$4:$N$39,9,0))</f>
        <v/>
      </c>
      <c r="R24" s="354" t="str">
        <f>IF(Calc!$K$40=0,"",IF($Q24=0,"",VLOOKUP(Calc!B19,Calc!$C$4:$N$39,10,0)))</f>
        <v/>
      </c>
      <c r="S24" s="354" t="str">
        <f>IF(Calc!$K$40=0,"",IF($Q24=0,"",VLOOKUP(Calc!B19,Calc!$C$4:$N$39,11,0)))</f>
        <v/>
      </c>
      <c r="T24" s="355" t="str">
        <f>IF(Calc!$K$40=0,"",IF($Q24=0,"",VLOOKUP(Calc!B19,Calc!$C$4:$N$39,12,0)))</f>
        <v/>
      </c>
      <c r="U24" s="356" t="str">
        <f>IF(Calc!$K$40=0,"",IF($Q24=0,"",VLOOKUP(Calc!B19,Calc!$C$4:$N$39,5,0)))</f>
        <v/>
      </c>
      <c r="V24" s="357" t="str">
        <f>Language!$E$90</f>
        <v xml:space="preserve"> - </v>
      </c>
      <c r="W24" s="358" t="str">
        <f>IF(Calc!$K$40=0,"",IF($Q24=0,"",VLOOKUP(Calc!B19,Calc!$C$4:$N$39,6,0)))</f>
        <v/>
      </c>
      <c r="X24" s="359" t="str">
        <f>IF(Calc!$K$40=0,"",IF($Q24=0,"",VLOOKUP(Calc!B19,Calc!$C$4:$N$39,7,0)))</f>
        <v/>
      </c>
      <c r="Y24" s="360" t="str">
        <f>IF(Calc!$K$40=0,"",IF($Q24=0,"",VLOOKUP(Calc!B19,Calc!$C$4:$P$39,13,0)))</f>
        <v/>
      </c>
      <c r="Z24" s="360" t="str">
        <f>IF(Calc!$K$40=0,"",IF($Q24=0,"",VLOOKUP(Calc!B19,Calc!$C$4:$P$39,14,0)))</f>
        <v/>
      </c>
      <c r="AA24" s="361" t="str">
        <f>IF(Calc!$K$40=0,"",IF($Q24=0,"",VLOOKUP(Calc!B19,Calc!$C$4:$N$39,8,0)))</f>
        <v/>
      </c>
      <c r="AB24" s="236" t="str">
        <f>IF(VLOOKUP(Calc!B19,Calc!$C$4:$Q$39,15,0)=0,"",VLOOKUP(Calc!B19,Calc!$C$4:$Q$39,15,0))</f>
        <v/>
      </c>
      <c r="AC24" s="227" t="str">
        <f>IF(IFERROR(VLOOKUP($P24,Planning!$D$7:$E$42,2,0),0)=0,IF(LEN(P24)&gt;Factors!$D$12,LEFT(P24,Factors!$D$12)&amp;".",P24),VLOOKUP($P24,Planning!$D$7:$E$42,2,0))</f>
        <v>Bayer 0.</v>
      </c>
      <c r="AD24" s="187"/>
      <c r="AE24" s="162" t="str">
        <f t="shared" si="0"/>
        <v/>
      </c>
      <c r="AF24" s="163" t="str">
        <f t="shared" si="1"/>
        <v>Bayer 04 Leverkusen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5" t="str">
        <f>IFERROR(VLOOKUP($P24&amp;BM$8,Calc2!$J$4:$L$291,3,0),"")</f>
        <v/>
      </c>
      <c r="BN24" s="123" t="str">
        <f>IFERROR(VLOOKUP($P24&amp;BN$8,Calc2!$J$4:$L$291,3,0),"")</f>
        <v/>
      </c>
      <c r="BO24" s="320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>
        <f>IF(Planning!$T23="","",Planning!$T23)</f>
        <v>45918</v>
      </c>
      <c r="E25" s="122">
        <f>IF(Planning!$U23="","",Planning!$U23)</f>
        <v>0.875</v>
      </c>
      <c r="F25" s="130" t="str">
        <f>Planning!$Q23</f>
        <v>Sporting Lissabon</v>
      </c>
      <c r="G25" s="131" t="s">
        <v>4</v>
      </c>
      <c r="H25" s="130" t="str">
        <f>Planning!$S23</f>
        <v>Qairat Almaty</v>
      </c>
      <c r="I25" s="132"/>
      <c r="J25" s="410" t="str">
        <f>Language!$E$90</f>
        <v xml:space="preserve"> - </v>
      </c>
      <c r="K25" s="133"/>
      <c r="L25" s="233"/>
      <c r="M25" s="234"/>
      <c r="N25" s="328"/>
      <c r="O25" s="362" t="str">
        <f>IF(Calc!$K$40=0,"",IF(VLOOKUP(Calc!B20,Calc!$C$4:$E$39,3,0)=MAX(O$9:O24),VLOOKUP(Calc!B20,Calc!$C$4:$E$39,3,0),Calc!B20))</f>
        <v/>
      </c>
      <c r="P25" s="363" t="str">
        <f>IF(Calc!$K$40=0,Calc2!$C20,VLOOKUP(Calc!B20,Calc!$C$4:$N$39,4,0))</f>
        <v>Benfica Lissabon</v>
      </c>
      <c r="Q25" s="364" t="str">
        <f>IF(Calc!$K$40=0,"",VLOOKUP(Calc!B20,Calc!$C$4:$N$39,9,0))</f>
        <v/>
      </c>
      <c r="R25" s="365" t="str">
        <f>IF(Calc!$K$40=0,"",IF($Q25=0,"",VLOOKUP(Calc!B20,Calc!$C$4:$N$39,10,0)))</f>
        <v/>
      </c>
      <c r="S25" s="365" t="str">
        <f>IF(Calc!$K$40=0,"",IF($Q25=0,"",VLOOKUP(Calc!B20,Calc!$C$4:$N$39,11,0)))</f>
        <v/>
      </c>
      <c r="T25" s="366" t="str">
        <f>IF(Calc!$K$40=0,"",IF($Q25=0,"",VLOOKUP(Calc!B20,Calc!$C$4:$N$39,12,0)))</f>
        <v/>
      </c>
      <c r="U25" s="367" t="str">
        <f>IF(Calc!$K$40=0,"",IF($Q25=0,"",VLOOKUP(Calc!B20,Calc!$C$4:$N$39,5,0)))</f>
        <v/>
      </c>
      <c r="V25" s="368" t="str">
        <f>Language!$E$90</f>
        <v xml:space="preserve"> - </v>
      </c>
      <c r="W25" s="369" t="str">
        <f>IF(Calc!$K$40=0,"",IF($Q25=0,"",VLOOKUP(Calc!B20,Calc!$C$4:$N$39,6,0)))</f>
        <v/>
      </c>
      <c r="X25" s="370" t="str">
        <f>IF(Calc!$K$40=0,"",IF($Q25=0,"",VLOOKUP(Calc!B20,Calc!$C$4:$N$39,7,0)))</f>
        <v/>
      </c>
      <c r="Y25" s="371" t="str">
        <f>IF(Calc!$K$40=0,"",IF($Q25=0,"",VLOOKUP(Calc!B20,Calc!$C$4:$P$39,13,0)))</f>
        <v/>
      </c>
      <c r="Z25" s="371" t="str">
        <f>IF(Calc!$K$40=0,"",IF($Q25=0,"",VLOOKUP(Calc!B20,Calc!$C$4:$P$39,14,0)))</f>
        <v/>
      </c>
      <c r="AA25" s="372" t="str">
        <f>IF(Calc!$K$40=0,"",IF($Q25=0,"",VLOOKUP(Calc!B20,Calc!$C$4:$N$39,8,0)))</f>
        <v/>
      </c>
      <c r="AB25" s="236" t="str">
        <f>IF(VLOOKUP(Calc!B20,Calc!$C$4:$Q$39,15,0)=0,"",VLOOKUP(Calc!B20,Calc!$C$4:$Q$39,15,0))</f>
        <v/>
      </c>
      <c r="AC25" s="227" t="str">
        <f>IF(IFERROR(VLOOKUP($P25,Planning!$D$7:$E$42,2,0),0)=0,IF(LEN(P25)&gt;Factors!$D$12,LEFT(P25,Factors!$D$12)&amp;".",P25),VLOOKUP($P25,Planning!$D$7:$E$42,2,0))</f>
        <v>Benfica.</v>
      </c>
      <c r="AD25" s="187"/>
      <c r="AE25" s="162" t="str">
        <f t="shared" si="0"/>
        <v/>
      </c>
      <c r="AF25" s="163" t="str">
        <f t="shared" si="1"/>
        <v>Benfica Lissabon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5" t="str">
        <f>IFERROR(VLOOKUP($P25&amp;BM$8,Calc2!$J$4:$L$291,3,0),"")</f>
        <v/>
      </c>
      <c r="BN25" s="123" t="str">
        <f>IFERROR(VLOOKUP($P25&amp;BN$8,Calc2!$J$4:$L$291,3,0),"")</f>
        <v/>
      </c>
      <c r="BO25" s="320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1">
        <v>18</v>
      </c>
      <c r="D26" s="262">
        <f>IF(Planning!$T24="","",Planning!$T24)</f>
        <v>45918</v>
      </c>
      <c r="E26" s="263">
        <f>IF(Planning!$U24="","",Planning!$U24)</f>
        <v>0.875</v>
      </c>
      <c r="F26" s="264" t="str">
        <f>Planning!$Q24</f>
        <v>Newcastle United</v>
      </c>
      <c r="G26" s="265" t="s">
        <v>4</v>
      </c>
      <c r="H26" s="264" t="str">
        <f>Planning!$S24</f>
        <v>FC Barcelona</v>
      </c>
      <c r="I26" s="266"/>
      <c r="J26" s="411" t="str">
        <f>Language!$E$90</f>
        <v xml:space="preserve"> - </v>
      </c>
      <c r="K26" s="267"/>
      <c r="L26" s="268"/>
      <c r="M26" s="269"/>
      <c r="N26" s="328"/>
      <c r="O26" s="362" t="str">
        <f>IF(Calc!$K$40=0,"",IF(VLOOKUP(Calc!B21,Calc!$C$4:$E$39,3,0)=MAX(O$9:O25),VLOOKUP(Calc!B21,Calc!$C$4:$E$39,3,0),Calc!B21))</f>
        <v/>
      </c>
      <c r="P26" s="363" t="str">
        <f>IF(Calc!$K$40=0,Calc2!$C21,VLOOKUP(Calc!B21,Calc!$C$4:$N$39,4,0))</f>
        <v>Sporting Lissabon</v>
      </c>
      <c r="Q26" s="364" t="str">
        <f>IF(Calc!$K$40=0,"",VLOOKUP(Calc!B21,Calc!$C$4:$N$39,9,0))</f>
        <v/>
      </c>
      <c r="R26" s="365" t="str">
        <f>IF(Calc!$K$40=0,"",IF($Q26=0,"",VLOOKUP(Calc!B21,Calc!$C$4:$N$39,10,0)))</f>
        <v/>
      </c>
      <c r="S26" s="365" t="str">
        <f>IF(Calc!$K$40=0,"",IF($Q26=0,"",VLOOKUP(Calc!B21,Calc!$C$4:$N$39,11,0)))</f>
        <v/>
      </c>
      <c r="T26" s="366" t="str">
        <f>IF(Calc!$K$40=0,"",IF($Q26=0,"",VLOOKUP(Calc!B21,Calc!$C$4:$N$39,12,0)))</f>
        <v/>
      </c>
      <c r="U26" s="367" t="str">
        <f>IF(Calc!$K$40=0,"",IF($Q26=0,"",VLOOKUP(Calc!B21,Calc!$C$4:$N$39,5,0)))</f>
        <v/>
      </c>
      <c r="V26" s="368" t="str">
        <f>Language!$E$90</f>
        <v xml:space="preserve"> - </v>
      </c>
      <c r="W26" s="369" t="str">
        <f>IF(Calc!$K$40=0,"",IF($Q26=0,"",VLOOKUP(Calc!B21,Calc!$C$4:$N$39,6,0)))</f>
        <v/>
      </c>
      <c r="X26" s="370" t="str">
        <f>IF(Calc!$K$40=0,"",IF($Q26=0,"",VLOOKUP(Calc!B21,Calc!$C$4:$N$39,7,0)))</f>
        <v/>
      </c>
      <c r="Y26" s="371" t="str">
        <f>IF(Calc!$K$40=0,"",IF($Q26=0,"",VLOOKUP(Calc!B21,Calc!$C$4:$P$39,13,0)))</f>
        <v/>
      </c>
      <c r="Z26" s="371" t="str">
        <f>IF(Calc!$K$40=0,"",IF($Q26=0,"",VLOOKUP(Calc!B21,Calc!$C$4:$P$39,14,0)))</f>
        <v/>
      </c>
      <c r="AA26" s="372" t="str">
        <f>IF(Calc!$K$40=0,"",IF($Q26=0,"",VLOOKUP(Calc!B21,Calc!$C$4:$N$39,8,0)))</f>
        <v/>
      </c>
      <c r="AB26" s="236" t="str">
        <f>IF(VLOOKUP(Calc!B21,Calc!$C$4:$Q$39,15,0)=0,"",VLOOKUP(Calc!B21,Calc!$C$4:$Q$39,15,0))</f>
        <v/>
      </c>
      <c r="AC26" s="227" t="str">
        <f>IF(IFERROR(VLOOKUP($P26,Planning!$D$7:$E$42,2,0),0)=0,IF(LEN(P26)&gt;Factors!$D$12,LEFT(P26,Factors!$D$12)&amp;".",P26),VLOOKUP($P26,Planning!$D$7:$E$42,2,0))</f>
        <v>Sportin.</v>
      </c>
      <c r="AD26" s="187"/>
      <c r="AE26" s="162" t="str">
        <f t="shared" si="0"/>
        <v/>
      </c>
      <c r="AF26" s="163" t="str">
        <f t="shared" si="1"/>
        <v>Sporting Lissabon</v>
      </c>
      <c r="AG26" s="124" t="str">
        <f>IFERROR(VLOOKUP($P26&amp;AG$8,Calc2!$J$4:$L$291,3,0),"")</f>
        <v/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5" t="str">
        <f>IFERROR(VLOOKUP($P26&amp;BM$8,Calc2!$J$4:$L$291,3,0),"")</f>
        <v/>
      </c>
      <c r="BN26" s="123" t="str">
        <f>IFERROR(VLOOKUP($P26&amp;BN$8,Calc2!$J$4:$L$291,3,0),"")</f>
        <v/>
      </c>
      <c r="BO26" s="320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5">
        <v>2</v>
      </c>
      <c r="C27" s="296">
        <v>19</v>
      </c>
      <c r="D27" s="297">
        <f>IF(Planning!$T25="","",Planning!$T25)</f>
        <v>45930</v>
      </c>
      <c r="E27" s="298">
        <f>IF(Planning!$U25="","",Planning!$U25)</f>
        <v>0.78125</v>
      </c>
      <c r="F27" s="299" t="str">
        <f>Planning!$Q25</f>
        <v>Atalanta Bergamo</v>
      </c>
      <c r="G27" s="300" t="s">
        <v>4</v>
      </c>
      <c r="H27" s="299" t="str">
        <f>Planning!$S25</f>
        <v>Club Brügge</v>
      </c>
      <c r="I27" s="301"/>
      <c r="J27" s="412" t="s">
        <v>63</v>
      </c>
      <c r="K27" s="302"/>
      <c r="L27" s="303"/>
      <c r="M27" s="304"/>
      <c r="N27" s="328"/>
      <c r="O27" s="362" t="str">
        <f>IF(Calc!$K$40=0,"",IF(VLOOKUP(Calc!B22,Calc!$C$4:$E$39,3,0)=MAX(O$9:O26),VLOOKUP(Calc!B22,Calc!$C$4:$E$39,3,0),Calc!B22))</f>
        <v/>
      </c>
      <c r="P27" s="363" t="str">
        <f>IF(Calc!$K$40=0,Calc2!$C22,VLOOKUP(Calc!B22,Calc!$C$4:$N$39,4,0))</f>
        <v>FC Liverpool</v>
      </c>
      <c r="Q27" s="364" t="str">
        <f>IF(Calc!$K$40=0,"",VLOOKUP(Calc!B22,Calc!$C$4:$N$39,9,0))</f>
        <v/>
      </c>
      <c r="R27" s="365" t="str">
        <f>IF(Calc!$K$40=0,"",IF($Q27=0,"",VLOOKUP(Calc!B22,Calc!$C$4:$N$39,10,0)))</f>
        <v/>
      </c>
      <c r="S27" s="365" t="str">
        <f>IF(Calc!$K$40=0,"",IF($Q27=0,"",VLOOKUP(Calc!B22,Calc!$C$4:$N$39,11,0)))</f>
        <v/>
      </c>
      <c r="T27" s="366" t="str">
        <f>IF(Calc!$K$40=0,"",IF($Q27=0,"",VLOOKUP(Calc!B22,Calc!$C$4:$N$39,12,0)))</f>
        <v/>
      </c>
      <c r="U27" s="367" t="str">
        <f>IF(Calc!$K$40=0,"",IF($Q27=0,"",VLOOKUP(Calc!B22,Calc!$C$4:$N$39,5,0)))</f>
        <v/>
      </c>
      <c r="V27" s="368" t="str">
        <f>Language!$E$90</f>
        <v xml:space="preserve"> - </v>
      </c>
      <c r="W27" s="369" t="str">
        <f>IF(Calc!$K$40=0,"",IF($Q27=0,"",VLOOKUP(Calc!B22,Calc!$C$4:$N$39,6,0)))</f>
        <v/>
      </c>
      <c r="X27" s="370" t="str">
        <f>IF(Calc!$K$40=0,"",IF($Q27=0,"",VLOOKUP(Calc!B22,Calc!$C$4:$N$39,7,0)))</f>
        <v/>
      </c>
      <c r="Y27" s="371" t="str">
        <f>IF(Calc!$K$40=0,"",IF($Q27=0,"",VLOOKUP(Calc!B22,Calc!$C$4:$P$39,13,0)))</f>
        <v/>
      </c>
      <c r="Z27" s="371" t="str">
        <f>IF(Calc!$K$40=0,"",IF($Q27=0,"",VLOOKUP(Calc!B22,Calc!$C$4:$P$39,14,0)))</f>
        <v/>
      </c>
      <c r="AA27" s="372" t="str">
        <f>IF(Calc!$K$40=0,"",IF($Q27=0,"",VLOOKUP(Calc!B22,Calc!$C$4:$N$39,8,0)))</f>
        <v/>
      </c>
      <c r="AB27" s="236" t="str">
        <f>IF(VLOOKUP(Calc!B22,Calc!$C$4:$Q$39,15,0)=0,"",VLOOKUP(Calc!B22,Calc!$C$4:$Q$39,15,0))</f>
        <v/>
      </c>
      <c r="AC27" s="227" t="str">
        <f>IF(IFERROR(VLOOKUP($P27,Planning!$D$7:$E$42,2,0),0)=0,IF(LEN(P27)&gt;Factors!$D$12,LEFT(P27,Factors!$D$12)&amp;".",P27),VLOOKUP($P27,Planning!$D$7:$E$42,2,0))</f>
        <v>FC Live.</v>
      </c>
      <c r="AD27" s="187"/>
      <c r="AE27" s="162" t="str">
        <f t="shared" si="0"/>
        <v/>
      </c>
      <c r="AF27" s="163" t="str">
        <f t="shared" si="1"/>
        <v>FC Liverpool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5" t="str">
        <f>IFERROR(VLOOKUP($P27&amp;BM$8,Calc2!$J$4:$L$291,3,0),"")</f>
        <v/>
      </c>
      <c r="BN27" s="123" t="str">
        <f>IFERROR(VLOOKUP($P27&amp;BN$8,Calc2!$J$4:$L$291,3,0),"")</f>
        <v/>
      </c>
      <c r="BO27" s="320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>
        <f>IF(Planning!$T26="","",Planning!$T26)</f>
        <v>45930</v>
      </c>
      <c r="E28" s="122">
        <f>IF(Planning!$U26="","",Planning!$U26)</f>
        <v>0.78125</v>
      </c>
      <c r="F28" s="130" t="str">
        <f>Planning!$Q26</f>
        <v>Qairat Almaty</v>
      </c>
      <c r="G28" s="131" t="s">
        <v>4</v>
      </c>
      <c r="H28" s="130" t="str">
        <f>Planning!$S26</f>
        <v>Real Madrid</v>
      </c>
      <c r="I28" s="132"/>
      <c r="J28" s="410" t="s">
        <v>63</v>
      </c>
      <c r="K28" s="133"/>
      <c r="L28" s="233"/>
      <c r="M28" s="234"/>
      <c r="N28" s="328"/>
      <c r="O28" s="362" t="str">
        <f>IF(Calc!$K$40=0,"",IF(VLOOKUP(Calc!B23,Calc!$C$4:$E$39,3,0)=MAX(O$9:O27),VLOOKUP(Calc!B23,Calc!$C$4:$E$39,3,0),Calc!B23))</f>
        <v/>
      </c>
      <c r="P28" s="363" t="str">
        <f>IF(Calc!$K$40=0,Calc2!$C23,VLOOKUP(Calc!B23,Calc!$C$4:$N$39,4,0))</f>
        <v>Atletico Madrid</v>
      </c>
      <c r="Q28" s="364" t="str">
        <f>IF(Calc!$K$40=0,"",VLOOKUP(Calc!B23,Calc!$C$4:$N$39,9,0))</f>
        <v/>
      </c>
      <c r="R28" s="365" t="str">
        <f>IF(Calc!$K$40=0,"",IF($Q28=0,"",VLOOKUP(Calc!B23,Calc!$C$4:$N$39,10,0)))</f>
        <v/>
      </c>
      <c r="S28" s="365" t="str">
        <f>IF(Calc!$K$40=0,"",IF($Q28=0,"",VLOOKUP(Calc!B23,Calc!$C$4:$N$39,11,0)))</f>
        <v/>
      </c>
      <c r="T28" s="366" t="str">
        <f>IF(Calc!$K$40=0,"",IF($Q28=0,"",VLOOKUP(Calc!B23,Calc!$C$4:$N$39,12,0)))</f>
        <v/>
      </c>
      <c r="U28" s="367" t="str">
        <f>IF(Calc!$K$40=0,"",IF($Q28=0,"",VLOOKUP(Calc!B23,Calc!$C$4:$N$39,5,0)))</f>
        <v/>
      </c>
      <c r="V28" s="368" t="str">
        <f>Language!$E$90</f>
        <v xml:space="preserve"> - </v>
      </c>
      <c r="W28" s="369" t="str">
        <f>IF(Calc!$K$40=0,"",IF($Q28=0,"",VLOOKUP(Calc!B23,Calc!$C$4:$N$39,6,0)))</f>
        <v/>
      </c>
      <c r="X28" s="370" t="str">
        <f>IF(Calc!$K$40=0,"",IF($Q28=0,"",VLOOKUP(Calc!B23,Calc!$C$4:$N$39,7,0)))</f>
        <v/>
      </c>
      <c r="Y28" s="371" t="str">
        <f>IF(Calc!$K$40=0,"",IF($Q28=0,"",VLOOKUP(Calc!B23,Calc!$C$4:$P$39,13,0)))</f>
        <v/>
      </c>
      <c r="Z28" s="371" t="str">
        <f>IF(Calc!$K$40=0,"",IF($Q28=0,"",VLOOKUP(Calc!B23,Calc!$C$4:$P$39,14,0)))</f>
        <v/>
      </c>
      <c r="AA28" s="372" t="str">
        <f>IF(Calc!$K$40=0,"",IF($Q28=0,"",VLOOKUP(Calc!B23,Calc!$C$4:$N$39,8,0)))</f>
        <v/>
      </c>
      <c r="AB28" s="236" t="str">
        <f>IF(VLOOKUP(Calc!B23,Calc!$C$4:$Q$39,15,0)=0,"",VLOOKUP(Calc!B23,Calc!$C$4:$Q$39,15,0))</f>
        <v/>
      </c>
      <c r="AC28" s="227" t="str">
        <f>IF(IFERROR(VLOOKUP($P28,Planning!$D$7:$E$42,2,0),0)=0,IF(LEN(P28)&gt;Factors!$D$12,LEFT(P28,Factors!$D$12)&amp;".",P28),VLOOKUP($P28,Planning!$D$7:$E$42,2,0))</f>
        <v>Atletic.</v>
      </c>
      <c r="AD28" s="187"/>
      <c r="AE28" s="162" t="str">
        <f t="shared" ref="AE28:AE40" si="2">O28</f>
        <v/>
      </c>
      <c r="AF28" s="163" t="str">
        <f t="shared" ref="AF28:AF40" si="3">P28</f>
        <v>Atletico Madrid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5" t="str">
        <f>IFERROR(VLOOKUP($P28&amp;BM$8,Calc2!$J$4:$L$291,3,0),"")</f>
        <v/>
      </c>
      <c r="BN28" s="123" t="str">
        <f>IFERROR(VLOOKUP($P28&amp;BN$8,Calc2!$J$4:$L$291,3,0),"")</f>
        <v/>
      </c>
      <c r="BO28" s="320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>
        <f>IF(Planning!$T27="","",Planning!$T27)</f>
        <v>45930</v>
      </c>
      <c r="E29" s="122">
        <f>IF(Planning!$U27="","",Planning!$U27)</f>
        <v>0.875</v>
      </c>
      <c r="F29" s="130" t="str">
        <f>Planning!$Q27</f>
        <v>Inter Mailand</v>
      </c>
      <c r="G29" s="131" t="s">
        <v>4</v>
      </c>
      <c r="H29" s="130" t="str">
        <f>Planning!$S27</f>
        <v>Salva Prag</v>
      </c>
      <c r="I29" s="132"/>
      <c r="J29" s="410" t="s">
        <v>63</v>
      </c>
      <c r="K29" s="133"/>
      <c r="L29" s="233"/>
      <c r="M29" s="234"/>
      <c r="N29" s="328"/>
      <c r="O29" s="362" t="str">
        <f>IF(Calc!$K$40=0,"",IF(VLOOKUP(Calc!B24,Calc!$C$4:$E$39,3,0)=MAX(O$9:O28),VLOOKUP(Calc!B24,Calc!$C$4:$E$39,3,0),Calc!B24))</f>
        <v/>
      </c>
      <c r="P29" s="363" t="str">
        <f>IF(Calc!$K$40=0,Calc2!$C24,VLOOKUP(Calc!B24,Calc!$C$4:$N$39,4,0))</f>
        <v>Real Madrid</v>
      </c>
      <c r="Q29" s="364" t="str">
        <f>IF(Calc!$K$40=0,"",VLOOKUP(Calc!B24,Calc!$C$4:$N$39,9,0))</f>
        <v/>
      </c>
      <c r="R29" s="365" t="str">
        <f>IF(Calc!$K$40=0,"",IF($Q29=0,"",VLOOKUP(Calc!B24,Calc!$C$4:$N$39,10,0)))</f>
        <v/>
      </c>
      <c r="S29" s="365" t="str">
        <f>IF(Calc!$K$40=0,"",IF($Q29=0,"",VLOOKUP(Calc!B24,Calc!$C$4:$N$39,11,0)))</f>
        <v/>
      </c>
      <c r="T29" s="366" t="str">
        <f>IF(Calc!$K$40=0,"",IF($Q29=0,"",VLOOKUP(Calc!B24,Calc!$C$4:$N$39,12,0)))</f>
        <v/>
      </c>
      <c r="U29" s="367" t="str">
        <f>IF(Calc!$K$40=0,"",IF($Q29=0,"",VLOOKUP(Calc!B24,Calc!$C$4:$N$39,5,0)))</f>
        <v/>
      </c>
      <c r="V29" s="368" t="str">
        <f>Language!$E$90</f>
        <v xml:space="preserve"> - </v>
      </c>
      <c r="W29" s="369" t="str">
        <f>IF(Calc!$K$40=0,"",IF($Q29=0,"",VLOOKUP(Calc!B24,Calc!$C$4:$N$39,6,0)))</f>
        <v/>
      </c>
      <c r="X29" s="370" t="str">
        <f>IF(Calc!$K$40=0,"",IF($Q29=0,"",VLOOKUP(Calc!B24,Calc!$C$4:$N$39,7,0)))</f>
        <v/>
      </c>
      <c r="Y29" s="371" t="str">
        <f>IF(Calc!$K$40=0,"",IF($Q29=0,"",VLOOKUP(Calc!B24,Calc!$C$4:$P$39,13,0)))</f>
        <v/>
      </c>
      <c r="Z29" s="371" t="str">
        <f>IF(Calc!$K$40=0,"",IF($Q29=0,"",VLOOKUP(Calc!B24,Calc!$C$4:$P$39,14,0)))</f>
        <v/>
      </c>
      <c r="AA29" s="372" t="str">
        <f>IF(Calc!$K$40=0,"",IF($Q29=0,"",VLOOKUP(Calc!B24,Calc!$C$4:$N$39,8,0)))</f>
        <v/>
      </c>
      <c r="AB29" s="236" t="str">
        <f>IF(VLOOKUP(Calc!B24,Calc!$C$4:$Q$39,15,0)=0,"",VLOOKUP(Calc!B24,Calc!$C$4:$Q$39,15,0))</f>
        <v/>
      </c>
      <c r="AC29" s="227" t="str">
        <f>IF(IFERROR(VLOOKUP($P29,Planning!$D$7:$E$42,2,0),0)=0,IF(LEN(P29)&gt;Factors!$D$12,LEFT(P29,Factors!$D$12)&amp;".",P29),VLOOKUP($P29,Planning!$D$7:$E$42,2,0))</f>
        <v>Real Ma.</v>
      </c>
      <c r="AD29" s="113"/>
      <c r="AE29" s="162" t="str">
        <f t="shared" si="2"/>
        <v/>
      </c>
      <c r="AF29" s="163" t="str">
        <f t="shared" si="3"/>
        <v>Real Madrid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5" t="str">
        <f>IFERROR(VLOOKUP($P29&amp;BM$8,Calc2!$J$4:$L$291,3,0),"")</f>
        <v/>
      </c>
      <c r="BN29" s="123" t="str">
        <f>IFERROR(VLOOKUP($P29&amp;BN$8,Calc2!$J$4:$L$291,3,0),"")</f>
        <v/>
      </c>
      <c r="BO29" s="320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5" customHeight="1" x14ac:dyDescent="0.25">
      <c r="B30" s="199"/>
      <c r="C30" s="197">
        <v>22</v>
      </c>
      <c r="D30" s="121">
        <f>IF(Planning!$T28="","",Planning!$T28)</f>
        <v>45930</v>
      </c>
      <c r="E30" s="122">
        <f>IF(Planning!$U28="","",Planning!$U28)</f>
        <v>0.875</v>
      </c>
      <c r="F30" s="130" t="str">
        <f>Planning!$Q28</f>
        <v>FC Chelsea</v>
      </c>
      <c r="G30" s="131" t="s">
        <v>4</v>
      </c>
      <c r="H30" s="130" t="str">
        <f>Planning!$S28</f>
        <v>Benfica Lissabon</v>
      </c>
      <c r="I30" s="132"/>
      <c r="J30" s="410" t="s">
        <v>63</v>
      </c>
      <c r="K30" s="133"/>
      <c r="L30" s="233"/>
      <c r="M30" s="234"/>
      <c r="N30" s="328"/>
      <c r="O30" s="362" t="str">
        <f>IF(Calc!$K$40=0,"",IF(VLOOKUP(Calc!B25,Calc!$C$4:$E$39,3,0)=MAX(O$9:O29),VLOOKUP(Calc!B25,Calc!$C$4:$E$39,3,0),Calc!B25))</f>
        <v/>
      </c>
      <c r="P30" s="363" t="str">
        <f>IF(Calc!$K$40=0,Calc2!$C25,VLOOKUP(Calc!B25,Calc!$C$4:$N$39,4,0))</f>
        <v>Inter Mailand</v>
      </c>
      <c r="Q30" s="364" t="str">
        <f>IF(Calc!$K$40=0,"",VLOOKUP(Calc!B25,Calc!$C$4:$N$39,9,0))</f>
        <v/>
      </c>
      <c r="R30" s="365" t="str">
        <f>IF(Calc!$K$40=0,"",IF($Q30=0,"",VLOOKUP(Calc!B25,Calc!$C$4:$N$39,10,0)))</f>
        <v/>
      </c>
      <c r="S30" s="365" t="str">
        <f>IF(Calc!$K$40=0,"",IF($Q30=0,"",VLOOKUP(Calc!B25,Calc!$C$4:$N$39,11,0)))</f>
        <v/>
      </c>
      <c r="T30" s="366" t="str">
        <f>IF(Calc!$K$40=0,"",IF($Q30=0,"",VLOOKUP(Calc!B25,Calc!$C$4:$N$39,12,0)))</f>
        <v/>
      </c>
      <c r="U30" s="367" t="str">
        <f>IF(Calc!$K$40=0,"",IF($Q30=0,"",VLOOKUP(Calc!B25,Calc!$C$4:$N$39,5,0)))</f>
        <v/>
      </c>
      <c r="V30" s="368" t="str">
        <f>Language!$E$90</f>
        <v xml:space="preserve"> - </v>
      </c>
      <c r="W30" s="369" t="str">
        <f>IF(Calc!$K$40=0,"",IF($Q30=0,"",VLOOKUP(Calc!B25,Calc!$C$4:$N$39,6,0)))</f>
        <v/>
      </c>
      <c r="X30" s="370" t="str">
        <f>IF(Calc!$K$40=0,"",IF($Q30=0,"",VLOOKUP(Calc!B25,Calc!$C$4:$N$39,7,0)))</f>
        <v/>
      </c>
      <c r="Y30" s="371" t="str">
        <f>IF(Calc!$K$40=0,"",IF($Q30=0,"",VLOOKUP(Calc!B25,Calc!$C$4:$P$39,13,0)))</f>
        <v/>
      </c>
      <c r="Z30" s="371" t="str">
        <f>IF(Calc!$K$40=0,"",IF($Q30=0,"",VLOOKUP(Calc!B25,Calc!$C$4:$P$39,14,0)))</f>
        <v/>
      </c>
      <c r="AA30" s="372" t="str">
        <f>IF(Calc!$K$40=0,"",IF($Q30=0,"",VLOOKUP(Calc!B25,Calc!$C$4:$N$39,8,0)))</f>
        <v/>
      </c>
      <c r="AB30" s="236" t="str">
        <f>IF(VLOOKUP(Calc!B25,Calc!$C$4:$Q$39,15,0)=0,"",VLOOKUP(Calc!B25,Calc!$C$4:$Q$39,15,0))</f>
        <v/>
      </c>
      <c r="AC30" s="227" t="str">
        <f>IF(IFERROR(VLOOKUP($P30,Planning!$D$7:$E$42,2,0),0)=0,IF(LEN(P30)&gt;Factors!$D$12,LEFT(P30,Factors!$D$12)&amp;".",P30),VLOOKUP($P30,Planning!$D$7:$E$42,2,0))</f>
        <v>Inter M.</v>
      </c>
      <c r="AD30" s="113"/>
      <c r="AE30" s="162" t="str">
        <f t="shared" si="2"/>
        <v/>
      </c>
      <c r="AF30" s="163" t="str">
        <f t="shared" si="3"/>
        <v>Inter Mailand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5" t="str">
        <f>IFERROR(VLOOKUP($P30&amp;BM$8,Calc2!$J$4:$L$291,3,0),"")</f>
        <v/>
      </c>
      <c r="BN30" s="123" t="str">
        <f>IFERROR(VLOOKUP($P30&amp;BN$8,Calc2!$J$4:$L$291,3,0),"")</f>
        <v/>
      </c>
      <c r="BO30" s="320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>
        <f>IF(Planning!$T29="","",Planning!$T29)</f>
        <v>45930</v>
      </c>
      <c r="E31" s="122">
        <f>IF(Planning!$U29="","",Planning!$U29)</f>
        <v>0.875</v>
      </c>
      <c r="F31" s="130" t="str">
        <f>Planning!$Q29</f>
        <v>Atletico Madrid</v>
      </c>
      <c r="G31" s="131" t="s">
        <v>4</v>
      </c>
      <c r="H31" s="130" t="str">
        <f>Planning!$S29</f>
        <v>Eintracht Frankfurt</v>
      </c>
      <c r="I31" s="132"/>
      <c r="J31" s="410" t="s">
        <v>63</v>
      </c>
      <c r="K31" s="133"/>
      <c r="L31" s="233"/>
      <c r="M31" s="234"/>
      <c r="N31" s="328"/>
      <c r="O31" s="362" t="str">
        <f>IF(Calc!$K$40=0,"",IF(VLOOKUP(Calc!B26,Calc!$C$4:$E$39,3,0)=MAX(O$9:O30),VLOOKUP(Calc!B26,Calc!$C$4:$E$39,3,0),Calc!B26))</f>
        <v/>
      </c>
      <c r="P31" s="363" t="str">
        <f>IF(Calc!$K$40=0,Calc2!$C26,VLOOKUP(Calc!B26,Calc!$C$4:$N$39,4,0))</f>
        <v>Manchester City</v>
      </c>
      <c r="Q31" s="364" t="str">
        <f>IF(Calc!$K$40=0,"",VLOOKUP(Calc!B26,Calc!$C$4:$N$39,9,0))</f>
        <v/>
      </c>
      <c r="R31" s="365" t="str">
        <f>IF(Calc!$K$40=0,"",IF($Q31=0,"",VLOOKUP(Calc!B26,Calc!$C$4:$N$39,10,0)))</f>
        <v/>
      </c>
      <c r="S31" s="365" t="str">
        <f>IF(Calc!$K$40=0,"",IF($Q31=0,"",VLOOKUP(Calc!B26,Calc!$C$4:$N$39,11,0)))</f>
        <v/>
      </c>
      <c r="T31" s="366" t="str">
        <f>IF(Calc!$K$40=0,"",IF($Q31=0,"",VLOOKUP(Calc!B26,Calc!$C$4:$N$39,12,0)))</f>
        <v/>
      </c>
      <c r="U31" s="367" t="str">
        <f>IF(Calc!$K$40=0,"",IF($Q31=0,"",VLOOKUP(Calc!B26,Calc!$C$4:$N$39,5,0)))</f>
        <v/>
      </c>
      <c r="V31" s="368" t="str">
        <f>Language!$E$90</f>
        <v xml:space="preserve"> - </v>
      </c>
      <c r="W31" s="369" t="str">
        <f>IF(Calc!$K$40=0,"",IF($Q31=0,"",VLOOKUP(Calc!B26,Calc!$C$4:$N$39,6,0)))</f>
        <v/>
      </c>
      <c r="X31" s="370" t="str">
        <f>IF(Calc!$K$40=0,"",IF($Q31=0,"",VLOOKUP(Calc!B26,Calc!$C$4:$N$39,7,0)))</f>
        <v/>
      </c>
      <c r="Y31" s="371" t="str">
        <f>IF(Calc!$K$40=0,"",IF($Q31=0,"",VLOOKUP(Calc!B26,Calc!$C$4:$P$39,13,0)))</f>
        <v/>
      </c>
      <c r="Z31" s="371" t="str">
        <f>IF(Calc!$K$40=0,"",IF($Q31=0,"",VLOOKUP(Calc!B26,Calc!$C$4:$P$39,14,0)))</f>
        <v/>
      </c>
      <c r="AA31" s="372" t="str">
        <f>IF(Calc!$K$40=0,"",IF($Q31=0,"",VLOOKUP(Calc!B26,Calc!$C$4:$N$39,8,0)))</f>
        <v/>
      </c>
      <c r="AB31" s="236" t="str">
        <f>IF(VLOOKUP(Calc!B26,Calc!$C$4:$Q$39,15,0)=0,"",VLOOKUP(Calc!B26,Calc!$C$4:$Q$39,15,0))</f>
        <v/>
      </c>
      <c r="AC31" s="227" t="str">
        <f>IF(IFERROR(VLOOKUP($P31,Planning!$D$7:$E$42,2,0),0)=0,IF(LEN(P31)&gt;Factors!$D$12,LEFT(P31,Factors!$D$12)&amp;".",P31),VLOOKUP($P31,Planning!$D$7:$E$42,2,0))</f>
        <v>Manches.</v>
      </c>
      <c r="AD31" s="114"/>
      <c r="AE31" s="162" t="str">
        <f t="shared" si="2"/>
        <v/>
      </c>
      <c r="AF31" s="163" t="str">
        <f t="shared" si="3"/>
        <v>Manchester City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/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5" t="str">
        <f>IFERROR(VLOOKUP($P31&amp;BM$8,Calc2!$J$4:$L$291,3,0),"")</f>
        <v/>
      </c>
      <c r="BN31" s="123" t="str">
        <f>IFERROR(VLOOKUP($P31&amp;BN$8,Calc2!$J$4:$L$291,3,0),"")</f>
        <v/>
      </c>
      <c r="BO31" s="320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>
        <f>IF(Planning!$T30="","",Planning!$T30)</f>
        <v>45930</v>
      </c>
      <c r="E32" s="122">
        <f>IF(Planning!$U30="","",Planning!$U30)</f>
        <v>0.875</v>
      </c>
      <c r="F32" s="130" t="str">
        <f>Planning!$Q30</f>
        <v>FK Bodö/Glimt</v>
      </c>
      <c r="G32" s="131" t="s">
        <v>4</v>
      </c>
      <c r="H32" s="130" t="str">
        <f>Planning!$S30</f>
        <v>Tottenham Hotspur</v>
      </c>
      <c r="I32" s="132"/>
      <c r="J32" s="410" t="s">
        <v>63</v>
      </c>
      <c r="K32" s="133"/>
      <c r="L32" s="233"/>
      <c r="M32" s="234"/>
      <c r="N32" s="328"/>
      <c r="O32" s="362" t="str">
        <f>IF(Calc!$K$40=0,"",IF(VLOOKUP(Calc!B27,Calc!$C$4:$E$39,3,0)=MAX(O$9:O31),VLOOKUP(Calc!B27,Calc!$C$4:$E$39,3,0),Calc!B27))</f>
        <v/>
      </c>
      <c r="P32" s="363" t="str">
        <f>IF(Calc!$K$40=0,Calc2!$C27,VLOOKUP(Calc!B27,Calc!$C$4:$N$39,4,0))</f>
        <v>Olympique Marseille</v>
      </c>
      <c r="Q32" s="364" t="str">
        <f>IF(Calc!$K$40=0,"",VLOOKUP(Calc!B27,Calc!$C$4:$N$39,9,0))</f>
        <v/>
      </c>
      <c r="R32" s="365" t="str">
        <f>IF(Calc!$K$40=0,"",IF($Q32=0,"",VLOOKUP(Calc!B27,Calc!$C$4:$N$39,10,0)))</f>
        <v/>
      </c>
      <c r="S32" s="365" t="str">
        <f>IF(Calc!$K$40=0,"",IF($Q32=0,"",VLOOKUP(Calc!B27,Calc!$C$4:$N$39,11,0)))</f>
        <v/>
      </c>
      <c r="T32" s="366" t="str">
        <f>IF(Calc!$K$40=0,"",IF($Q32=0,"",VLOOKUP(Calc!B27,Calc!$C$4:$N$39,12,0)))</f>
        <v/>
      </c>
      <c r="U32" s="367" t="str">
        <f>IF(Calc!$K$40=0,"",IF($Q32=0,"",VLOOKUP(Calc!B27,Calc!$C$4:$N$39,5,0)))</f>
        <v/>
      </c>
      <c r="V32" s="368" t="str">
        <f>Language!$E$90</f>
        <v xml:space="preserve"> - </v>
      </c>
      <c r="W32" s="369" t="str">
        <f>IF(Calc!$K$40=0,"",IF($Q32=0,"",VLOOKUP(Calc!B27,Calc!$C$4:$N$39,6,0)))</f>
        <v/>
      </c>
      <c r="X32" s="370" t="str">
        <f>IF(Calc!$K$40=0,"",IF($Q32=0,"",VLOOKUP(Calc!B27,Calc!$C$4:$N$39,7,0)))</f>
        <v/>
      </c>
      <c r="Y32" s="371" t="str">
        <f>IF(Calc!$K$40=0,"",IF($Q32=0,"",VLOOKUP(Calc!B27,Calc!$C$4:$P$39,13,0)))</f>
        <v/>
      </c>
      <c r="Z32" s="371" t="str">
        <f>IF(Calc!$K$40=0,"",IF($Q32=0,"",VLOOKUP(Calc!B27,Calc!$C$4:$P$39,14,0)))</f>
        <v/>
      </c>
      <c r="AA32" s="372" t="str">
        <f>IF(Calc!$K$40=0,"",IF($Q32=0,"",VLOOKUP(Calc!B27,Calc!$C$4:$N$39,8,0)))</f>
        <v/>
      </c>
      <c r="AB32" s="236" t="str">
        <f>IF(VLOOKUP(Calc!B27,Calc!$C$4:$Q$39,15,0)=0,"",VLOOKUP(Calc!B27,Calc!$C$4:$Q$39,15,0))</f>
        <v/>
      </c>
      <c r="AC32" s="227" t="str">
        <f>IF(IFERROR(VLOOKUP($P32,Planning!$D$7:$E$42,2,0),0)=0,IF(LEN(P32)&gt;Factors!$D$12,LEFT(P32,Factors!$D$12)&amp;".",P32),VLOOKUP($P32,Planning!$D$7:$E$42,2,0))</f>
        <v>Olympiq.</v>
      </c>
      <c r="AD32" s="116"/>
      <c r="AE32" s="162" t="str">
        <f t="shared" si="2"/>
        <v/>
      </c>
      <c r="AF32" s="163" t="str">
        <f t="shared" si="3"/>
        <v>Olympique Marseille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/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5" t="str">
        <f>IFERROR(VLOOKUP($P32&amp;BM$8,Calc2!$J$4:$L$291,3,0),"")</f>
        <v/>
      </c>
      <c r="BN32" s="123" t="str">
        <f>IFERROR(VLOOKUP($P32&amp;BN$8,Calc2!$J$4:$L$291,3,0),"")</f>
        <v/>
      </c>
      <c r="BO32" s="320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>
        <f>IF(Planning!$T31="","",Planning!$T31)</f>
        <v>45930</v>
      </c>
      <c r="E33" s="122">
        <f>IF(Planning!$U31="","",Planning!$U31)</f>
        <v>0.875</v>
      </c>
      <c r="F33" s="130" t="str">
        <f>Planning!$Q31</f>
        <v>Olympique Marseille</v>
      </c>
      <c r="G33" s="131" t="s">
        <v>4</v>
      </c>
      <c r="H33" s="130" t="str">
        <f>Planning!$S31</f>
        <v>Ajax Amsterdam</v>
      </c>
      <c r="I33" s="132"/>
      <c r="J33" s="410" t="s">
        <v>63</v>
      </c>
      <c r="K33" s="133"/>
      <c r="L33" s="233"/>
      <c r="M33" s="234"/>
      <c r="N33" s="328"/>
      <c r="O33" s="373" t="str">
        <f>IF(Calc!$K$40=0,"",IF(VLOOKUP(Calc!B28,Calc!$C$4:$E$39,3,0)=MAX(O$9:O32),VLOOKUP(Calc!B28,Calc!$C$4:$E$39,3,0),Calc!B28))</f>
        <v/>
      </c>
      <c r="P33" s="374" t="str">
        <f>IF(Calc!$K$40=0,Calc2!$C28,VLOOKUP(Calc!B28,Calc!$C$4:$N$39,4,0))</f>
        <v>AS Monaco</v>
      </c>
      <c r="Q33" s="375" t="str">
        <f>IF(Calc!$K$40=0,"",VLOOKUP(Calc!B28,Calc!$C$4:$N$39,9,0))</f>
        <v/>
      </c>
      <c r="R33" s="376" t="str">
        <f>IF(Calc!$K$40=0,"",IF($Q33=0,"",VLOOKUP(Calc!B28,Calc!$C$4:$N$39,10,0)))</f>
        <v/>
      </c>
      <c r="S33" s="376" t="str">
        <f>IF(Calc!$K$40=0,"",IF($Q33=0,"",VLOOKUP(Calc!B28,Calc!$C$4:$N$39,11,0)))</f>
        <v/>
      </c>
      <c r="T33" s="377" t="str">
        <f>IF(Calc!$K$40=0,"",IF($Q33=0,"",VLOOKUP(Calc!B28,Calc!$C$4:$N$39,12,0)))</f>
        <v/>
      </c>
      <c r="U33" s="378" t="str">
        <f>IF(Calc!$K$40=0,"",IF($Q33=0,"",VLOOKUP(Calc!B28,Calc!$C$4:$N$39,5,0)))</f>
        <v/>
      </c>
      <c r="V33" s="379" t="str">
        <f>Language!$E$90</f>
        <v xml:space="preserve"> - </v>
      </c>
      <c r="W33" s="380" t="str">
        <f>IF(Calc!$K$40=0,"",IF($Q33=0,"",VLOOKUP(Calc!B28,Calc!$C$4:$N$39,6,0)))</f>
        <v/>
      </c>
      <c r="X33" s="381" t="str">
        <f>IF(Calc!$K$40=0,"",IF($Q33=0,"",VLOOKUP(Calc!B28,Calc!$C$4:$N$39,7,0)))</f>
        <v/>
      </c>
      <c r="Y33" s="382" t="str">
        <f>IF(Calc!$K$40=0,"",IF($Q33=0,"",VLOOKUP(Calc!B28,Calc!$C$4:$P$39,13,0)))</f>
        <v/>
      </c>
      <c r="Z33" s="382" t="str">
        <f>IF(Calc!$K$40=0,"",IF($Q33=0,"",VLOOKUP(Calc!B28,Calc!$C$4:$P$39,14,0)))</f>
        <v/>
      </c>
      <c r="AA33" s="383" t="str">
        <f>IF(Calc!$K$40=0,"",IF($Q33=0,"",VLOOKUP(Calc!B28,Calc!$C$4:$N$39,8,0)))</f>
        <v/>
      </c>
      <c r="AB33" s="236" t="str">
        <f>IF(VLOOKUP(Calc!B28,Calc!$C$4:$Q$39,15,0)=0,"",VLOOKUP(Calc!B28,Calc!$C$4:$Q$39,15,0))</f>
        <v/>
      </c>
      <c r="AC33" s="227" t="str">
        <f>IF(IFERROR(VLOOKUP($P33,Planning!$D$7:$E$42,2,0),0)=0,IF(LEN(P33)&gt;Factors!$D$12,LEFT(P33,Factors!$D$12)&amp;".",P33),VLOOKUP($P33,Planning!$D$7:$E$42,2,0))</f>
        <v>AS Mona.</v>
      </c>
      <c r="AD33" s="159"/>
      <c r="AE33" s="162" t="str">
        <f t="shared" si="2"/>
        <v/>
      </c>
      <c r="AF33" s="163" t="str">
        <f t="shared" si="3"/>
        <v>AS Monaco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5" t="str">
        <f>IFERROR(VLOOKUP($P33&amp;BM$8,Calc2!$J$4:$L$291,3,0),"")</f>
        <v/>
      </c>
      <c r="BN33" s="123" t="str">
        <f>IFERROR(VLOOKUP($P33&amp;BN$8,Calc2!$J$4:$L$291,3,0),"")</f>
        <v/>
      </c>
      <c r="BO33" s="320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>
        <f>IF(Planning!$T32="","",Planning!$T32)</f>
        <v>45930</v>
      </c>
      <c r="E34" s="122">
        <f>IF(Planning!$U32="","",Planning!$U32)</f>
        <v>0.875</v>
      </c>
      <c r="F34" s="130" t="str">
        <f>Planning!$Q32</f>
        <v>Galatasaray SK</v>
      </c>
      <c r="G34" s="131" t="s">
        <v>4</v>
      </c>
      <c r="H34" s="130" t="str">
        <f>Planning!$S32</f>
        <v>FC Liverpool</v>
      </c>
      <c r="I34" s="132"/>
      <c r="J34" s="410" t="s">
        <v>63</v>
      </c>
      <c r="K34" s="133"/>
      <c r="L34" s="233"/>
      <c r="M34" s="234"/>
      <c r="N34" s="328"/>
      <c r="O34" s="373" t="str">
        <f>IF(Calc!$K$40=0,"",IF(VLOOKUP(Calc!B29,Calc!$C$4:$E$39,3,0)=MAX(O$9:O33),VLOOKUP(Calc!B29,Calc!$C$4:$E$39,3,0),Calc!B29))</f>
        <v/>
      </c>
      <c r="P34" s="374" t="str">
        <f>IF(Calc!$K$40=0,Calc2!$C29,VLOOKUP(Calc!B29,Calc!$C$4:$N$39,4,0))</f>
        <v>Bayern München</v>
      </c>
      <c r="Q34" s="375" t="str">
        <f>IF(Calc!$K$40=0,"",VLOOKUP(Calc!B29,Calc!$C$4:$N$39,9,0))</f>
        <v/>
      </c>
      <c r="R34" s="376" t="str">
        <f>IF(Calc!$K$40=0,"",IF($Q34=0,"",VLOOKUP(Calc!B29,Calc!$C$4:$N$39,10,0)))</f>
        <v/>
      </c>
      <c r="S34" s="376" t="str">
        <f>IF(Calc!$K$40=0,"",IF($Q34=0,"",VLOOKUP(Calc!B29,Calc!$C$4:$N$39,11,0)))</f>
        <v/>
      </c>
      <c r="T34" s="377" t="str">
        <f>IF(Calc!$K$40=0,"",IF($Q34=0,"",VLOOKUP(Calc!B29,Calc!$C$4:$N$39,12,0)))</f>
        <v/>
      </c>
      <c r="U34" s="378" t="str">
        <f>IF(Calc!$K$40=0,"",IF($Q34=0,"",VLOOKUP(Calc!B29,Calc!$C$4:$N$39,5,0)))</f>
        <v/>
      </c>
      <c r="V34" s="379" t="str">
        <f>Language!$E$90</f>
        <v xml:space="preserve"> - </v>
      </c>
      <c r="W34" s="380" t="str">
        <f>IF(Calc!$K$40=0,"",IF($Q34=0,"",VLOOKUP(Calc!B29,Calc!$C$4:$N$39,6,0)))</f>
        <v/>
      </c>
      <c r="X34" s="381" t="str">
        <f>IF(Calc!$K$40=0,"",IF($Q34=0,"",VLOOKUP(Calc!B29,Calc!$C$4:$N$39,7,0)))</f>
        <v/>
      </c>
      <c r="Y34" s="382" t="str">
        <f>IF(Calc!$K$40=0,"",IF($Q34=0,"",VLOOKUP(Calc!B29,Calc!$C$4:$P$39,13,0)))</f>
        <v/>
      </c>
      <c r="Z34" s="382" t="str">
        <f>IF(Calc!$K$40=0,"",IF($Q34=0,"",VLOOKUP(Calc!B29,Calc!$C$4:$P$39,14,0)))</f>
        <v/>
      </c>
      <c r="AA34" s="383" t="str">
        <f>IF(Calc!$K$40=0,"",IF($Q34=0,"",VLOOKUP(Calc!B29,Calc!$C$4:$N$39,8,0)))</f>
        <v/>
      </c>
      <c r="AB34" s="236" t="str">
        <f>IF(VLOOKUP(Calc!B29,Calc!$C$4:$Q$39,15,0)=0,"",VLOOKUP(Calc!B29,Calc!$C$4:$Q$39,15,0))</f>
        <v/>
      </c>
      <c r="AC34" s="227" t="str">
        <f>IF(IFERROR(VLOOKUP($P34,Planning!$D$7:$E$42,2,0),0)=0,IF(LEN(P34)&gt;Factors!$D$12,LEFT(P34,Factors!$D$12)&amp;".",P34),VLOOKUP($P34,Planning!$D$7:$E$42,2,0))</f>
        <v>Bayern .</v>
      </c>
      <c r="AD34" s="159"/>
      <c r="AE34" s="162" t="str">
        <f t="shared" si="2"/>
        <v/>
      </c>
      <c r="AF34" s="163" t="str">
        <f t="shared" si="3"/>
        <v>Bayern München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/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5" t="str">
        <f>IFERROR(VLOOKUP($P34&amp;BM$8,Calc2!$J$4:$L$291,3,0),"")</f>
        <v/>
      </c>
      <c r="BN34" s="123" t="str">
        <f>IFERROR(VLOOKUP($P34&amp;BN$8,Calc2!$J$4:$L$291,3,0),"")</f>
        <v/>
      </c>
      <c r="BO34" s="320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5" customHeight="1" x14ac:dyDescent="0.25">
      <c r="B35" s="199"/>
      <c r="C35" s="197">
        <v>27</v>
      </c>
      <c r="D35" s="121">
        <f>IF(Planning!$T33="","",Planning!$T33)</f>
        <v>45930</v>
      </c>
      <c r="E35" s="122">
        <f>IF(Planning!$U33="","",Planning!$U33)</f>
        <v>0.875</v>
      </c>
      <c r="F35" s="130" t="str">
        <f>Planning!$Q33</f>
        <v>Pafos FC</v>
      </c>
      <c r="G35" s="131" t="s">
        <v>4</v>
      </c>
      <c r="H35" s="130" t="str">
        <f>Planning!$S33</f>
        <v>Bayern München</v>
      </c>
      <c r="I35" s="132"/>
      <c r="J35" s="410" t="s">
        <v>63</v>
      </c>
      <c r="K35" s="133"/>
      <c r="L35" s="233"/>
      <c r="M35" s="234"/>
      <c r="N35" s="328"/>
      <c r="O35" s="373" t="str">
        <f>IF(Calc!$K$40=0,"",IF(VLOOKUP(Calc!B30,Calc!$C$4:$E$39,3,0)=MAX(O$9:O34),VLOOKUP(Calc!B30,Calc!$C$4:$E$39,3,0),Calc!B30))</f>
        <v/>
      </c>
      <c r="P35" s="374" t="str">
        <f>IF(Calc!$K$40=0,Calc2!$C30,VLOOKUP(Calc!B30,Calc!$C$4:$N$39,4,0))</f>
        <v>SSC Neapel</v>
      </c>
      <c r="Q35" s="375" t="str">
        <f>IF(Calc!$K$40=0,"",VLOOKUP(Calc!B30,Calc!$C$4:$N$39,9,0))</f>
        <v/>
      </c>
      <c r="R35" s="376" t="str">
        <f>IF(Calc!$K$40=0,"",IF($Q35=0,"",VLOOKUP(Calc!B30,Calc!$C$4:$N$39,10,0)))</f>
        <v/>
      </c>
      <c r="S35" s="376" t="str">
        <f>IF(Calc!$K$40=0,"",IF($Q35=0,"",VLOOKUP(Calc!B30,Calc!$C$4:$N$39,11,0)))</f>
        <v/>
      </c>
      <c r="T35" s="377" t="str">
        <f>IF(Calc!$K$40=0,"",IF($Q35=0,"",VLOOKUP(Calc!B30,Calc!$C$4:$N$39,12,0)))</f>
        <v/>
      </c>
      <c r="U35" s="378" t="str">
        <f>IF(Calc!$K$40=0,"",IF($Q35=0,"",VLOOKUP(Calc!B30,Calc!$C$4:$N$39,5,0)))</f>
        <v/>
      </c>
      <c r="V35" s="379" t="str">
        <f>Language!$E$90</f>
        <v xml:space="preserve"> - </v>
      </c>
      <c r="W35" s="380" t="str">
        <f>IF(Calc!$K$40=0,"",IF($Q35=0,"",VLOOKUP(Calc!B30,Calc!$C$4:$N$39,6,0)))</f>
        <v/>
      </c>
      <c r="X35" s="381" t="str">
        <f>IF(Calc!$K$40=0,"",IF($Q35=0,"",VLOOKUP(Calc!B30,Calc!$C$4:$N$39,7,0)))</f>
        <v/>
      </c>
      <c r="Y35" s="382" t="str">
        <f>IF(Calc!$K$40=0,"",IF($Q35=0,"",VLOOKUP(Calc!B30,Calc!$C$4:$P$39,13,0)))</f>
        <v/>
      </c>
      <c r="Z35" s="382" t="str">
        <f>IF(Calc!$K$40=0,"",IF($Q35=0,"",VLOOKUP(Calc!B30,Calc!$C$4:$P$39,14,0)))</f>
        <v/>
      </c>
      <c r="AA35" s="383" t="str">
        <f>IF(Calc!$K$40=0,"",IF($Q35=0,"",VLOOKUP(Calc!B30,Calc!$C$4:$N$39,8,0)))</f>
        <v/>
      </c>
      <c r="AB35" s="236" t="str">
        <f>IF(VLOOKUP(Calc!B30,Calc!$C$4:$Q$39,15,0)=0,"",VLOOKUP(Calc!B30,Calc!$C$4:$Q$39,15,0))</f>
        <v/>
      </c>
      <c r="AC35" s="227" t="str">
        <f>IF(IFERROR(VLOOKUP($P35,Planning!$D$7:$E$42,2,0),0)=0,IF(LEN(P35)&gt;Factors!$D$12,LEFT(P35,Factors!$D$12)&amp;".",P35),VLOOKUP($P35,Planning!$D$7:$E$42,2,0))</f>
        <v>SSC Nea.</v>
      </c>
      <c r="AD35" s="157"/>
      <c r="AE35" s="162" t="str">
        <f t="shared" si="2"/>
        <v/>
      </c>
      <c r="AF35" s="163" t="str">
        <f t="shared" si="3"/>
        <v>SSC Neapel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5" t="str">
        <f>IFERROR(VLOOKUP($P35&amp;BM$8,Calc2!$J$4:$L$291,3,0),"")</f>
        <v/>
      </c>
      <c r="BN35" s="123" t="str">
        <f>IFERROR(VLOOKUP($P35&amp;BN$8,Calc2!$J$4:$L$291,3,0),"")</f>
        <v/>
      </c>
      <c r="BO35" s="320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5" customHeight="1" x14ac:dyDescent="0.25">
      <c r="B36" s="199"/>
      <c r="C36" s="197">
        <v>28</v>
      </c>
      <c r="D36" s="121">
        <f>IF(Planning!$T34="","",Planning!$T34)</f>
        <v>45931</v>
      </c>
      <c r="E36" s="122">
        <f>IF(Planning!$U34="","",Planning!$U34)</f>
        <v>0.78125</v>
      </c>
      <c r="F36" s="130" t="str">
        <f>Planning!$Q34</f>
        <v>Union Saint-Gilloise</v>
      </c>
      <c r="G36" s="131" t="s">
        <v>4</v>
      </c>
      <c r="H36" s="130" t="str">
        <f>Planning!$S34</f>
        <v>Newcastle United</v>
      </c>
      <c r="I36" s="132"/>
      <c r="J36" s="410" t="str">
        <f>Language!$E$90</f>
        <v xml:space="preserve"> - </v>
      </c>
      <c r="K36" s="133"/>
      <c r="L36" s="233"/>
      <c r="M36" s="234"/>
      <c r="N36" s="328"/>
      <c r="O36" s="373" t="str">
        <f>IF(Calc!$K$40=0,"",IF(VLOOKUP(Calc!B31,Calc!$C$4:$E$39,3,0)=MAX(O$9:O35),VLOOKUP(Calc!B31,Calc!$C$4:$E$39,3,0),Calc!B31))</f>
        <v/>
      </c>
      <c r="P36" s="374" t="str">
        <f>IF(Calc!$K$40=0,Calc2!$C31,VLOOKUP(Calc!B31,Calc!$C$4:$N$39,4,0))</f>
        <v>Newcastle United</v>
      </c>
      <c r="Q36" s="375" t="str">
        <f>IF(Calc!$K$40=0,"",VLOOKUP(Calc!B31,Calc!$C$4:$N$39,9,0))</f>
        <v/>
      </c>
      <c r="R36" s="376" t="str">
        <f>IF(Calc!$K$40=0,"",IF($Q36=0,"",VLOOKUP(Calc!B31,Calc!$C$4:$N$39,10,0)))</f>
        <v/>
      </c>
      <c r="S36" s="376" t="str">
        <f>IF(Calc!$K$40=0,"",IF($Q36=0,"",VLOOKUP(Calc!B31,Calc!$C$4:$N$39,11,0)))</f>
        <v/>
      </c>
      <c r="T36" s="377" t="str">
        <f>IF(Calc!$K$40=0,"",IF($Q36=0,"",VLOOKUP(Calc!B31,Calc!$C$4:$N$39,12,0)))</f>
        <v/>
      </c>
      <c r="U36" s="378" t="str">
        <f>IF(Calc!$K$40=0,"",IF($Q36=0,"",VLOOKUP(Calc!B31,Calc!$C$4:$N$39,5,0)))</f>
        <v/>
      </c>
      <c r="V36" s="379" t="str">
        <f>Language!$E$90</f>
        <v xml:space="preserve"> - </v>
      </c>
      <c r="W36" s="380" t="str">
        <f>IF(Calc!$K$40=0,"",IF($Q36=0,"",VLOOKUP(Calc!B31,Calc!$C$4:$N$39,6,0)))</f>
        <v/>
      </c>
      <c r="X36" s="381" t="str">
        <f>IF(Calc!$K$40=0,"",IF($Q36=0,"",VLOOKUP(Calc!B31,Calc!$C$4:$N$39,7,0)))</f>
        <v/>
      </c>
      <c r="Y36" s="382" t="str">
        <f>IF(Calc!$K$40=0,"",IF($Q36=0,"",VLOOKUP(Calc!B31,Calc!$C$4:$P$39,13,0)))</f>
        <v/>
      </c>
      <c r="Z36" s="382" t="str">
        <f>IF(Calc!$K$40=0,"",IF($Q36=0,"",VLOOKUP(Calc!B31,Calc!$C$4:$P$39,14,0)))</f>
        <v/>
      </c>
      <c r="AA36" s="383" t="str">
        <f>IF(Calc!$K$40=0,"",IF($Q36=0,"",VLOOKUP(Calc!B31,Calc!$C$4:$N$39,8,0)))</f>
        <v/>
      </c>
      <c r="AB36" s="236" t="str">
        <f>IF(VLOOKUP(Calc!B31,Calc!$C$4:$Q$39,15,0)=0,"",VLOOKUP(Calc!B31,Calc!$C$4:$Q$39,15,0))</f>
        <v/>
      </c>
      <c r="AC36" s="227" t="str">
        <f>IF(IFERROR(VLOOKUP($P36,Planning!$D$7:$E$42,2,0),0)=0,IF(LEN(P36)&gt;Factors!$D$12,LEFT(P36,Factors!$D$12)&amp;".",P36),VLOOKUP($P36,Planning!$D$7:$E$42,2,0))</f>
        <v>Newcast.</v>
      </c>
      <c r="AD36" s="117"/>
      <c r="AE36" s="162" t="str">
        <f t="shared" si="2"/>
        <v/>
      </c>
      <c r="AF36" s="163" t="str">
        <f t="shared" si="3"/>
        <v>Newcastle United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5" t="str">
        <f>IFERROR(VLOOKUP($P36&amp;BM$8,Calc2!$J$4:$L$291,3,0),"")</f>
        <v/>
      </c>
      <c r="BN36" s="123" t="str">
        <f>IFERROR(VLOOKUP($P36&amp;BN$8,Calc2!$J$4:$L$291,3,0),"")</f>
        <v/>
      </c>
      <c r="BO36" s="320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>
        <f>IF(Planning!$T35="","",Planning!$T35)</f>
        <v>45931</v>
      </c>
      <c r="E37" s="122">
        <f>IF(Planning!$U35="","",Planning!$U35)</f>
        <v>0.78125</v>
      </c>
      <c r="F37" s="130" t="str">
        <f>Planning!$Q35</f>
        <v>Qarabag Agdam</v>
      </c>
      <c r="G37" s="131" t="s">
        <v>4</v>
      </c>
      <c r="H37" s="130" t="str">
        <f>Planning!$S35</f>
        <v>FC Kopenhagen</v>
      </c>
      <c r="I37" s="132"/>
      <c r="J37" s="410" t="str">
        <f>Language!$E$90</f>
        <v xml:space="preserve"> - </v>
      </c>
      <c r="K37" s="133"/>
      <c r="L37" s="233"/>
      <c r="M37" s="234"/>
      <c r="N37" s="328"/>
      <c r="O37" s="373" t="str">
        <f>IF(Calc!$K$40=0,"",IF(VLOOKUP(Calc!B32,Calc!$C$4:$E$39,3,0)=MAX(O$9:O36),VLOOKUP(Calc!B32,Calc!$C$4:$E$39,3,0),Calc!B32))</f>
        <v/>
      </c>
      <c r="P37" s="374" t="str">
        <f>IF(Calc!$K$40=0,Calc2!$C32,VLOOKUP(Calc!B32,Calc!$C$4:$N$39,4,0))</f>
        <v>Pafos FC</v>
      </c>
      <c r="Q37" s="375" t="str">
        <f>IF(Calc!$K$40=0,"",VLOOKUP(Calc!B32,Calc!$C$4:$N$39,9,0))</f>
        <v/>
      </c>
      <c r="R37" s="376" t="str">
        <f>IF(Calc!$K$40=0,"",IF($Q37=0,"",VLOOKUP(Calc!B32,Calc!$C$4:$N$39,10,0)))</f>
        <v/>
      </c>
      <c r="S37" s="376" t="str">
        <f>IF(Calc!$K$40=0,"",IF($Q37=0,"",VLOOKUP(Calc!B32,Calc!$C$4:$N$39,11,0)))</f>
        <v/>
      </c>
      <c r="T37" s="377" t="str">
        <f>IF(Calc!$K$40=0,"",IF($Q37=0,"",VLOOKUP(Calc!B32,Calc!$C$4:$N$39,12,0)))</f>
        <v/>
      </c>
      <c r="U37" s="378" t="str">
        <f>IF(Calc!$K$40=0,"",IF($Q37=0,"",VLOOKUP(Calc!B32,Calc!$C$4:$N$39,5,0)))</f>
        <v/>
      </c>
      <c r="V37" s="379" t="str">
        <f>Language!$E$90</f>
        <v xml:space="preserve"> - </v>
      </c>
      <c r="W37" s="380" t="str">
        <f>IF(Calc!$K$40=0,"",IF($Q37=0,"",VLOOKUP(Calc!B32,Calc!$C$4:$N$39,6,0)))</f>
        <v/>
      </c>
      <c r="X37" s="381" t="str">
        <f>IF(Calc!$K$40=0,"",IF($Q37=0,"",VLOOKUP(Calc!B32,Calc!$C$4:$N$39,7,0)))</f>
        <v/>
      </c>
      <c r="Y37" s="382" t="str">
        <f>IF(Calc!$K$40=0,"",IF($Q37=0,"",VLOOKUP(Calc!B32,Calc!$C$4:$P$39,13,0)))</f>
        <v/>
      </c>
      <c r="Z37" s="382" t="str">
        <f>IF(Calc!$K$40=0,"",IF($Q37=0,"",VLOOKUP(Calc!B32,Calc!$C$4:$P$39,14,0)))</f>
        <v/>
      </c>
      <c r="AA37" s="383" t="str">
        <f>IF(Calc!$K$40=0,"",IF($Q37=0,"",VLOOKUP(Calc!B32,Calc!$C$4:$N$39,8,0)))</f>
        <v/>
      </c>
      <c r="AB37" s="236" t="str">
        <f>IF(VLOOKUP(Calc!B32,Calc!$C$4:$Q$39,15,0)=0,"",VLOOKUP(Calc!B32,Calc!$C$4:$Q$39,15,0))</f>
        <v/>
      </c>
      <c r="AC37" s="227" t="str">
        <f>IF(IFERROR(VLOOKUP($P37,Planning!$D$7:$E$42,2,0),0)=0,IF(LEN(P37)&gt;Factors!$D$12,LEFT(P37,Factors!$D$12)&amp;".",P37),VLOOKUP($P37,Planning!$D$7:$E$42,2,0))</f>
        <v>Pafos F.</v>
      </c>
      <c r="AD37" s="145"/>
      <c r="AE37" s="162" t="str">
        <f t="shared" si="2"/>
        <v/>
      </c>
      <c r="AF37" s="163" t="str">
        <f t="shared" si="3"/>
        <v>Pafos FC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5" t="str">
        <f>IFERROR(VLOOKUP($P37&amp;BM$8,Calc2!$J$4:$L$291,3,0),"")</f>
        <v/>
      </c>
      <c r="BN37" s="123" t="str">
        <f>IFERROR(VLOOKUP($P37&amp;BN$8,Calc2!$J$4:$L$291,3,0),"")</f>
        <v/>
      </c>
      <c r="BO37" s="320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5" customHeight="1" x14ac:dyDescent="0.25">
      <c r="B38" s="199"/>
      <c r="C38" s="197">
        <v>30</v>
      </c>
      <c r="D38" s="121">
        <f>IF(Planning!$T36="","",Planning!$T36)</f>
        <v>45931</v>
      </c>
      <c r="E38" s="122">
        <f>IF(Planning!$U36="","",Planning!$U36)</f>
        <v>0.875</v>
      </c>
      <c r="F38" s="130" t="str">
        <f>Planning!$Q36</f>
        <v>Borussia Dortmund</v>
      </c>
      <c r="G38" s="131" t="s">
        <v>4</v>
      </c>
      <c r="H38" s="130" t="str">
        <f>Planning!$S36</f>
        <v>Athletic Bilbao</v>
      </c>
      <c r="I38" s="132"/>
      <c r="J38" s="410" t="str">
        <f>Language!$E$90</f>
        <v xml:space="preserve"> - </v>
      </c>
      <c r="K38" s="133"/>
      <c r="L38" s="233"/>
      <c r="M38" s="234"/>
      <c r="N38" s="328"/>
      <c r="O38" s="373" t="str">
        <f>IF(Calc!$K$40=0,"",IF(VLOOKUP(Calc!B33,Calc!$C$4:$E$39,3,0)=MAX(O$9:O37),VLOOKUP(Calc!B33,Calc!$C$4:$E$39,3,0),Calc!B33))</f>
        <v/>
      </c>
      <c r="P38" s="374" t="str">
        <f>IF(Calc!$K$40=0,Calc2!$C33,VLOOKUP(Calc!B33,Calc!$C$4:$N$39,4,0))</f>
        <v>Paris St. Germain</v>
      </c>
      <c r="Q38" s="375" t="str">
        <f>IF(Calc!$K$40=0,"",VLOOKUP(Calc!B33,Calc!$C$4:$N$39,9,0))</f>
        <v/>
      </c>
      <c r="R38" s="376" t="str">
        <f>IF(Calc!$K$40=0,"",IF($Q38=0,"",VLOOKUP(Calc!B33,Calc!$C$4:$N$39,10,0)))</f>
        <v/>
      </c>
      <c r="S38" s="376" t="str">
        <f>IF(Calc!$K$40=0,"",IF($Q38=0,"",VLOOKUP(Calc!B33,Calc!$C$4:$N$39,11,0)))</f>
        <v/>
      </c>
      <c r="T38" s="377" t="str">
        <f>IF(Calc!$K$40=0,"",IF($Q38=0,"",VLOOKUP(Calc!B33,Calc!$C$4:$N$39,12,0)))</f>
        <v/>
      </c>
      <c r="U38" s="378" t="str">
        <f>IF(Calc!$K$40=0,"",IF($Q38=0,"",VLOOKUP(Calc!B33,Calc!$C$4:$N$39,5,0)))</f>
        <v/>
      </c>
      <c r="V38" s="379" t="str">
        <f>Language!$E$90</f>
        <v xml:space="preserve"> - </v>
      </c>
      <c r="W38" s="380" t="str">
        <f>IF(Calc!$K$40=0,"",IF($Q38=0,"",VLOOKUP(Calc!B33,Calc!$C$4:$N$39,6,0)))</f>
        <v/>
      </c>
      <c r="X38" s="381" t="str">
        <f>IF(Calc!$K$40=0,"",IF($Q38=0,"",VLOOKUP(Calc!B33,Calc!$C$4:$N$39,7,0)))</f>
        <v/>
      </c>
      <c r="Y38" s="382" t="str">
        <f>IF(Calc!$K$40=0,"",IF($Q38=0,"",VLOOKUP(Calc!B33,Calc!$C$4:$P$39,13,0)))</f>
        <v/>
      </c>
      <c r="Z38" s="382" t="str">
        <f>IF(Calc!$K$40=0,"",IF($Q38=0,"",VLOOKUP(Calc!B33,Calc!$C$4:$P$39,14,0)))</f>
        <v/>
      </c>
      <c r="AA38" s="383" t="str">
        <f>IF(Calc!$K$40=0,"",IF($Q38=0,"",VLOOKUP(Calc!B33,Calc!$C$4:$N$39,8,0)))</f>
        <v/>
      </c>
      <c r="AB38" s="236" t="str">
        <f>IF(VLOOKUP(Calc!B33,Calc!$C$4:$Q$39,15,0)=0,"",VLOOKUP(Calc!B33,Calc!$C$4:$Q$39,15,0))</f>
        <v/>
      </c>
      <c r="AC38" s="227" t="str">
        <f>IF(IFERROR(VLOOKUP($P38,Planning!$D$7:$E$42,2,0),0)=0,IF(LEN(P38)&gt;Factors!$D$12,LEFT(P38,Factors!$D$12)&amp;".",P38),VLOOKUP($P38,Planning!$D$7:$E$42,2,0))</f>
        <v>Paris S.</v>
      </c>
      <c r="AD38" s="145"/>
      <c r="AE38" s="162" t="str">
        <f t="shared" si="2"/>
        <v/>
      </c>
      <c r="AF38" s="163" t="str">
        <f t="shared" si="3"/>
        <v>Paris St. Germain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/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5" t="str">
        <f>IFERROR(VLOOKUP($P38&amp;BM$8,Calc2!$J$4:$L$291,3,0),"")</f>
        <v/>
      </c>
      <c r="BN38" s="123" t="str">
        <f>IFERROR(VLOOKUP($P38&amp;BN$8,Calc2!$J$4:$L$291,3,0),"")</f>
        <v/>
      </c>
      <c r="BO38" s="320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>
        <f>IF(Planning!$T37="","",Planning!$T37)</f>
        <v>45931</v>
      </c>
      <c r="E39" s="122">
        <f>IF(Planning!$U37="","",Planning!$U37)</f>
        <v>0.875</v>
      </c>
      <c r="F39" s="130" t="str">
        <f>Planning!$Q37</f>
        <v>FC Barcelona</v>
      </c>
      <c r="G39" s="131" t="s">
        <v>4</v>
      </c>
      <c r="H39" s="130" t="str">
        <f>Planning!$S37</f>
        <v>Paris St. Germain</v>
      </c>
      <c r="I39" s="132"/>
      <c r="J39" s="410" t="str">
        <f>Language!$E$90</f>
        <v xml:space="preserve"> - </v>
      </c>
      <c r="K39" s="133"/>
      <c r="L39" s="233"/>
      <c r="M39" s="234"/>
      <c r="N39" s="328"/>
      <c r="O39" s="373" t="str">
        <f>IF(Calc!$K$40=0,"",IF(VLOOKUP(Calc!B34,Calc!$C$4:$E$39,3,0)=MAX(O$9:O38),VLOOKUP(Calc!B34,Calc!$C$4:$E$39,3,0),Calc!B34))</f>
        <v/>
      </c>
      <c r="P39" s="374" t="str">
        <f>IF(Calc!$K$40=0,Calc2!$C34,VLOOKUP(Calc!B34,Calc!$C$4:$N$39,4,0))</f>
        <v>Olympiakos Piräus</v>
      </c>
      <c r="Q39" s="375" t="str">
        <f>IF(Calc!$K$40=0,"",VLOOKUP(Calc!B34,Calc!$C$4:$N$39,9,0))</f>
        <v/>
      </c>
      <c r="R39" s="376" t="str">
        <f>IF(Calc!$K$40=0,"",IF($Q39=0,"",VLOOKUP(Calc!B34,Calc!$C$4:$N$39,10,0)))</f>
        <v/>
      </c>
      <c r="S39" s="376" t="str">
        <f>IF(Calc!$K$40=0,"",IF($Q39=0,"",VLOOKUP(Calc!B34,Calc!$C$4:$N$39,11,0)))</f>
        <v/>
      </c>
      <c r="T39" s="377" t="str">
        <f>IF(Calc!$K$40=0,"",IF($Q39=0,"",VLOOKUP(Calc!B34,Calc!$C$4:$N$39,12,0)))</f>
        <v/>
      </c>
      <c r="U39" s="378" t="str">
        <f>IF(Calc!$K$40=0,"",IF($Q39=0,"",VLOOKUP(Calc!B34,Calc!$C$4:$N$39,5,0)))</f>
        <v/>
      </c>
      <c r="V39" s="379" t="str">
        <f>Language!$E$90</f>
        <v xml:space="preserve"> - </v>
      </c>
      <c r="W39" s="380" t="str">
        <f>IF(Calc!$K$40=0,"",IF($Q39=0,"",VLOOKUP(Calc!B34,Calc!$C$4:$N$39,6,0)))</f>
        <v/>
      </c>
      <c r="X39" s="381" t="str">
        <f>IF(Calc!$K$40=0,"",IF($Q39=0,"",VLOOKUP(Calc!B34,Calc!$C$4:$N$39,7,0)))</f>
        <v/>
      </c>
      <c r="Y39" s="382" t="str">
        <f>IF(Calc!$K$40=0,"",IF($Q39=0,"",VLOOKUP(Calc!B34,Calc!$C$4:$P$39,13,0)))</f>
        <v/>
      </c>
      <c r="Z39" s="382" t="str">
        <f>IF(Calc!$K$40=0,"",IF($Q39=0,"",VLOOKUP(Calc!B34,Calc!$C$4:$P$39,14,0)))</f>
        <v/>
      </c>
      <c r="AA39" s="383" t="str">
        <f>IF(Calc!$K$40=0,"",IF($Q39=0,"",VLOOKUP(Calc!B34,Calc!$C$4:$N$39,8,0)))</f>
        <v/>
      </c>
      <c r="AB39" s="236" t="str">
        <f>IF(VLOOKUP(Calc!B34,Calc!$C$4:$Q$39,15,0)=0,"",VLOOKUP(Calc!B34,Calc!$C$4:$Q$39,15,0))</f>
        <v/>
      </c>
      <c r="AC39" s="227" t="str">
        <f>IF(IFERROR(VLOOKUP($P39,Planning!$D$7:$E$42,2,0),0)=0,IF(LEN(P39)&gt;Factors!$D$12,LEFT(P39,Factors!$D$12)&amp;".",P39),VLOOKUP($P39,Planning!$D$7:$E$42,2,0))</f>
        <v>Olympia.</v>
      </c>
      <c r="AD39" s="145"/>
      <c r="AE39" s="162" t="str">
        <f t="shared" si="2"/>
        <v/>
      </c>
      <c r="AF39" s="163" t="str">
        <f t="shared" si="3"/>
        <v>Olympiakos Piräus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/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5" t="str">
        <f>IFERROR(VLOOKUP($P39&amp;BM$8,Calc2!$J$4:$L$291,3,0),"")</f>
        <v/>
      </c>
      <c r="BN39" s="123" t="str">
        <f>IFERROR(VLOOKUP($P39&amp;BN$8,Calc2!$J$4:$L$291,3,0),"")</f>
        <v/>
      </c>
      <c r="BO39" s="320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>
        <f>IF(Planning!$T38="","",Planning!$T38)</f>
        <v>45931</v>
      </c>
      <c r="E40" s="122">
        <f>IF(Planning!$U38="","",Planning!$U38)</f>
        <v>0.875</v>
      </c>
      <c r="F40" s="130" t="str">
        <f>Planning!$Q38</f>
        <v>FC Arsenal</v>
      </c>
      <c r="G40" s="131" t="s">
        <v>4</v>
      </c>
      <c r="H40" s="130" t="str">
        <f>Planning!$S38</f>
        <v>Olympiakos Piräus</v>
      </c>
      <c r="I40" s="132"/>
      <c r="J40" s="410" t="str">
        <f>Language!$E$90</f>
        <v xml:space="preserve"> - </v>
      </c>
      <c r="K40" s="133"/>
      <c r="L40" s="233"/>
      <c r="M40" s="234"/>
      <c r="N40" s="328"/>
      <c r="O40" s="373" t="str">
        <f>IF(Calc!$K$40=0,"",IF(VLOOKUP(Calc!B35,Calc!$C$4:$E$39,3,0)=MAX(O$9:O39),VLOOKUP(Calc!B35,Calc!$C$4:$E$39,3,0),Calc!B35))</f>
        <v/>
      </c>
      <c r="P40" s="374" t="str">
        <f>IF(Calc!$K$40=0,Calc2!$C35,VLOOKUP(Calc!B35,Calc!$C$4:$N$39,4,0))</f>
        <v>Salva Prag</v>
      </c>
      <c r="Q40" s="375" t="str">
        <f>IF(Calc!$K$40=0,"",VLOOKUP(Calc!B35,Calc!$C$4:$N$39,9,0))</f>
        <v/>
      </c>
      <c r="R40" s="376" t="str">
        <f>IF(Calc!$K$40=0,"",IF($Q40=0,"",VLOOKUP(Calc!B35,Calc!$C$4:$N$39,10,0)))</f>
        <v/>
      </c>
      <c r="S40" s="376" t="str">
        <f>IF(Calc!$K$40=0,"",IF($Q40=0,"",VLOOKUP(Calc!B35,Calc!$C$4:$N$39,11,0)))</f>
        <v/>
      </c>
      <c r="T40" s="377" t="str">
        <f>IF(Calc!$K$40=0,"",IF($Q40=0,"",VLOOKUP(Calc!B35,Calc!$C$4:$N$39,12,0)))</f>
        <v/>
      </c>
      <c r="U40" s="378" t="str">
        <f>IF(Calc!$K$40=0,"",IF($Q40=0,"",VLOOKUP(Calc!B35,Calc!$C$4:$N$39,5,0)))</f>
        <v/>
      </c>
      <c r="V40" s="379" t="str">
        <f>Language!$E$90</f>
        <v xml:space="preserve"> - </v>
      </c>
      <c r="W40" s="380" t="str">
        <f>IF(Calc!$K$40=0,"",IF($Q40=0,"",VLOOKUP(Calc!B35,Calc!$C$4:$N$39,6,0)))</f>
        <v/>
      </c>
      <c r="X40" s="381" t="str">
        <f>IF(Calc!$K$40=0,"",IF($Q40=0,"",VLOOKUP(Calc!B35,Calc!$C$4:$N$39,7,0)))</f>
        <v/>
      </c>
      <c r="Y40" s="382" t="str">
        <f>IF(Calc!$K$40=0,"",IF($Q40=0,"",VLOOKUP(Calc!B35,Calc!$C$4:$P$39,13,0)))</f>
        <v/>
      </c>
      <c r="Z40" s="382" t="str">
        <f>IF(Calc!$K$40=0,"",IF($Q40=0,"",VLOOKUP(Calc!B35,Calc!$C$4:$P$39,14,0)))</f>
        <v/>
      </c>
      <c r="AA40" s="383" t="str">
        <f>IF(Calc!$K$40=0,"",IF($Q40=0,"",VLOOKUP(Calc!B35,Calc!$C$4:$N$39,8,0)))</f>
        <v/>
      </c>
      <c r="AB40" s="236" t="str">
        <f>IF(VLOOKUP(Calc!B35,Calc!$C$4:$Q$39,15,0)=0,"",VLOOKUP(Calc!B35,Calc!$C$4:$Q$39,15,0))</f>
        <v/>
      </c>
      <c r="AC40" s="227" t="str">
        <f>IF(IFERROR(VLOOKUP($P40,Planning!$D$7:$E$42,2,0),0)=0,IF(LEN(P40)&gt;Factors!$D$12,LEFT(P40,Factors!$D$12)&amp;".",P40),VLOOKUP($P40,Planning!$D$7:$E$42,2,0))</f>
        <v>Salva P.</v>
      </c>
      <c r="AD40" s="145"/>
      <c r="AE40" s="162" t="str">
        <f t="shared" si="2"/>
        <v/>
      </c>
      <c r="AF40" s="163" t="str">
        <f t="shared" si="3"/>
        <v>Salva Prag</v>
      </c>
      <c r="AG40" s="124" t="str">
        <f>IFERROR(VLOOKUP($P40&amp;AG$8,Calc2!$J$4:$L$291,3,0),"")</f>
        <v/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5" t="str">
        <f>IFERROR(VLOOKUP($P40&amp;BM$8,Calc2!$J$4:$L$291,3,0),"")</f>
        <v/>
      </c>
      <c r="BN40" s="123" t="str">
        <f>IFERROR(VLOOKUP($P40&amp;BN$8,Calc2!$J$4:$L$291,3,0),"")</f>
        <v/>
      </c>
      <c r="BO40" s="320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>
        <f>IF(Planning!$T39="","",Planning!$T39)</f>
        <v>45931</v>
      </c>
      <c r="E41" s="122">
        <f>IF(Planning!$U39="","",Planning!$U39)</f>
        <v>0.875</v>
      </c>
      <c r="F41" s="130" t="str">
        <f>Planning!$Q39</f>
        <v>Bayer 04 Leverkusen</v>
      </c>
      <c r="G41" s="131" t="s">
        <v>4</v>
      </c>
      <c r="H41" s="130" t="str">
        <f>Planning!$S39</f>
        <v>PSV Eindhoven</v>
      </c>
      <c r="I41" s="132"/>
      <c r="J41" s="410" t="str">
        <f>Language!$E$90</f>
        <v xml:space="preserve"> - </v>
      </c>
      <c r="K41" s="133"/>
      <c r="L41" s="233"/>
      <c r="M41" s="234"/>
      <c r="N41" s="328"/>
      <c r="O41" s="373" t="str">
        <f>IF(Calc!$K$40=0,"",IF(VLOOKUP(Calc!B36,Calc!$C$4:$E$39,3,0)=MAX(O$9:O40),VLOOKUP(Calc!B36,Calc!$C$4:$E$39,3,0),Calc!B36))</f>
        <v/>
      </c>
      <c r="P41" s="374" t="str">
        <f>IF(Calc!$K$40=0,Calc2!$C36,VLOOKUP(Calc!B36,Calc!$C$4:$N$39,4,0))</f>
        <v>Union Saint-Gilloise</v>
      </c>
      <c r="Q41" s="375" t="str">
        <f>IF(Calc!$K$40=0,"",VLOOKUP(Calc!B36,Calc!$C$4:$N$39,9,0))</f>
        <v/>
      </c>
      <c r="R41" s="376" t="str">
        <f>IF(Calc!$K$40=0,"",IF($Q41=0,"",VLOOKUP(Calc!B36,Calc!$C$4:$N$39,10,0)))</f>
        <v/>
      </c>
      <c r="S41" s="376" t="str">
        <f>IF(Calc!$K$40=0,"",IF($Q41=0,"",VLOOKUP(Calc!B36,Calc!$C$4:$N$39,11,0)))</f>
        <v/>
      </c>
      <c r="T41" s="377" t="str">
        <f>IF(Calc!$K$40=0,"",IF($Q41=0,"",VLOOKUP(Calc!B36,Calc!$C$4:$N$39,12,0)))</f>
        <v/>
      </c>
      <c r="U41" s="378" t="str">
        <f>IF(Calc!$K$40=0,"",IF($Q41=0,"",VLOOKUP(Calc!B36,Calc!$C$4:$N$39,5,0)))</f>
        <v/>
      </c>
      <c r="V41" s="379" t="str">
        <f>Language!$E$90</f>
        <v xml:space="preserve"> - </v>
      </c>
      <c r="W41" s="380" t="str">
        <f>IF(Calc!$K$40=0,"",IF($Q41=0,"",VLOOKUP(Calc!B36,Calc!$C$4:$N$39,6,0)))</f>
        <v/>
      </c>
      <c r="X41" s="381" t="str">
        <f>IF(Calc!$K$40=0,"",IF($Q41=0,"",VLOOKUP(Calc!B36,Calc!$C$4:$N$39,7,0)))</f>
        <v/>
      </c>
      <c r="Y41" s="382" t="str">
        <f>IF(Calc!$K$40=0,"",IF($Q41=0,"",VLOOKUP(Calc!B36,Calc!$C$4:$P$39,13,0)))</f>
        <v/>
      </c>
      <c r="Z41" s="382" t="str">
        <f>IF(Calc!$K$40=0,"",IF($Q41=0,"",VLOOKUP(Calc!B36,Calc!$C$4:$P$39,14,0)))</f>
        <v/>
      </c>
      <c r="AA41" s="383" t="str">
        <f>IF(Calc!$K$40=0,"",IF($Q41=0,"",VLOOKUP(Calc!B36,Calc!$C$4:$N$39,8,0)))</f>
        <v/>
      </c>
      <c r="AB41" s="236" t="str">
        <f>IF(VLOOKUP(Calc!B36,Calc!$C$4:$Q$39,15,0)=0,"",VLOOKUP(Calc!B36,Calc!$C$4:$Q$39,15,0))</f>
        <v/>
      </c>
      <c r="AC41" s="145" t="str">
        <f>IF(IFERROR(VLOOKUP($P41,Planning!$D$7:$E$42,2,0),0)=0,IF(LEN(P41)&gt;Factors!$D$12,LEFT(P41,Factors!$D$12)&amp;".",P41),VLOOKUP($P41,Planning!$D$7:$E$42,2,0))</f>
        <v>Union S.</v>
      </c>
      <c r="AD41" s="145"/>
      <c r="AE41" s="162" t="str">
        <f t="shared" ref="AE41:AE44" si="4">O41</f>
        <v/>
      </c>
      <c r="AF41" s="163" t="str">
        <f t="shared" ref="AF41:AF44" si="5">P41</f>
        <v>Union Saint-Gilloise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0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>
        <f>IF(Planning!$T40="","",Planning!$T40)</f>
        <v>45931</v>
      </c>
      <c r="E42" s="122">
        <f>IF(Planning!$U40="","",Planning!$U40)</f>
        <v>0.875</v>
      </c>
      <c r="F42" s="130" t="str">
        <f>Planning!$Q40</f>
        <v>SSC Neapel</v>
      </c>
      <c r="G42" s="131" t="s">
        <v>4</v>
      </c>
      <c r="H42" s="130" t="str">
        <f>Planning!$S40</f>
        <v>Sporting Lissabon</v>
      </c>
      <c r="I42" s="132"/>
      <c r="J42" s="410" t="str">
        <f>Language!$E$90</f>
        <v xml:space="preserve"> - </v>
      </c>
      <c r="K42" s="133"/>
      <c r="L42" s="233"/>
      <c r="M42" s="234"/>
      <c r="N42" s="328"/>
      <c r="O42" s="373" t="str">
        <f>IF(Calc!$K$40=0,"",IF(VLOOKUP(Calc!B37,Calc!$C$4:$E$39,3,0)=MAX(O$9:O41),VLOOKUP(Calc!B37,Calc!$C$4:$E$39,3,0),Calc!B37))</f>
        <v/>
      </c>
      <c r="P42" s="374" t="str">
        <f>IF(Calc!$K$40=0,Calc2!$C37,VLOOKUP(Calc!B37,Calc!$C$4:$N$39,4,0))</f>
        <v>Tottenham Hotspur</v>
      </c>
      <c r="Q42" s="375" t="str">
        <f>IF(Calc!$K$40=0,"",VLOOKUP(Calc!B37,Calc!$C$4:$N$39,9,0))</f>
        <v/>
      </c>
      <c r="R42" s="376" t="str">
        <f>IF(Calc!$K$40=0,"",IF($Q42=0,"",VLOOKUP(Calc!B37,Calc!$C$4:$N$39,10,0)))</f>
        <v/>
      </c>
      <c r="S42" s="376" t="str">
        <f>IF(Calc!$K$40=0,"",IF($Q42=0,"",VLOOKUP(Calc!B37,Calc!$C$4:$N$39,11,0)))</f>
        <v/>
      </c>
      <c r="T42" s="377" t="str">
        <f>IF(Calc!$K$40=0,"",IF($Q42=0,"",VLOOKUP(Calc!B37,Calc!$C$4:$N$39,12,0)))</f>
        <v/>
      </c>
      <c r="U42" s="378" t="str">
        <f>IF(Calc!$K$40=0,"",IF($Q42=0,"",VLOOKUP(Calc!B37,Calc!$C$4:$N$39,5,0)))</f>
        <v/>
      </c>
      <c r="V42" s="379" t="str">
        <f>Language!$E$90</f>
        <v xml:space="preserve"> - </v>
      </c>
      <c r="W42" s="380" t="str">
        <f>IF(Calc!$K$40=0,"",IF($Q42=0,"",VLOOKUP(Calc!B37,Calc!$C$4:$N$39,6,0)))</f>
        <v/>
      </c>
      <c r="X42" s="381" t="str">
        <f>IF(Calc!$K$40=0,"",IF($Q42=0,"",VLOOKUP(Calc!B37,Calc!$C$4:$N$39,7,0)))</f>
        <v/>
      </c>
      <c r="Y42" s="382" t="str">
        <f>IF(Calc!$K$40=0,"",IF($Q42=0,"",VLOOKUP(Calc!B37,Calc!$C$4:$P$39,13,0)))</f>
        <v/>
      </c>
      <c r="Z42" s="382" t="str">
        <f>IF(Calc!$K$40=0,"",IF($Q42=0,"",VLOOKUP(Calc!B37,Calc!$C$4:$P$39,14,0)))</f>
        <v/>
      </c>
      <c r="AA42" s="383" t="str">
        <f>IF(Calc!$K$40=0,"",IF($Q42=0,"",VLOOKUP(Calc!B37,Calc!$C$4:$N$39,8,0)))</f>
        <v/>
      </c>
      <c r="AB42" s="236" t="str">
        <f>IF(VLOOKUP(Calc!B37,Calc!$C$4:$Q$39,15,0)=0,"",VLOOKUP(Calc!B37,Calc!$C$4:$Q$39,15,0))</f>
        <v/>
      </c>
      <c r="AC42" s="145" t="str">
        <f>IF(IFERROR(VLOOKUP($P42,Planning!$D$7:$E$42,2,0),0)=0,IF(LEN(P42)&gt;Factors!$D$12,LEFT(P42,Factors!$D$12)&amp;".",P42),VLOOKUP($P42,Planning!$D$7:$E$42,2,0))</f>
        <v>Tottenh.</v>
      </c>
      <c r="AD42" s="145"/>
      <c r="AE42" s="162" t="str">
        <f t="shared" si="4"/>
        <v/>
      </c>
      <c r="AF42" s="163" t="str">
        <f t="shared" si="5"/>
        <v>Tottenham Hotspur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/>
      </c>
      <c r="AL42" s="123" t="str">
        <f>IFERROR(VLOOKUP($P42&amp;AL$8,Calc2!$J$4:$L$291,3,0),"")</f>
        <v/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5" t="str">
        <f>IFERROR(VLOOKUP($P42&amp;BM$8,Calc2!$J$4:$L$291,3,0),"")</f>
        <v/>
      </c>
      <c r="BN42" s="125"/>
      <c r="BO42" s="320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>
        <f>IF(Planning!$T41="","",Planning!$T41)</f>
        <v>45931</v>
      </c>
      <c r="E43" s="122">
        <f>IF(Planning!$U41="","",Planning!$U41)</f>
        <v>0.875</v>
      </c>
      <c r="F43" s="130" t="str">
        <f>Planning!$Q41</f>
        <v>FC Villarreal</v>
      </c>
      <c r="G43" s="131" t="s">
        <v>4</v>
      </c>
      <c r="H43" s="130" t="str">
        <f>Planning!$S41</f>
        <v>Juventus Turin</v>
      </c>
      <c r="I43" s="132"/>
      <c r="J43" s="410" t="str">
        <f>Language!$E$90</f>
        <v xml:space="preserve"> - </v>
      </c>
      <c r="K43" s="133"/>
      <c r="L43" s="233"/>
      <c r="M43" s="234"/>
      <c r="N43" s="328"/>
      <c r="O43" s="373" t="str">
        <f>IF(Calc!$K$40=0,"",IF(VLOOKUP(Calc!B38,Calc!$C$4:$E$39,3,0)=MAX(O$9:O42),VLOOKUP(Calc!B38,Calc!$C$4:$E$39,3,0),Calc!B38))</f>
        <v/>
      </c>
      <c r="P43" s="374" t="str">
        <f>IF(Calc!$K$40=0,Calc2!$C38,VLOOKUP(Calc!B38,Calc!$C$4:$N$39,4,0))</f>
        <v>Juventus Turin</v>
      </c>
      <c r="Q43" s="375" t="str">
        <f>IF(Calc!$K$40=0,"",VLOOKUP(Calc!B38,Calc!$C$4:$N$39,9,0))</f>
        <v/>
      </c>
      <c r="R43" s="376" t="str">
        <f>IF(Calc!$K$40=0,"",IF($Q43=0,"",VLOOKUP(Calc!B38,Calc!$C$4:$N$39,10,0)))</f>
        <v/>
      </c>
      <c r="S43" s="376" t="str">
        <f>IF(Calc!$K$40=0,"",IF($Q43=0,"",VLOOKUP(Calc!B38,Calc!$C$4:$N$39,11,0)))</f>
        <v/>
      </c>
      <c r="T43" s="377" t="str">
        <f>IF(Calc!$K$40=0,"",IF($Q43=0,"",VLOOKUP(Calc!B38,Calc!$C$4:$N$39,12,0)))</f>
        <v/>
      </c>
      <c r="U43" s="378" t="str">
        <f>IF(Calc!$K$40=0,"",IF($Q43=0,"",VLOOKUP(Calc!B38,Calc!$C$4:$N$39,5,0)))</f>
        <v/>
      </c>
      <c r="V43" s="379" t="str">
        <f>Language!$E$90</f>
        <v xml:space="preserve"> - </v>
      </c>
      <c r="W43" s="380" t="str">
        <f>IF(Calc!$K$40=0,"",IF($Q43=0,"",VLOOKUP(Calc!B38,Calc!$C$4:$N$39,6,0)))</f>
        <v/>
      </c>
      <c r="X43" s="381" t="str">
        <f>IF(Calc!$K$40=0,"",IF($Q43=0,"",VLOOKUP(Calc!B38,Calc!$C$4:$N$39,7,0)))</f>
        <v/>
      </c>
      <c r="Y43" s="382" t="str">
        <f>IF(Calc!$K$40=0,"",IF($Q43=0,"",VLOOKUP(Calc!B38,Calc!$C$4:$P$39,13,0)))</f>
        <v/>
      </c>
      <c r="Z43" s="382" t="str">
        <f>IF(Calc!$K$40=0,"",IF($Q43=0,"",VLOOKUP(Calc!B38,Calc!$C$4:$P$39,14,0)))</f>
        <v/>
      </c>
      <c r="AA43" s="383" t="str">
        <f>IF(Calc!$K$40=0,"",IF($Q43=0,"",VLOOKUP(Calc!B38,Calc!$C$4:$N$39,8,0)))</f>
        <v/>
      </c>
      <c r="AB43" s="236" t="str">
        <f>IF(VLOOKUP(Calc!B38,Calc!$C$4:$Q$39,15,0)=0,"",VLOOKUP(Calc!B38,Calc!$C$4:$Q$39,15,0))</f>
        <v/>
      </c>
      <c r="AC43" s="145" t="str">
        <f>IF(IFERROR(VLOOKUP($P43,Planning!$D$7:$E$42,2,0),0)=0,IF(LEN(P43)&gt;Factors!$D$12,LEFT(P43,Factors!$D$12)&amp;".",P43),VLOOKUP($P43,Planning!$D$7:$E$42,2,0))</f>
        <v>Juventu.</v>
      </c>
      <c r="AD43" s="145"/>
      <c r="AE43" s="162" t="str">
        <f t="shared" si="4"/>
        <v/>
      </c>
      <c r="AF43" s="163" t="str">
        <f t="shared" si="5"/>
        <v>Juventus Turin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/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5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1">
        <v>36</v>
      </c>
      <c r="D44" s="262">
        <f>IF(Planning!$T42="","",Planning!$T42)</f>
        <v>45931</v>
      </c>
      <c r="E44" s="263">
        <f>IF(Planning!$U42="","",Planning!$U42)</f>
        <v>0.875</v>
      </c>
      <c r="F44" s="264" t="str">
        <f>Planning!$Q42</f>
        <v>AS Monaco</v>
      </c>
      <c r="G44" s="265" t="s">
        <v>4</v>
      </c>
      <c r="H44" s="264" t="str">
        <f>Planning!$S42</f>
        <v>Manchester City</v>
      </c>
      <c r="I44" s="266"/>
      <c r="J44" s="411" t="str">
        <f>Language!$E$90</f>
        <v xml:space="preserve"> - </v>
      </c>
      <c r="K44" s="267"/>
      <c r="L44" s="268"/>
      <c r="M44" s="269"/>
      <c r="N44" s="328"/>
      <c r="O44" s="384" t="str">
        <f>IF(Calc!$K$40=0,"",IF(VLOOKUP(Calc!B39,Calc!$C$4:$E$39,3,0)=MAX(O$9:O43),VLOOKUP(Calc!B39,Calc!$C$4:$E$39,3,0),Calc!B39))</f>
        <v/>
      </c>
      <c r="P44" s="385" t="str">
        <f>IF(Calc!$K$40=0,Calc2!$C39,VLOOKUP(Calc!B39,Calc!$C$4:$N$39,4,0))</f>
        <v>FC Villarreal</v>
      </c>
      <c r="Q44" s="386" t="str">
        <f>IF(Calc!$K$40=0,"",VLOOKUP(Calc!B39,Calc!$C$4:$N$39,9,0))</f>
        <v/>
      </c>
      <c r="R44" s="387" t="str">
        <f>IF(Calc!$K$40=0,"",IF($Q44=0,"",VLOOKUP(Calc!B39,Calc!$C$4:$N$39,10,0)))</f>
        <v/>
      </c>
      <c r="S44" s="387" t="str">
        <f>IF(Calc!$K$40=0,"",IF($Q44=0,"",VLOOKUP(Calc!B39,Calc!$C$4:$N$39,11,0)))</f>
        <v/>
      </c>
      <c r="T44" s="388" t="str">
        <f>IF(Calc!$K$40=0,"",IF($Q44=0,"",VLOOKUP(Calc!B39,Calc!$C$4:$N$39,12,0)))</f>
        <v/>
      </c>
      <c r="U44" s="389" t="str">
        <f>IF(Calc!$K$40=0,"",IF($Q44=0,"",VLOOKUP(Calc!B39,Calc!$C$4:$N$39,5,0)))</f>
        <v/>
      </c>
      <c r="V44" s="390" t="str">
        <f>Language!$E$90</f>
        <v xml:space="preserve"> - </v>
      </c>
      <c r="W44" s="391" t="str">
        <f>IF(Calc!$K$40=0,"",IF($Q44=0,"",VLOOKUP(Calc!B39,Calc!$C$4:$N$39,6,0)))</f>
        <v/>
      </c>
      <c r="X44" s="392" t="str">
        <f>IF(Calc!$K$40=0,"",IF($Q44=0,"",VLOOKUP(Calc!B39,Calc!$C$4:$N$39,7,0)))</f>
        <v/>
      </c>
      <c r="Y44" s="393" t="str">
        <f>IF(Calc!$K$40=0,"",IF($Q44=0,"",VLOOKUP(Calc!B39,Calc!$C$4:$P$39,13,0)))</f>
        <v/>
      </c>
      <c r="Z44" s="393" t="str">
        <f>IF(Calc!$K$40=0,"",IF($Q44=0,"",VLOOKUP(Calc!B39,Calc!$C$4:$P$39,14,0)))</f>
        <v/>
      </c>
      <c r="AA44" s="394" t="str">
        <f>IF(Calc!$K$40=0,"",IF($Q44=0,"",VLOOKUP(Calc!B39,Calc!$C$4:$N$39,8,0)))</f>
        <v/>
      </c>
      <c r="AB44" s="237" t="str">
        <f>IF(VLOOKUP(Calc!B39,Calc!$C$4:$Q$39,15,0)=0,"",VLOOKUP(Calc!B39,Calc!$C$4:$Q$39,15,0))</f>
        <v/>
      </c>
      <c r="AC44" s="145" t="str">
        <f>IF(IFERROR(VLOOKUP($P44,Planning!$D$7:$E$42,2,0),0)=0,IF(LEN(P44)&gt;Factors!$D$12,LEFT(P44,Factors!$D$12)&amp;".",P44),VLOOKUP($P44,Planning!$D$7:$E$42,2,0))</f>
        <v>FC Vill.</v>
      </c>
      <c r="AD44" s="145"/>
      <c r="AE44" s="164" t="str">
        <f t="shared" si="4"/>
        <v/>
      </c>
      <c r="AF44" s="165" t="str">
        <f t="shared" si="5"/>
        <v>FC Villarreal</v>
      </c>
      <c r="AG44" s="128" t="str">
        <f>IFERROR(VLOOKUP($P44&amp;AG$8,Calc2!$J$4:$L$291,3,0),"")</f>
        <v/>
      </c>
      <c r="AH44" s="127" t="str">
        <f>IFERROR(VLOOKUP($P44&amp;AH$8,Calc2!$J$4:$L$291,3,0),"")</f>
        <v/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6" t="str">
        <f>IFERROR(VLOOKUP($P44&amp;BM$8,Calc2!$J$4:$L$291,3,0),"")</f>
        <v/>
      </c>
      <c r="BN44" s="127" t="str">
        <f>IFERROR(VLOOKUP($P44&amp;BN$8,Calc2!$J$4:$L$291,3,0),"")</f>
        <v/>
      </c>
      <c r="BO44" s="321" t="str">
        <f>IFERROR(VLOOKUP($P44&amp;BO$8,Calc2!$J$4:$L$291,3,0),"")</f>
        <v/>
      </c>
      <c r="BP44" s="129"/>
    </row>
    <row r="45" spans="2:68" ht="15.95" customHeight="1" thickTop="1" x14ac:dyDescent="0.2">
      <c r="B45" s="295">
        <v>3</v>
      </c>
      <c r="C45" s="296">
        <v>37</v>
      </c>
      <c r="D45" s="297">
        <f>IF(Planning!$T43="","",Planning!$T43)</f>
        <v>45951</v>
      </c>
      <c r="E45" s="298">
        <f>IF(Planning!$U43="","",Planning!$U43)</f>
        <v>0.78125</v>
      </c>
      <c r="F45" s="299" t="str">
        <f>Planning!$Q43</f>
        <v>FC Barcelona</v>
      </c>
      <c r="G45" s="300" t="s">
        <v>4</v>
      </c>
      <c r="H45" s="299" t="str">
        <f>Planning!$S43</f>
        <v>Olympiakos Piräus</v>
      </c>
      <c r="I45" s="301"/>
      <c r="J45" s="412" t="str">
        <f>Language!$E$90</f>
        <v xml:space="preserve"> - </v>
      </c>
      <c r="K45" s="302"/>
      <c r="L45" s="303"/>
      <c r="M45" s="304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0"/>
      <c r="AF45" s="113"/>
      <c r="AG45" s="310"/>
      <c r="AH45" s="310"/>
      <c r="AI45" s="310"/>
      <c r="AJ45" s="310"/>
      <c r="AK45" s="310"/>
      <c r="AL45" s="310"/>
      <c r="AM45" s="310"/>
      <c r="AN45" s="310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>
        <f>IF(Planning!$T44="","",Planning!$T44)</f>
        <v>45951</v>
      </c>
      <c r="E46" s="122">
        <f>IF(Planning!$U44="","",Planning!$U44)</f>
        <v>0.78125</v>
      </c>
      <c r="F46" s="130" t="str">
        <f>Planning!$Q44</f>
        <v>Qairat Almaty</v>
      </c>
      <c r="G46" s="131" t="s">
        <v>4</v>
      </c>
      <c r="H46" s="130" t="str">
        <f>Planning!$S44</f>
        <v>Pafos FC</v>
      </c>
      <c r="I46" s="132"/>
      <c r="J46" s="410" t="str">
        <f>Language!$E$90</f>
        <v xml:space="preserve"> -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>
        <f>IF(Planning!$T45="","",Planning!$T45)</f>
        <v>45951</v>
      </c>
      <c r="E47" s="122">
        <f>IF(Planning!$U45="","",Planning!$U45)</f>
        <v>0.875</v>
      </c>
      <c r="F47" s="130" t="str">
        <f>Planning!$Q45</f>
        <v>FC Arsenal</v>
      </c>
      <c r="G47" s="131" t="s">
        <v>4</v>
      </c>
      <c r="H47" s="130" t="str">
        <f>Planning!$S45</f>
        <v>Atletico Madrid</v>
      </c>
      <c r="I47" s="132"/>
      <c r="J47" s="410" t="str">
        <f>Language!$E$90</f>
        <v xml:space="preserve"> - </v>
      </c>
      <c r="K47" s="133"/>
      <c r="L47" s="233"/>
      <c r="M47" s="234"/>
      <c r="O47" s="406" t="str">
        <f>Language!$E$70</f>
        <v>In case of a tie, the following criteria apply:</v>
      </c>
      <c r="P47" s="398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>
        <f>IF(Planning!$T46="","",Planning!$T46)</f>
        <v>45951</v>
      </c>
      <c r="E48" s="122">
        <f>IF(Planning!$U46="","",Planning!$U46)</f>
        <v>0.875</v>
      </c>
      <c r="F48" s="130" t="str">
        <f>Planning!$Q46</f>
        <v>Bayer 04 Leverkusen</v>
      </c>
      <c r="G48" s="131" t="s">
        <v>4</v>
      </c>
      <c r="H48" s="130" t="str">
        <f>Planning!$S46</f>
        <v>Paris St. Germain</v>
      </c>
      <c r="I48" s="132"/>
      <c r="J48" s="410" t="str">
        <f>Language!$E$90</f>
        <v xml:space="preserve"> - </v>
      </c>
      <c r="K48" s="133"/>
      <c r="L48" s="233"/>
      <c r="M48" s="234"/>
      <c r="O48" s="397"/>
      <c r="P48" s="398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145"/>
      <c r="AC48" s="145"/>
      <c r="AD48" s="145"/>
      <c r="AE48" s="308"/>
      <c r="AF48" s="309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>
        <f>IF(Planning!$T47="","",Planning!$T47)</f>
        <v>45951</v>
      </c>
      <c r="E49" s="122">
        <f>IF(Planning!$U47="","",Planning!$U47)</f>
        <v>0.875</v>
      </c>
      <c r="F49" s="130" t="str">
        <f>Planning!$Q47</f>
        <v>PSV Eindhoven</v>
      </c>
      <c r="G49" s="131" t="s">
        <v>4</v>
      </c>
      <c r="H49" s="130" t="str">
        <f>Planning!$S47</f>
        <v>SSC Neapel</v>
      </c>
      <c r="I49" s="132"/>
      <c r="J49" s="410" t="str">
        <f>Language!$E$90</f>
        <v xml:space="preserve"> - </v>
      </c>
      <c r="K49" s="133"/>
      <c r="L49" s="233"/>
      <c r="M49" s="234"/>
      <c r="O49" s="404" t="s">
        <v>5</v>
      </c>
      <c r="P49" s="399" t="str">
        <f>Language!$E$71</f>
        <v>Better goal difference</v>
      </c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145"/>
      <c r="AC49" s="145"/>
      <c r="AD49" s="145"/>
      <c r="AE49" s="308"/>
      <c r="AF49" s="309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>
        <f>IF(Planning!$T48="","",Planning!$T48)</f>
        <v>45951</v>
      </c>
      <c r="E50" s="122">
        <f>IF(Planning!$U48="","",Planning!$U48)</f>
        <v>0.875</v>
      </c>
      <c r="F50" s="130" t="str">
        <f>Planning!$Q48</f>
        <v>FC Villarreal</v>
      </c>
      <c r="G50" s="131" t="s">
        <v>4</v>
      </c>
      <c r="H50" s="130" t="str">
        <f>Planning!$S48</f>
        <v>Manchester City</v>
      </c>
      <c r="I50" s="132"/>
      <c r="J50" s="410" t="str">
        <f>Language!$E$90</f>
        <v xml:space="preserve"> - </v>
      </c>
      <c r="K50" s="133"/>
      <c r="L50" s="233"/>
      <c r="M50" s="234"/>
      <c r="O50" s="404" t="s">
        <v>6</v>
      </c>
      <c r="P50" s="403" t="str">
        <f>Language!$E$72</f>
        <v>Higher number of goals scored</v>
      </c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145"/>
      <c r="AC50" s="145"/>
      <c r="AD50" s="145"/>
      <c r="AE50" s="308"/>
      <c r="AF50" s="309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>
        <f>IF(Planning!$T49="","",Planning!$T49)</f>
        <v>45951</v>
      </c>
      <c r="E51" s="122">
        <f>IF(Planning!$U49="","",Planning!$U49)</f>
        <v>0.875</v>
      </c>
      <c r="F51" s="130" t="str">
        <f>Planning!$Q49</f>
        <v>FC Kopenhagen</v>
      </c>
      <c r="G51" s="131" t="s">
        <v>4</v>
      </c>
      <c r="H51" s="130" t="str">
        <f>Planning!$S49</f>
        <v>Borussia Dortmund</v>
      </c>
      <c r="I51" s="132"/>
      <c r="J51" s="410" t="str">
        <f>Language!$E$90</f>
        <v xml:space="preserve"> - </v>
      </c>
      <c r="K51" s="133"/>
      <c r="L51" s="233"/>
      <c r="M51" s="234"/>
      <c r="O51" s="404" t="s">
        <v>7</v>
      </c>
      <c r="P51" s="403" t="str">
        <f>Language!$E$73</f>
        <v>Higher number of away goals scored</v>
      </c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145"/>
      <c r="AC51" s="145"/>
      <c r="AD51" s="145"/>
      <c r="AE51" s="308"/>
      <c r="AF51" s="309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>
        <f>IF(Planning!$T50="","",Planning!$T50)</f>
        <v>45951</v>
      </c>
      <c r="E52" s="122">
        <f>IF(Planning!$U50="","",Planning!$U50)</f>
        <v>0.875</v>
      </c>
      <c r="F52" s="130" t="str">
        <f>Planning!$Q50</f>
        <v>Union Saint-Gilloise</v>
      </c>
      <c r="G52" s="131" t="s">
        <v>4</v>
      </c>
      <c r="H52" s="130" t="str">
        <f>Planning!$S50</f>
        <v>Inter Mailand</v>
      </c>
      <c r="I52" s="132"/>
      <c r="J52" s="410" t="str">
        <f>Language!$E$90</f>
        <v xml:space="preserve"> - </v>
      </c>
      <c r="K52" s="133"/>
      <c r="L52" s="233"/>
      <c r="M52" s="234"/>
      <c r="O52" s="404" t="s">
        <v>8</v>
      </c>
      <c r="P52" s="403" t="str">
        <f>Language!$E$74</f>
        <v>Higher number of wins</v>
      </c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145"/>
      <c r="AC52" s="145"/>
      <c r="AD52" s="145"/>
      <c r="AE52" s="308"/>
      <c r="AF52" s="309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>
        <f>IF(Planning!$T51="","",Planning!$T51)</f>
        <v>45951</v>
      </c>
      <c r="E53" s="122">
        <f>IF(Planning!$U51="","",Planning!$U51)</f>
        <v>0.875</v>
      </c>
      <c r="F53" s="130" t="str">
        <f>Planning!$Q51</f>
        <v>Newcastle United</v>
      </c>
      <c r="G53" s="131" t="s">
        <v>4</v>
      </c>
      <c r="H53" s="130" t="str">
        <f>Planning!$S51</f>
        <v>Benfica Lissabon</v>
      </c>
      <c r="I53" s="132"/>
      <c r="J53" s="410" t="str">
        <f>Language!$E$90</f>
        <v xml:space="preserve"> - </v>
      </c>
      <c r="K53" s="133"/>
      <c r="L53" s="233"/>
      <c r="M53" s="234"/>
      <c r="O53" s="404" t="s">
        <v>9</v>
      </c>
      <c r="P53" s="403" t="str">
        <f>Language!$E$75</f>
        <v>Higher number of away wins</v>
      </c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145"/>
      <c r="AC53" s="145"/>
      <c r="AD53" s="145"/>
      <c r="AE53" s="308"/>
      <c r="AF53" s="309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IF(Planning!$T52="","",Planning!$T52)</f>
        <v>45952</v>
      </c>
      <c r="E54" s="122">
        <f>IF(Planning!$U52="","",Planning!$U52)</f>
        <v>0.78125</v>
      </c>
      <c r="F54" s="130" t="str">
        <f>Planning!$Q52</f>
        <v>Galatasaray SK</v>
      </c>
      <c r="G54" s="131" t="s">
        <v>4</v>
      </c>
      <c r="H54" s="130" t="str">
        <f>Planning!$S52</f>
        <v>FK Bodö/Glimt</v>
      </c>
      <c r="I54" s="132"/>
      <c r="J54" s="410" t="str">
        <f>Language!$E$90</f>
        <v xml:space="preserve"> - </v>
      </c>
      <c r="K54" s="133"/>
      <c r="L54" s="233"/>
      <c r="M54" s="234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145"/>
      <c r="AC54" s="145"/>
      <c r="AD54" s="145"/>
      <c r="AE54" s="308"/>
      <c r="AF54" s="309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>
        <f>IF(Planning!$T53="","",Planning!$T53)</f>
        <v>45952</v>
      </c>
      <c r="E55" s="122">
        <f>IF(Planning!$U53="","",Planning!$U53)</f>
        <v>0.78125</v>
      </c>
      <c r="F55" s="130" t="str">
        <f>Planning!$Q53</f>
        <v>Athletic Bilbao</v>
      </c>
      <c r="G55" s="131" t="s">
        <v>4</v>
      </c>
      <c r="H55" s="130" t="str">
        <f>Planning!$S53</f>
        <v>Qarabag Agdam</v>
      </c>
      <c r="I55" s="132"/>
      <c r="J55" s="410" t="str">
        <f>Language!$E$90</f>
        <v xml:space="preserve"> - </v>
      </c>
      <c r="K55" s="133"/>
      <c r="L55" s="233"/>
      <c r="M55" s="234"/>
      <c r="O55" s="201" t="str">
        <f>Language!$E$76</f>
        <v>These five criteria are taken into account in the table above.</v>
      </c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145"/>
      <c r="AC55" s="145"/>
      <c r="AD55" s="145"/>
      <c r="AE55" s="308"/>
      <c r="AF55" s="309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>
        <f>IF(Planning!$T54="","",Planning!$T54)</f>
        <v>45952</v>
      </c>
      <c r="E56" s="122">
        <f>IF(Planning!$U54="","",Planning!$U54)</f>
        <v>0.875</v>
      </c>
      <c r="F56" s="130" t="str">
        <f>Planning!$Q54</f>
        <v>Bayern München</v>
      </c>
      <c r="G56" s="131" t="s">
        <v>4</v>
      </c>
      <c r="H56" s="130" t="str">
        <f>Planning!$S54</f>
        <v>Club Brügge</v>
      </c>
      <c r="I56" s="132"/>
      <c r="J56" s="410" t="str">
        <f>Language!$E$90</f>
        <v xml:space="preserve"> - </v>
      </c>
      <c r="K56" s="133"/>
      <c r="L56" s="233"/>
      <c r="M56" s="234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145"/>
      <c r="AC56" s="145"/>
      <c r="AD56" s="145"/>
      <c r="AE56" s="308"/>
      <c r="AF56" s="309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>
        <f>IF(Planning!$T55="","",Planning!$T55)</f>
        <v>45952</v>
      </c>
      <c r="E57" s="122">
        <f>IF(Planning!$U55="","",Planning!$U55)</f>
        <v>0.875</v>
      </c>
      <c r="F57" s="130" t="str">
        <f>Planning!$Q55</f>
        <v>Real Madrid</v>
      </c>
      <c r="G57" s="131" t="s">
        <v>4</v>
      </c>
      <c r="H57" s="130" t="str">
        <f>Planning!$S55</f>
        <v>Juventus Turin</v>
      </c>
      <c r="I57" s="132"/>
      <c r="J57" s="410" t="str">
        <f>Language!$E$90</f>
        <v xml:space="preserve"> - </v>
      </c>
      <c r="K57" s="133"/>
      <c r="L57" s="233"/>
      <c r="M57" s="234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400"/>
      <c r="AB57" s="225"/>
      <c r="AC57" s="118"/>
      <c r="AD57" s="119"/>
      <c r="AE57" s="308"/>
      <c r="AF57" s="309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>
        <f>IF(Planning!$T56="","",Planning!$T56)</f>
        <v>45952</v>
      </c>
      <c r="E58" s="122">
        <f>IF(Planning!$U56="","",Planning!$U56)</f>
        <v>0.875</v>
      </c>
      <c r="F58" s="130" t="str">
        <f>Planning!$Q56</f>
        <v>FC Chelsea</v>
      </c>
      <c r="G58" s="131" t="s">
        <v>4</v>
      </c>
      <c r="H58" s="130" t="str">
        <f>Planning!$S56</f>
        <v>Ajax Amsterdam</v>
      </c>
      <c r="I58" s="132"/>
      <c r="J58" s="410" t="str">
        <f>Language!$E$90</f>
        <v xml:space="preserve"> - </v>
      </c>
      <c r="K58" s="133"/>
      <c r="L58" s="233"/>
      <c r="M58" s="234"/>
      <c r="O58" s="407" t="str">
        <f>Language!$E$77</f>
        <v>At the end of the league phase, in the event of a tie, the following criteria will also be used:</v>
      </c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400"/>
      <c r="AB58" s="225"/>
      <c r="AC58" s="118"/>
      <c r="AD58" s="119"/>
      <c r="AE58" s="308"/>
      <c r="AF58" s="309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>
        <f>IF(Planning!$T57="","",Planning!$T57)</f>
        <v>45952</v>
      </c>
      <c r="E59" s="122">
        <f>IF(Planning!$U57="","",Planning!$U57)</f>
        <v>0.875</v>
      </c>
      <c r="F59" s="130" t="str">
        <f>Planning!$Q57</f>
        <v>Atalanta Bergamo</v>
      </c>
      <c r="G59" s="131" t="s">
        <v>4</v>
      </c>
      <c r="H59" s="130" t="str">
        <f>Planning!$S57</f>
        <v>Salva Prag</v>
      </c>
      <c r="I59" s="132"/>
      <c r="J59" s="410" t="str">
        <f>Language!$E$90</f>
        <v xml:space="preserve"> - </v>
      </c>
      <c r="K59" s="133"/>
      <c r="L59" s="233"/>
      <c r="M59" s="234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400"/>
      <c r="AB59" s="225"/>
      <c r="AC59" s="118"/>
      <c r="AD59" s="119"/>
      <c r="AE59" s="308"/>
      <c r="AF59" s="309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>
        <f>IF(Planning!$T58="","",Planning!$T58)</f>
        <v>45952</v>
      </c>
      <c r="E60" s="122">
        <f>IF(Planning!$U58="","",Planning!$U58)</f>
        <v>0.875</v>
      </c>
      <c r="F60" s="130" t="str">
        <f>Planning!$Q58</f>
        <v>Eintracht Frankfurt</v>
      </c>
      <c r="G60" s="131" t="s">
        <v>4</v>
      </c>
      <c r="H60" s="130" t="str">
        <f>Planning!$S58</f>
        <v>FC Liverpool</v>
      </c>
      <c r="I60" s="132"/>
      <c r="J60" s="410" t="str">
        <f>Language!$E$90</f>
        <v xml:space="preserve"> - </v>
      </c>
      <c r="K60" s="133"/>
      <c r="L60" s="233"/>
      <c r="M60" s="234"/>
      <c r="O60" s="408" t="s">
        <v>10</v>
      </c>
      <c r="P60" s="403" t="str">
        <f>Language!$E$78</f>
        <v>Higher number of points earned by the eight opponents of the club in question</v>
      </c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400"/>
      <c r="AB60" s="225"/>
      <c r="AC60" s="118"/>
      <c r="AD60" s="119"/>
      <c r="AE60" s="308"/>
      <c r="AF60" s="309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>
        <f>IF(Planning!$T59="","",Planning!$T59)</f>
        <v>45952</v>
      </c>
      <c r="E61" s="122">
        <f>IF(Planning!$U59="","",Planning!$U59)</f>
        <v>0.875</v>
      </c>
      <c r="F61" s="130" t="str">
        <f>Planning!$Q59</f>
        <v>Sporting Lissabon</v>
      </c>
      <c r="G61" s="131" t="s">
        <v>4</v>
      </c>
      <c r="H61" s="130" t="str">
        <f>Planning!$S59</f>
        <v>Olympique Marseille</v>
      </c>
      <c r="I61" s="132"/>
      <c r="J61" s="410" t="str">
        <f>Language!$E$90</f>
        <v xml:space="preserve"> - </v>
      </c>
      <c r="K61" s="133"/>
      <c r="L61" s="233"/>
      <c r="M61" s="234"/>
      <c r="O61" s="405" t="s">
        <v>13</v>
      </c>
      <c r="P61" s="403" t="str">
        <f>Language!$E$79</f>
        <v>Better combined goal difference of the eight opponents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159"/>
      <c r="AC61" s="159"/>
      <c r="AD61" s="159"/>
      <c r="AE61" s="308"/>
      <c r="AF61" s="309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1">
        <v>54</v>
      </c>
      <c r="D62" s="262">
        <f>IF(Planning!$T60="","",Planning!$T60)</f>
        <v>45952</v>
      </c>
      <c r="E62" s="263">
        <f>IF(Planning!$U60="","",Planning!$U60)</f>
        <v>0.875</v>
      </c>
      <c r="F62" s="264" t="str">
        <f>Planning!$Q60</f>
        <v>AS Monaco</v>
      </c>
      <c r="G62" s="265" t="s">
        <v>4</v>
      </c>
      <c r="H62" s="264" t="str">
        <f>Planning!$S60</f>
        <v>Tottenham Hotspur</v>
      </c>
      <c r="I62" s="266"/>
      <c r="J62" s="411" t="str">
        <f>Language!$E$90</f>
        <v xml:space="preserve"> - </v>
      </c>
      <c r="K62" s="267"/>
      <c r="L62" s="268"/>
      <c r="M62" s="269"/>
      <c r="O62" s="405" t="s">
        <v>14</v>
      </c>
      <c r="P62" s="403" t="str">
        <f>Language!$E$80</f>
        <v>Higher number of goals scored by the eight opponents</v>
      </c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159"/>
      <c r="AC62" s="159"/>
      <c r="AD62" s="159"/>
      <c r="AE62" s="308"/>
      <c r="AF62" s="309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5">
        <v>4</v>
      </c>
      <c r="C63" s="296">
        <v>55</v>
      </c>
      <c r="D63" s="297">
        <f>IF(Planning!$T61="","",Planning!$T61)</f>
        <v>45965</v>
      </c>
      <c r="E63" s="298">
        <f>IF(Planning!$U61="","",Planning!$U61)</f>
        <v>0.78125</v>
      </c>
      <c r="F63" s="299" t="str">
        <f>Planning!$Q61</f>
        <v>SSC Neapel</v>
      </c>
      <c r="G63" s="300" t="s">
        <v>4</v>
      </c>
      <c r="H63" s="299" t="str">
        <f>Planning!$S61</f>
        <v>Eintracht Frankfurt</v>
      </c>
      <c r="I63" s="301"/>
      <c r="J63" s="412" t="str">
        <f>Language!$E$90</f>
        <v xml:space="preserve"> - </v>
      </c>
      <c r="K63" s="302"/>
      <c r="L63" s="303"/>
      <c r="M63" s="304"/>
      <c r="O63" s="405" t="s">
        <v>15</v>
      </c>
      <c r="P63" s="399" t="str">
        <f>Language!$E$81</f>
        <v>Fair play rating</v>
      </c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157"/>
      <c r="AC63" s="157"/>
      <c r="AD63" s="157"/>
      <c r="AE63" s="308"/>
      <c r="AF63" s="309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>
        <f>IF(Planning!$T62="","",Planning!$T62)</f>
        <v>45965</v>
      </c>
      <c r="E64" s="122">
        <f>IF(Planning!$U62="","",Planning!$U62)</f>
        <v>0.78125</v>
      </c>
      <c r="F64" s="130" t="str">
        <f>Planning!$Q62</f>
        <v>Salva Prag</v>
      </c>
      <c r="G64" s="131" t="s">
        <v>4</v>
      </c>
      <c r="H64" s="130" t="str">
        <f>Planning!$S62</f>
        <v>FC Arsenal</v>
      </c>
      <c r="I64" s="132"/>
      <c r="J64" s="410" t="str">
        <f>Language!$E$90</f>
        <v xml:space="preserve"> - </v>
      </c>
      <c r="K64" s="133"/>
      <c r="L64" s="233"/>
      <c r="M64" s="234"/>
      <c r="O64" s="405" t="s">
        <v>21</v>
      </c>
      <c r="P64" s="399" t="str">
        <f>Language!$E$82</f>
        <v>UEFA coefficient</v>
      </c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117"/>
      <c r="AC64" s="188"/>
      <c r="AD64" s="117"/>
      <c r="AE64" s="308"/>
      <c r="AF64" s="309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>
        <f>IF(Planning!$T63="","",Planning!$T63)</f>
        <v>45965</v>
      </c>
      <c r="E65" s="122">
        <f>IF(Planning!$U63="","",Planning!$U63)</f>
        <v>0.875</v>
      </c>
      <c r="F65" s="130" t="str">
        <f>Planning!$Q63</f>
        <v>Paris St. Germain</v>
      </c>
      <c r="G65" s="131" t="s">
        <v>4</v>
      </c>
      <c r="H65" s="130" t="str">
        <f>Planning!$S63</f>
        <v>Bayern München</v>
      </c>
      <c r="I65" s="132"/>
      <c r="J65" s="410" t="str">
        <f>Language!$E$90</f>
        <v xml:space="preserve"> - </v>
      </c>
      <c r="K65" s="133"/>
      <c r="L65" s="233"/>
      <c r="M65" s="234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145"/>
      <c r="AC65" s="145"/>
      <c r="AD65" s="145"/>
      <c r="AE65" s="308"/>
      <c r="AF65" s="309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>
        <f>IF(Planning!$T64="","",Planning!$T64)</f>
        <v>45965</v>
      </c>
      <c r="E66" s="122">
        <f>IF(Planning!$U64="","",Planning!$U64)</f>
        <v>0.875</v>
      </c>
      <c r="F66" s="130" t="str">
        <f>Planning!$Q64</f>
        <v>FC Liverpool</v>
      </c>
      <c r="G66" s="131" t="s">
        <v>4</v>
      </c>
      <c r="H66" s="130" t="str">
        <f>Planning!$S64</f>
        <v>Real Madrid</v>
      </c>
      <c r="I66" s="132"/>
      <c r="J66" s="410" t="str">
        <f>Language!$E$90</f>
        <v xml:space="preserve"> - </v>
      </c>
      <c r="K66" s="133"/>
      <c r="L66" s="233"/>
      <c r="M66" s="234"/>
      <c r="O66" s="201" t="str">
        <f>Language!$E$83</f>
        <v>Should this happen, a bonus point can be entered for the better team on the 'Tie_Break' sheet.</v>
      </c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145"/>
      <c r="AC66" s="145"/>
      <c r="AD66" s="145"/>
      <c r="AE66" s="308"/>
      <c r="AF66" s="309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>
        <f>IF(Planning!$T65="","",Planning!$T65)</f>
        <v>45965</v>
      </c>
      <c r="E67" s="122">
        <f>IF(Planning!$U65="","",Planning!$U65)</f>
        <v>0.875</v>
      </c>
      <c r="F67" s="130" t="str">
        <f>Planning!$Q65</f>
        <v>Juventus Turin</v>
      </c>
      <c r="G67" s="131" t="s">
        <v>4</v>
      </c>
      <c r="H67" s="130" t="str">
        <f>Planning!$S65</f>
        <v>Sporting Lissabon</v>
      </c>
      <c r="I67" s="132"/>
      <c r="J67" s="410" t="str">
        <f>Language!$E$90</f>
        <v xml:space="preserve"> - </v>
      </c>
      <c r="K67" s="133"/>
      <c r="L67" s="233"/>
      <c r="M67" s="234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145"/>
      <c r="AC67" s="145"/>
      <c r="AD67" s="145"/>
      <c r="AE67" s="308"/>
      <c r="AF67" s="309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>
        <f>IF(Planning!$T66="","",Planning!$T66)</f>
        <v>45965</v>
      </c>
      <c r="E68" s="122">
        <f>IF(Planning!$U66="","",Planning!$U66)</f>
        <v>0.875</v>
      </c>
      <c r="F68" s="130" t="str">
        <f>Planning!$Q66</f>
        <v>Atletico Madrid</v>
      </c>
      <c r="G68" s="131" t="s">
        <v>4</v>
      </c>
      <c r="H68" s="130" t="str">
        <f>Planning!$S66</f>
        <v>Union Saint-Gilloise</v>
      </c>
      <c r="I68" s="132"/>
      <c r="J68" s="410" t="str">
        <f>Language!$E$90</f>
        <v xml:space="preserve"> - </v>
      </c>
      <c r="K68" s="133"/>
      <c r="L68" s="233"/>
      <c r="M68" s="234"/>
      <c r="O68" s="407" t="str">
        <f>Language!$E$84</f>
        <v>For comparison:</v>
      </c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145"/>
      <c r="AC68" s="145"/>
      <c r="AD68" s="145"/>
      <c r="AE68" s="308"/>
      <c r="AF68" s="309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>
        <f>IF(Planning!$T67="","",Planning!$T67)</f>
        <v>45965</v>
      </c>
      <c r="E69" s="122">
        <f>IF(Planning!$U67="","",Planning!$U67)</f>
        <v>0.875</v>
      </c>
      <c r="F69" s="130" t="str">
        <f>Planning!$Q67</f>
        <v>Tottenham Hotspur</v>
      </c>
      <c r="G69" s="131" t="s">
        <v>4</v>
      </c>
      <c r="H69" s="130" t="str">
        <f>Planning!$S67</f>
        <v>FC Kopenhagen</v>
      </c>
      <c r="I69" s="132"/>
      <c r="J69" s="410" t="str">
        <f>Language!$E$90</f>
        <v xml:space="preserve"> - </v>
      </c>
      <c r="K69" s="133"/>
      <c r="L69" s="233"/>
      <c r="M69" s="234"/>
      <c r="O69" s="487" t="s">
        <v>196</v>
      </c>
      <c r="P69" s="487"/>
      <c r="Q69" s="487"/>
      <c r="R69" s="487"/>
      <c r="S69" s="487"/>
      <c r="T69" s="399"/>
      <c r="U69" s="399"/>
      <c r="V69" s="399"/>
      <c r="W69" s="399"/>
      <c r="X69" s="399"/>
      <c r="Y69" s="399"/>
      <c r="Z69" s="399"/>
      <c r="AA69" s="399"/>
      <c r="AB69" s="145"/>
      <c r="AC69" s="145"/>
      <c r="AD69" s="145"/>
      <c r="AE69" s="308"/>
      <c r="AF69" s="309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>
        <f>IF(Planning!$T68="","",Planning!$T68)</f>
        <v>45965</v>
      </c>
      <c r="E70" s="122">
        <f>IF(Planning!$U68="","",Planning!$U68)</f>
        <v>0.875</v>
      </c>
      <c r="F70" s="130" t="str">
        <f>Planning!$Q68</f>
        <v>FK Bodö/Glimt</v>
      </c>
      <c r="G70" s="131" t="s">
        <v>4</v>
      </c>
      <c r="H70" s="130" t="str">
        <f>Planning!$S68</f>
        <v>AS Monaco</v>
      </c>
      <c r="I70" s="132"/>
      <c r="J70" s="410" t="str">
        <f>Language!$E$90</f>
        <v xml:space="preserve"> - </v>
      </c>
      <c r="K70" s="133"/>
      <c r="L70" s="233"/>
      <c r="M70" s="234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145"/>
      <c r="AC70" s="145"/>
      <c r="AD70" s="145"/>
      <c r="AE70" s="308"/>
      <c r="AF70" s="309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>
        <f>IF(Planning!$T69="","",Planning!$T69)</f>
        <v>45965</v>
      </c>
      <c r="E71" s="122">
        <f>IF(Planning!$U69="","",Planning!$U69)</f>
        <v>0.875</v>
      </c>
      <c r="F71" s="130" t="str">
        <f>Planning!$Q69</f>
        <v>Olympiakos Piräus</v>
      </c>
      <c r="G71" s="131" t="s">
        <v>4</v>
      </c>
      <c r="H71" s="130" t="str">
        <f>Planning!$S69</f>
        <v>PSV Eindhoven</v>
      </c>
      <c r="I71" s="132"/>
      <c r="J71" s="410" t="str">
        <f>Language!$E$90</f>
        <v xml:space="preserve"> - </v>
      </c>
      <c r="K71" s="133"/>
      <c r="L71" s="233"/>
      <c r="M71" s="234"/>
      <c r="O71" s="407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IF(Planning!$T70="","",Planning!$T70)</f>
        <v>45966</v>
      </c>
      <c r="E72" s="122">
        <f>IF(Planning!$U70="","",Planning!$U70)</f>
        <v>0.78125</v>
      </c>
      <c r="F72" s="130" t="str">
        <f>Planning!$Q70</f>
        <v>Qarabag Agdam</v>
      </c>
      <c r="G72" s="131" t="s">
        <v>4</v>
      </c>
      <c r="H72" s="130" t="str">
        <f>Planning!$S70</f>
        <v>FC Chelsea</v>
      </c>
      <c r="I72" s="132"/>
      <c r="J72" s="410" t="str">
        <f>Language!$E$90</f>
        <v xml:space="preserve"> - </v>
      </c>
      <c r="K72" s="133"/>
      <c r="L72" s="233"/>
      <c r="M72" s="234"/>
      <c r="O72" s="415" t="s">
        <v>198</v>
      </c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>
        <f>IF(Planning!$T71="","",Planning!$T71)</f>
        <v>45966</v>
      </c>
      <c r="E73" s="122">
        <f>IF(Planning!$U71="","",Planning!$U71)</f>
        <v>0.78125</v>
      </c>
      <c r="F73" s="130" t="str">
        <f>Planning!$Q71</f>
        <v>Pafos FC</v>
      </c>
      <c r="G73" s="131" t="s">
        <v>4</v>
      </c>
      <c r="H73" s="130" t="str">
        <f>Planning!$S71</f>
        <v>FC Villarreal</v>
      </c>
      <c r="I73" s="132"/>
      <c r="J73" s="410" t="str">
        <f>Language!$E$90</f>
        <v xml:space="preserve"> - </v>
      </c>
      <c r="K73" s="133"/>
      <c r="L73" s="233"/>
      <c r="M73" s="234"/>
      <c r="O73" s="407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>
        <f>IF(Planning!$T72="","",Planning!$T72)</f>
        <v>45966</v>
      </c>
      <c r="E74" s="122">
        <f>IF(Planning!$U72="","",Planning!$U72)</f>
        <v>0.875</v>
      </c>
      <c r="F74" s="130" t="str">
        <f>Planning!$Q72</f>
        <v>Manchester City</v>
      </c>
      <c r="G74" s="131" t="s">
        <v>4</v>
      </c>
      <c r="H74" s="130" t="str">
        <f>Planning!$S72</f>
        <v>Borussia Dortmund</v>
      </c>
      <c r="I74" s="132"/>
      <c r="J74" s="410" t="str">
        <f>Language!$E$90</f>
        <v xml:space="preserve"> - </v>
      </c>
      <c r="K74" s="133"/>
      <c r="L74" s="233"/>
      <c r="M74" s="234"/>
      <c r="O74" s="487" t="s">
        <v>200</v>
      </c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  <c r="AA74" s="487"/>
      <c r="AB74" s="487"/>
      <c r="AC74" s="487"/>
      <c r="AD74" s="487"/>
      <c r="AE74" s="487"/>
      <c r="AF74" s="487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>
        <f>IF(Planning!$T73="","",Planning!$T73)</f>
        <v>45966</v>
      </c>
      <c r="E75" s="122">
        <f>IF(Planning!$U73="","",Planning!$U73)</f>
        <v>0.875</v>
      </c>
      <c r="F75" s="130" t="str">
        <f>Planning!$Q73</f>
        <v>Inter Mailand</v>
      </c>
      <c r="G75" s="131" t="s">
        <v>4</v>
      </c>
      <c r="H75" s="130" t="str">
        <f>Planning!$S73</f>
        <v>Qairat Almaty</v>
      </c>
      <c r="I75" s="132"/>
      <c r="J75" s="410" t="str">
        <f>Language!$E$90</f>
        <v xml:space="preserve"> - </v>
      </c>
      <c r="K75" s="133"/>
      <c r="L75" s="233"/>
      <c r="M75" s="234"/>
      <c r="AG75" s="414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>
        <f>IF(Planning!$T74="","",Planning!$T74)</f>
        <v>45966</v>
      </c>
      <c r="E76" s="122">
        <f>IF(Planning!$U74="","",Planning!$U74)</f>
        <v>0.875</v>
      </c>
      <c r="F76" s="130" t="str">
        <f>Planning!$Q74</f>
        <v>Ajax Amsterdam</v>
      </c>
      <c r="G76" s="131" t="s">
        <v>4</v>
      </c>
      <c r="H76" s="130" t="str">
        <f>Planning!$S74</f>
        <v>Galatasaray SK</v>
      </c>
      <c r="I76" s="132"/>
      <c r="J76" s="410" t="str">
        <f>Language!$E$90</f>
        <v xml:space="preserve"> -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8"/>
      <c r="AF76" s="309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>
        <f>IF(Planning!$T75="","",Planning!$T75)</f>
        <v>45966</v>
      </c>
      <c r="E77" s="122">
        <f>IF(Planning!$U75="","",Planning!$U75)</f>
        <v>0.875</v>
      </c>
      <c r="F77" s="130" t="str">
        <f>Planning!$Q75</f>
        <v>Benfica Lissabon</v>
      </c>
      <c r="G77" s="131" t="s">
        <v>4</v>
      </c>
      <c r="H77" s="130" t="str">
        <f>Planning!$S75</f>
        <v>Bayer 04 Leverkusen</v>
      </c>
      <c r="I77" s="132"/>
      <c r="J77" s="410" t="str">
        <f>Language!$E$90</f>
        <v xml:space="preserve"> - </v>
      </c>
      <c r="K77" s="133"/>
      <c r="L77" s="233"/>
      <c r="M77" s="234"/>
      <c r="O77" s="416"/>
      <c r="P77" s="417"/>
      <c r="Q77" s="202" t="str">
        <f>$Q$8</f>
        <v>Pl</v>
      </c>
      <c r="R77" s="203" t="str">
        <f>$R$8</f>
        <v>W</v>
      </c>
      <c r="S77" s="203" t="str">
        <f>$S$8</f>
        <v>D</v>
      </c>
      <c r="T77" s="413" t="str">
        <f>$T$8</f>
        <v>L</v>
      </c>
      <c r="U77" s="484" t="str">
        <f>$U$8</f>
        <v>GF  -  GA</v>
      </c>
      <c r="V77" s="485"/>
      <c r="W77" s="486"/>
      <c r="X77" s="203" t="str">
        <f>$X$8</f>
        <v>GD</v>
      </c>
      <c r="Y77" s="413" t="str">
        <f>$Y$8</f>
        <v>AGls</v>
      </c>
      <c r="Z77" s="413" t="str">
        <f>$Z$8</f>
        <v>AWin</v>
      </c>
      <c r="AA77" s="205" t="str">
        <f>$AA$8</f>
        <v>Pts</v>
      </c>
      <c r="AB77" s="228" t="str">
        <f>$AB$8</f>
        <v>PenPts</v>
      </c>
      <c r="AC77" s="113"/>
      <c r="AD77" s="113"/>
      <c r="AE77" s="308"/>
      <c r="AF77" s="309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>
        <f>IF(Planning!$T76="","",Planning!$T76)</f>
        <v>45966</v>
      </c>
      <c r="E78" s="122">
        <f>IF(Planning!$U76="","",Planning!$U76)</f>
        <v>0.875</v>
      </c>
      <c r="F78" s="130" t="str">
        <f>Planning!$Q76</f>
        <v>Club Brügge</v>
      </c>
      <c r="G78" s="131" t="s">
        <v>4</v>
      </c>
      <c r="H78" s="130" t="str">
        <f>Planning!$S76</f>
        <v>FC Barcelona</v>
      </c>
      <c r="I78" s="132"/>
      <c r="J78" s="410" t="str">
        <f>Language!$E$90</f>
        <v xml:space="preserve"> - </v>
      </c>
      <c r="K78" s="133"/>
      <c r="L78" s="233"/>
      <c r="M78" s="234"/>
      <c r="O78" s="329" t="str">
        <f t="array" ref="O78:AB113">IF($O$9:$AB$44="","",$O$9:$AB$44)</f>
        <v/>
      </c>
      <c r="P78" s="330" t="str">
        <v>Qarabag Agdam</v>
      </c>
      <c r="Q78" s="331" t="str">
        <v/>
      </c>
      <c r="R78" s="332" t="str">
        <v/>
      </c>
      <c r="S78" s="332" t="str">
        <v/>
      </c>
      <c r="T78" s="333" t="str">
        <v/>
      </c>
      <c r="U78" s="334" t="str">
        <v/>
      </c>
      <c r="V78" s="335" t="str">
        <v xml:space="preserve"> - </v>
      </c>
      <c r="W78" s="336" t="str">
        <v/>
      </c>
      <c r="X78" s="337" t="str">
        <v/>
      </c>
      <c r="Y78" s="338" t="str">
        <v/>
      </c>
      <c r="Z78" s="338" t="str">
        <v/>
      </c>
      <c r="AA78" s="339" t="str">
        <v/>
      </c>
      <c r="AB78" s="235" t="str">
        <v/>
      </c>
      <c r="AC78" s="113"/>
      <c r="AD78" s="113"/>
      <c r="AE78" s="308"/>
      <c r="AF78" s="309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>
        <f>IF(Planning!$T77="","",Planning!$T77)</f>
        <v>45966</v>
      </c>
      <c r="E79" s="122">
        <f>IF(Planning!$U77="","",Planning!$U77)</f>
        <v>0.875</v>
      </c>
      <c r="F79" s="130" t="str">
        <f>Planning!$Q77</f>
        <v>Olympique Marseille</v>
      </c>
      <c r="G79" s="131" t="s">
        <v>4</v>
      </c>
      <c r="H79" s="130" t="str">
        <f>Planning!$S77</f>
        <v>Atalanta Bergamo</v>
      </c>
      <c r="I79" s="132"/>
      <c r="J79" s="410" t="str">
        <f>Language!$E$90</f>
        <v xml:space="preserve"> - </v>
      </c>
      <c r="K79" s="133"/>
      <c r="L79" s="233"/>
      <c r="M79" s="234"/>
      <c r="O79" s="340" t="str">
        <v/>
      </c>
      <c r="P79" s="341" t="str">
        <v>Qairat Almaty</v>
      </c>
      <c r="Q79" s="342" t="str">
        <v/>
      </c>
      <c r="R79" s="343" t="str">
        <v/>
      </c>
      <c r="S79" s="343" t="str">
        <v/>
      </c>
      <c r="T79" s="344" t="str">
        <v/>
      </c>
      <c r="U79" s="345" t="str">
        <v/>
      </c>
      <c r="V79" s="346" t="str">
        <v xml:space="preserve"> - </v>
      </c>
      <c r="W79" s="347" t="str">
        <v/>
      </c>
      <c r="X79" s="348" t="str">
        <v/>
      </c>
      <c r="Y79" s="349" t="str">
        <v/>
      </c>
      <c r="Z79" s="349" t="str">
        <v/>
      </c>
      <c r="AA79" s="350" t="str">
        <v/>
      </c>
      <c r="AB79" s="236" t="str">
        <v/>
      </c>
      <c r="AC79" s="113"/>
      <c r="AD79" s="113"/>
      <c r="AE79" s="308"/>
      <c r="AF79" s="309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1">
        <v>72</v>
      </c>
      <c r="D80" s="262">
        <f>IF(Planning!$T78="","",Planning!$T78)</f>
        <v>45966</v>
      </c>
      <c r="E80" s="263">
        <f>IF(Planning!$U78="","",Planning!$U78)</f>
        <v>0.875</v>
      </c>
      <c r="F80" s="264" t="str">
        <f>Planning!$Q78</f>
        <v>Newcastle United</v>
      </c>
      <c r="G80" s="265" t="s">
        <v>4</v>
      </c>
      <c r="H80" s="264" t="str">
        <f>Planning!$S78</f>
        <v>Athletic Bilbao</v>
      </c>
      <c r="I80" s="266"/>
      <c r="J80" s="411" t="str">
        <f>Language!$E$90</f>
        <v xml:space="preserve"> - </v>
      </c>
      <c r="K80" s="267"/>
      <c r="L80" s="268"/>
      <c r="M80" s="269"/>
      <c r="O80" s="340" t="str">
        <v/>
      </c>
      <c r="P80" s="341" t="str">
        <v>Ajax Amsterdam</v>
      </c>
      <c r="Q80" s="342" t="str">
        <v/>
      </c>
      <c r="R80" s="343" t="str">
        <v/>
      </c>
      <c r="S80" s="343" t="str">
        <v/>
      </c>
      <c r="T80" s="344" t="str">
        <v/>
      </c>
      <c r="U80" s="345" t="str">
        <v/>
      </c>
      <c r="V80" s="346" t="str">
        <v xml:space="preserve"> - </v>
      </c>
      <c r="W80" s="347" t="str">
        <v/>
      </c>
      <c r="X80" s="348" t="str">
        <v/>
      </c>
      <c r="Y80" s="349" t="str">
        <v/>
      </c>
      <c r="Z80" s="349" t="str">
        <v/>
      </c>
      <c r="AA80" s="350" t="str">
        <v/>
      </c>
      <c r="AB80" s="236" t="str">
        <v/>
      </c>
      <c r="AC80" s="113"/>
      <c r="AD80" s="113"/>
    </row>
    <row r="81" spans="2:41" ht="15.75" x14ac:dyDescent="0.2">
      <c r="B81" s="295">
        <v>5</v>
      </c>
      <c r="C81" s="296">
        <v>73</v>
      </c>
      <c r="D81" s="297">
        <f>IF(Planning!$T79="","",Planning!$T79)</f>
        <v>45986</v>
      </c>
      <c r="E81" s="298">
        <f>IF(Planning!$U79="","",Planning!$U79)</f>
        <v>0.78125</v>
      </c>
      <c r="F81" s="299" t="str">
        <f>Planning!$Q79</f>
        <v>Ajax Amsterdam</v>
      </c>
      <c r="G81" s="300" t="s">
        <v>4</v>
      </c>
      <c r="H81" s="299" t="str">
        <f>Planning!$S79</f>
        <v>Benfica Lissabon</v>
      </c>
      <c r="I81" s="301"/>
      <c r="J81" s="412" t="str">
        <f>Language!$E$90</f>
        <v xml:space="preserve"> - </v>
      </c>
      <c r="K81" s="302"/>
      <c r="L81" s="303"/>
      <c r="M81" s="304"/>
      <c r="O81" s="340" t="str">
        <v/>
      </c>
      <c r="P81" s="341" t="str">
        <v>FC Arsenal</v>
      </c>
      <c r="Q81" s="342" t="str">
        <v/>
      </c>
      <c r="R81" s="343" t="str">
        <v/>
      </c>
      <c r="S81" s="343" t="str">
        <v/>
      </c>
      <c r="T81" s="344" t="str">
        <v/>
      </c>
      <c r="U81" s="345" t="str">
        <v/>
      </c>
      <c r="V81" s="346" t="str">
        <v xml:space="preserve"> - </v>
      </c>
      <c r="W81" s="347" t="str">
        <v/>
      </c>
      <c r="X81" s="348" t="str">
        <v/>
      </c>
      <c r="Y81" s="349" t="str">
        <v/>
      </c>
      <c r="Z81" s="349" t="str">
        <v/>
      </c>
      <c r="AA81" s="350" t="str">
        <v/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>
        <f>IF(Planning!$T80="","",Planning!$T80)</f>
        <v>45986</v>
      </c>
      <c r="E82" s="122">
        <f>IF(Planning!$U80="","",Planning!$U80)</f>
        <v>0.78125</v>
      </c>
      <c r="F82" s="130" t="str">
        <f>Planning!$Q80</f>
        <v>Galatasaray SK</v>
      </c>
      <c r="G82" s="131" t="s">
        <v>4</v>
      </c>
      <c r="H82" s="130" t="str">
        <f>Planning!$S80</f>
        <v>Union Saint-Gilloise</v>
      </c>
      <c r="I82" s="132"/>
      <c r="J82" s="410" t="str">
        <f>Language!$E$90</f>
        <v xml:space="preserve"> - </v>
      </c>
      <c r="K82" s="133"/>
      <c r="L82" s="233"/>
      <c r="M82" s="234"/>
      <c r="O82" s="340" t="str">
        <v/>
      </c>
      <c r="P82" s="341" t="str">
        <v>FC Barcelona</v>
      </c>
      <c r="Q82" s="342" t="str">
        <v/>
      </c>
      <c r="R82" s="343" t="str">
        <v/>
      </c>
      <c r="S82" s="343" t="str">
        <v/>
      </c>
      <c r="T82" s="344" t="str">
        <v/>
      </c>
      <c r="U82" s="345" t="str">
        <v/>
      </c>
      <c r="V82" s="346" t="str">
        <v xml:space="preserve"> - </v>
      </c>
      <c r="W82" s="347" t="str">
        <v/>
      </c>
      <c r="X82" s="348" t="str">
        <v/>
      </c>
      <c r="Y82" s="349" t="str">
        <v/>
      </c>
      <c r="Z82" s="349" t="str">
        <v/>
      </c>
      <c r="AA82" s="350" t="str">
        <v/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>
        <f>IF(Planning!$T81="","",Planning!$T81)</f>
        <v>45986</v>
      </c>
      <c r="E83" s="122">
        <f>IF(Planning!$U81="","",Planning!$U81)</f>
        <v>0.875</v>
      </c>
      <c r="F83" s="130" t="str">
        <f>Planning!$Q81</f>
        <v>Manchester City</v>
      </c>
      <c r="G83" s="131" t="s">
        <v>4</v>
      </c>
      <c r="H83" s="130" t="str">
        <f>Planning!$S81</f>
        <v>Bayer 04 Leverkusen</v>
      </c>
      <c r="I83" s="132"/>
      <c r="J83" s="410" t="str">
        <f>Language!$E$90</f>
        <v xml:space="preserve"> - </v>
      </c>
      <c r="K83" s="133"/>
      <c r="L83" s="233"/>
      <c r="M83" s="234"/>
      <c r="O83" s="340" t="str">
        <v/>
      </c>
      <c r="P83" s="341" t="str">
        <v>Atalanta Bergamo</v>
      </c>
      <c r="Q83" s="342" t="str">
        <v/>
      </c>
      <c r="R83" s="343" t="str">
        <v/>
      </c>
      <c r="S83" s="343" t="str">
        <v/>
      </c>
      <c r="T83" s="344" t="str">
        <v/>
      </c>
      <c r="U83" s="345" t="str">
        <v/>
      </c>
      <c r="V83" s="346" t="str">
        <v xml:space="preserve"> - </v>
      </c>
      <c r="W83" s="347" t="str">
        <v/>
      </c>
      <c r="X83" s="348" t="str">
        <v/>
      </c>
      <c r="Y83" s="349" t="str">
        <v/>
      </c>
      <c r="Z83" s="349" t="str">
        <v/>
      </c>
      <c r="AA83" s="350" t="str">
        <v/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>
        <f>IF(Planning!$T82="","",Planning!$T82)</f>
        <v>45986</v>
      </c>
      <c r="E84" s="122">
        <f>IF(Planning!$U82="","",Planning!$U82)</f>
        <v>0.875</v>
      </c>
      <c r="F84" s="130" t="str">
        <f>Planning!$Q82</f>
        <v>FC Chelsea</v>
      </c>
      <c r="G84" s="131" t="s">
        <v>4</v>
      </c>
      <c r="H84" s="130" t="str">
        <f>Planning!$S82</f>
        <v>FC Barcelona</v>
      </c>
      <c r="I84" s="132"/>
      <c r="J84" s="410" t="str">
        <f>Language!$E$90</f>
        <v xml:space="preserve"> - </v>
      </c>
      <c r="K84" s="133"/>
      <c r="L84" s="233"/>
      <c r="M84" s="234"/>
      <c r="O84" s="340" t="str">
        <v/>
      </c>
      <c r="P84" s="341" t="str">
        <v>Athletic Bilbao</v>
      </c>
      <c r="Q84" s="342" t="str">
        <v/>
      </c>
      <c r="R84" s="343" t="str">
        <v/>
      </c>
      <c r="S84" s="343" t="str">
        <v/>
      </c>
      <c r="T84" s="344" t="str">
        <v/>
      </c>
      <c r="U84" s="345" t="str">
        <v/>
      </c>
      <c r="V84" s="346" t="str">
        <v xml:space="preserve"> - </v>
      </c>
      <c r="W84" s="347" t="str">
        <v/>
      </c>
      <c r="X84" s="348" t="str">
        <v/>
      </c>
      <c r="Y84" s="349" t="str">
        <v/>
      </c>
      <c r="Z84" s="349" t="str">
        <v/>
      </c>
      <c r="AA84" s="350" t="str">
        <v/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>
        <f>IF(Planning!$T83="","",Planning!$T83)</f>
        <v>45986</v>
      </c>
      <c r="E85" s="122">
        <f>IF(Planning!$U83="","",Planning!$U83)</f>
        <v>0.875</v>
      </c>
      <c r="F85" s="130" t="str">
        <f>Planning!$Q83</f>
        <v>Borussia Dortmund</v>
      </c>
      <c r="G85" s="131" t="s">
        <v>4</v>
      </c>
      <c r="H85" s="130" t="str">
        <f>Planning!$S83</f>
        <v>FC Villarreal</v>
      </c>
      <c r="I85" s="132"/>
      <c r="J85" s="410" t="str">
        <f>Language!$E$90</f>
        <v xml:space="preserve"> - </v>
      </c>
      <c r="K85" s="133"/>
      <c r="L85" s="233"/>
      <c r="M85" s="234"/>
      <c r="O85" s="340" t="str">
        <v/>
      </c>
      <c r="P85" s="341" t="str">
        <v>FK Bodö/Glimt</v>
      </c>
      <c r="Q85" s="342" t="str">
        <v/>
      </c>
      <c r="R85" s="343" t="str">
        <v/>
      </c>
      <c r="S85" s="343" t="str">
        <v/>
      </c>
      <c r="T85" s="344" t="str">
        <v/>
      </c>
      <c r="U85" s="345" t="str">
        <v/>
      </c>
      <c r="V85" s="346" t="str">
        <v xml:space="preserve"> - </v>
      </c>
      <c r="W85" s="347" t="str">
        <v/>
      </c>
      <c r="X85" s="348" t="str">
        <v/>
      </c>
      <c r="Y85" s="349" t="str">
        <v/>
      </c>
      <c r="Z85" s="349" t="str">
        <v/>
      </c>
      <c r="AA85" s="350" t="str">
        <v/>
      </c>
      <c r="AB85" s="236" t="str">
        <v/>
      </c>
    </row>
    <row r="86" spans="2:41" ht="15.75" x14ac:dyDescent="0.2">
      <c r="B86" s="199"/>
      <c r="C86" s="197">
        <v>78</v>
      </c>
      <c r="D86" s="121">
        <f>IF(Planning!$T84="","",Planning!$T84)</f>
        <v>45986</v>
      </c>
      <c r="E86" s="122">
        <f>IF(Planning!$U84="","",Planning!$U84)</f>
        <v>0.875</v>
      </c>
      <c r="F86" s="130" t="str">
        <f>Planning!$Q84</f>
        <v>SSC Neapel</v>
      </c>
      <c r="G86" s="131" t="s">
        <v>4</v>
      </c>
      <c r="H86" s="130" t="str">
        <f>Planning!$S84</f>
        <v>Qarabag Agdam</v>
      </c>
      <c r="I86" s="132"/>
      <c r="J86" s="410" t="str">
        <f>Language!$E$90</f>
        <v xml:space="preserve"> - </v>
      </c>
      <c r="K86" s="133"/>
      <c r="L86" s="233"/>
      <c r="M86" s="234"/>
      <c r="O86" s="351" t="str">
        <v/>
      </c>
      <c r="P86" s="352" t="str">
        <v>Club Brügge</v>
      </c>
      <c r="Q86" s="353" t="str">
        <v/>
      </c>
      <c r="R86" s="354" t="str">
        <v/>
      </c>
      <c r="S86" s="354" t="str">
        <v/>
      </c>
      <c r="T86" s="355" t="str">
        <v/>
      </c>
      <c r="U86" s="356" t="str">
        <v/>
      </c>
      <c r="V86" s="357" t="str">
        <v xml:space="preserve"> - </v>
      </c>
      <c r="W86" s="358" t="str">
        <v/>
      </c>
      <c r="X86" s="359" t="str">
        <v/>
      </c>
      <c r="Y86" s="360" t="str">
        <v/>
      </c>
      <c r="Z86" s="360" t="str">
        <v/>
      </c>
      <c r="AA86" s="361" t="str">
        <v/>
      </c>
      <c r="AB86" s="236" t="str">
        <v/>
      </c>
    </row>
    <row r="87" spans="2:41" ht="15.75" x14ac:dyDescent="0.2">
      <c r="B87" s="199"/>
      <c r="C87" s="197">
        <v>79</v>
      </c>
      <c r="D87" s="121">
        <f>IF(Planning!$T85="","",Planning!$T85)</f>
        <v>45986</v>
      </c>
      <c r="E87" s="122">
        <f>IF(Planning!$U85="","",Planning!$U85)</f>
        <v>0.875</v>
      </c>
      <c r="F87" s="130" t="str">
        <f>Planning!$Q85</f>
        <v>FK Bodö/Glimt</v>
      </c>
      <c r="G87" s="131" t="s">
        <v>4</v>
      </c>
      <c r="H87" s="130" t="str">
        <f>Planning!$S85</f>
        <v>Juventus Turin</v>
      </c>
      <c r="I87" s="132"/>
      <c r="J87" s="410" t="str">
        <f>Language!$E$90</f>
        <v xml:space="preserve"> - </v>
      </c>
      <c r="K87" s="133"/>
      <c r="L87" s="233"/>
      <c r="M87" s="234"/>
      <c r="O87" s="351" t="str">
        <v/>
      </c>
      <c r="P87" s="352" t="str">
        <v>FC Chelsea</v>
      </c>
      <c r="Q87" s="353" t="str">
        <v/>
      </c>
      <c r="R87" s="354" t="str">
        <v/>
      </c>
      <c r="S87" s="354" t="str">
        <v/>
      </c>
      <c r="T87" s="355" t="str">
        <v/>
      </c>
      <c r="U87" s="356" t="str">
        <v/>
      </c>
      <c r="V87" s="357" t="str">
        <v xml:space="preserve"> - </v>
      </c>
      <c r="W87" s="358" t="str">
        <v/>
      </c>
      <c r="X87" s="359" t="str">
        <v/>
      </c>
      <c r="Y87" s="360" t="str">
        <v/>
      </c>
      <c r="Z87" s="360" t="str">
        <v/>
      </c>
      <c r="AA87" s="361" t="str">
        <v/>
      </c>
      <c r="AB87" s="236" t="str">
        <v/>
      </c>
    </row>
    <row r="88" spans="2:41" ht="15.75" x14ac:dyDescent="0.2">
      <c r="B88" s="199"/>
      <c r="C88" s="197">
        <v>80</v>
      </c>
      <c r="D88" s="121">
        <f>IF(Planning!$T86="","",Planning!$T86)</f>
        <v>45986</v>
      </c>
      <c r="E88" s="122">
        <f>IF(Planning!$U86="","",Planning!$U86)</f>
        <v>0.875</v>
      </c>
      <c r="F88" s="130" t="str">
        <f>Planning!$Q86</f>
        <v>Olympique Marseille</v>
      </c>
      <c r="G88" s="131" t="s">
        <v>4</v>
      </c>
      <c r="H88" s="130" t="str">
        <f>Planning!$S86</f>
        <v>Newcastle United</v>
      </c>
      <c r="I88" s="132"/>
      <c r="J88" s="410" t="str">
        <f>Language!$E$90</f>
        <v xml:space="preserve"> - </v>
      </c>
      <c r="K88" s="133"/>
      <c r="L88" s="233"/>
      <c r="M88" s="234"/>
      <c r="O88" s="351" t="str">
        <v/>
      </c>
      <c r="P88" s="352" t="str">
        <v>Borussia Dortmund</v>
      </c>
      <c r="Q88" s="353" t="str">
        <v/>
      </c>
      <c r="R88" s="354" t="str">
        <v/>
      </c>
      <c r="S88" s="354" t="str">
        <v/>
      </c>
      <c r="T88" s="355" t="str">
        <v/>
      </c>
      <c r="U88" s="356" t="str">
        <v/>
      </c>
      <c r="V88" s="357" t="str">
        <v xml:space="preserve"> - </v>
      </c>
      <c r="W88" s="358" t="str">
        <v/>
      </c>
      <c r="X88" s="359" t="str">
        <v/>
      </c>
      <c r="Y88" s="360" t="str">
        <v/>
      </c>
      <c r="Z88" s="360" t="str">
        <v/>
      </c>
      <c r="AA88" s="361" t="str">
        <v/>
      </c>
      <c r="AB88" s="236" t="str">
        <v/>
      </c>
    </row>
    <row r="89" spans="2:41" ht="15.75" x14ac:dyDescent="0.2">
      <c r="B89" s="199"/>
      <c r="C89" s="197">
        <v>81</v>
      </c>
      <c r="D89" s="121">
        <f>IF(Planning!$T87="","",Planning!$T87)</f>
        <v>45986</v>
      </c>
      <c r="E89" s="122">
        <f>IF(Planning!$U87="","",Planning!$U87)</f>
        <v>0.875</v>
      </c>
      <c r="F89" s="130" t="str">
        <f>Planning!$Q87</f>
        <v>Salva Prag</v>
      </c>
      <c r="G89" s="131" t="s">
        <v>4</v>
      </c>
      <c r="H89" s="130" t="str">
        <f>Planning!$S87</f>
        <v>Athletic Bilbao</v>
      </c>
      <c r="I89" s="132"/>
      <c r="J89" s="410" t="str">
        <f>Language!$E$90</f>
        <v xml:space="preserve"> - </v>
      </c>
      <c r="K89" s="133"/>
      <c r="L89" s="233"/>
      <c r="M89" s="234"/>
      <c r="O89" s="351" t="str">
        <v/>
      </c>
      <c r="P89" s="352" t="str">
        <v>PSV Eindhoven</v>
      </c>
      <c r="Q89" s="353" t="str">
        <v/>
      </c>
      <c r="R89" s="354" t="str">
        <v/>
      </c>
      <c r="S89" s="354" t="str">
        <v/>
      </c>
      <c r="T89" s="355" t="str">
        <v/>
      </c>
      <c r="U89" s="356" t="str">
        <v/>
      </c>
      <c r="V89" s="357" t="str">
        <v xml:space="preserve"> - </v>
      </c>
      <c r="W89" s="358" t="str">
        <v/>
      </c>
      <c r="X89" s="359" t="str">
        <v/>
      </c>
      <c r="Y89" s="360" t="str">
        <v/>
      </c>
      <c r="Z89" s="360" t="str">
        <v/>
      </c>
      <c r="AA89" s="361" t="str">
        <v/>
      </c>
      <c r="AB89" s="236" t="str">
        <v/>
      </c>
    </row>
    <row r="90" spans="2:41" ht="15.75" x14ac:dyDescent="0.2">
      <c r="B90" s="199"/>
      <c r="C90" s="197">
        <v>82</v>
      </c>
      <c r="D90" s="121">
        <f>IF(Planning!$T88="","",Planning!$T88)</f>
        <v>45987</v>
      </c>
      <c r="E90" s="122">
        <f>IF(Planning!$U88="","",Planning!$U88)</f>
        <v>0.78125</v>
      </c>
      <c r="F90" s="130" t="str">
        <f>Planning!$Q88</f>
        <v>FC Kopenhagen</v>
      </c>
      <c r="G90" s="131" t="s">
        <v>4</v>
      </c>
      <c r="H90" s="130" t="str">
        <f>Planning!$S88</f>
        <v>Qairat Almaty</v>
      </c>
      <c r="I90" s="132"/>
      <c r="J90" s="410" t="str">
        <f>Language!$E$90</f>
        <v xml:space="preserve"> - </v>
      </c>
      <c r="K90" s="133"/>
      <c r="L90" s="233"/>
      <c r="M90" s="234"/>
      <c r="O90" s="351" t="str">
        <v/>
      </c>
      <c r="P90" s="352" t="str">
        <v>Eintracht Frankfurt</v>
      </c>
      <c r="Q90" s="353" t="str">
        <v/>
      </c>
      <c r="R90" s="354" t="str">
        <v/>
      </c>
      <c r="S90" s="354" t="str">
        <v/>
      </c>
      <c r="T90" s="355" t="str">
        <v/>
      </c>
      <c r="U90" s="356" t="str">
        <v/>
      </c>
      <c r="V90" s="357" t="str">
        <v xml:space="preserve"> - </v>
      </c>
      <c r="W90" s="358" t="str">
        <v/>
      </c>
      <c r="X90" s="359" t="str">
        <v/>
      </c>
      <c r="Y90" s="360" t="str">
        <v/>
      </c>
      <c r="Z90" s="360" t="str">
        <v/>
      </c>
      <c r="AA90" s="361" t="str">
        <v/>
      </c>
      <c r="AB90" s="236" t="str">
        <v/>
      </c>
    </row>
    <row r="91" spans="2:41" ht="15.75" x14ac:dyDescent="0.2">
      <c r="B91" s="199"/>
      <c r="C91" s="197">
        <v>83</v>
      </c>
      <c r="D91" s="121">
        <f>IF(Planning!$T89="","",Planning!$T89)</f>
        <v>45987</v>
      </c>
      <c r="E91" s="122">
        <f>IF(Planning!$U89="","",Planning!$U89)</f>
        <v>0.78125</v>
      </c>
      <c r="F91" s="130" t="str">
        <f>Planning!$Q89</f>
        <v>Pafos FC</v>
      </c>
      <c r="G91" s="131" t="s">
        <v>4</v>
      </c>
      <c r="H91" s="130" t="str">
        <f>Planning!$S89</f>
        <v>AS Monaco</v>
      </c>
      <c r="I91" s="132"/>
      <c r="J91" s="410" t="str">
        <f>Language!$E$90</f>
        <v xml:space="preserve"> - </v>
      </c>
      <c r="K91" s="133"/>
      <c r="L91" s="233"/>
      <c r="M91" s="234"/>
      <c r="O91" s="351" t="str">
        <v/>
      </c>
      <c r="P91" s="352" t="str">
        <v>Galatasaray SK</v>
      </c>
      <c r="Q91" s="353" t="str">
        <v/>
      </c>
      <c r="R91" s="354" t="str">
        <v/>
      </c>
      <c r="S91" s="354" t="str">
        <v/>
      </c>
      <c r="T91" s="355" t="str">
        <v/>
      </c>
      <c r="U91" s="356" t="str">
        <v/>
      </c>
      <c r="V91" s="357" t="str">
        <v xml:space="preserve"> - </v>
      </c>
      <c r="W91" s="358" t="str">
        <v/>
      </c>
      <c r="X91" s="359" t="str">
        <v/>
      </c>
      <c r="Y91" s="360" t="str">
        <v/>
      </c>
      <c r="Z91" s="360" t="str">
        <v/>
      </c>
      <c r="AA91" s="361" t="str">
        <v/>
      </c>
      <c r="AB91" s="236" t="str">
        <v/>
      </c>
    </row>
    <row r="92" spans="2:41" ht="15.75" x14ac:dyDescent="0.2">
      <c r="B92" s="199"/>
      <c r="C92" s="197">
        <v>84</v>
      </c>
      <c r="D92" s="121">
        <f>IF(Planning!$T90="","",Planning!$T90)</f>
        <v>45987</v>
      </c>
      <c r="E92" s="122">
        <f>IF(Planning!$U90="","",Planning!$U90)</f>
        <v>0.875</v>
      </c>
      <c r="F92" s="130" t="str">
        <f>Planning!$Q90</f>
        <v>Paris St. Germain</v>
      </c>
      <c r="G92" s="131" t="s">
        <v>4</v>
      </c>
      <c r="H92" s="130" t="str">
        <f>Planning!$S90</f>
        <v>Tottenham Hotspur</v>
      </c>
      <c r="I92" s="132"/>
      <c r="J92" s="410" t="str">
        <f>Language!$E$90</f>
        <v xml:space="preserve"> - </v>
      </c>
      <c r="K92" s="133"/>
      <c r="L92" s="233"/>
      <c r="M92" s="234"/>
      <c r="O92" s="351" t="str">
        <v/>
      </c>
      <c r="P92" s="352" t="str">
        <v>FC Kopenhagen</v>
      </c>
      <c r="Q92" s="353" t="str">
        <v/>
      </c>
      <c r="R92" s="354" t="str">
        <v/>
      </c>
      <c r="S92" s="354" t="str">
        <v/>
      </c>
      <c r="T92" s="355" t="str">
        <v/>
      </c>
      <c r="U92" s="356" t="str">
        <v/>
      </c>
      <c r="V92" s="357" t="str">
        <v xml:space="preserve"> - </v>
      </c>
      <c r="W92" s="358" t="str">
        <v/>
      </c>
      <c r="X92" s="359" t="str">
        <v/>
      </c>
      <c r="Y92" s="360" t="str">
        <v/>
      </c>
      <c r="Z92" s="360" t="str">
        <v/>
      </c>
      <c r="AA92" s="361" t="str">
        <v/>
      </c>
      <c r="AB92" s="236" t="str">
        <v/>
      </c>
    </row>
    <row r="93" spans="2:41" ht="15.75" x14ac:dyDescent="0.2">
      <c r="B93" s="199"/>
      <c r="C93" s="197">
        <v>85</v>
      </c>
      <c r="D93" s="121">
        <f>IF(Planning!$T91="","",Planning!$T91)</f>
        <v>45987</v>
      </c>
      <c r="E93" s="122">
        <f>IF(Planning!$U91="","",Planning!$U91)</f>
        <v>0.875</v>
      </c>
      <c r="F93" s="130" t="str">
        <f>Planning!$Q91</f>
        <v>FC Liverpool</v>
      </c>
      <c r="G93" s="131" t="s">
        <v>4</v>
      </c>
      <c r="H93" s="130" t="str">
        <f>Planning!$S91</f>
        <v>PSV Eindhoven</v>
      </c>
      <c r="I93" s="132"/>
      <c r="J93" s="410" t="str">
        <f>Language!$E$90</f>
        <v xml:space="preserve"> - </v>
      </c>
      <c r="K93" s="133"/>
      <c r="L93" s="233"/>
      <c r="M93" s="234"/>
      <c r="O93" s="351" t="str">
        <v/>
      </c>
      <c r="P93" s="352" t="str">
        <v>Bayer 04 Leverkusen</v>
      </c>
      <c r="Q93" s="353" t="str">
        <v/>
      </c>
      <c r="R93" s="354" t="str">
        <v/>
      </c>
      <c r="S93" s="354" t="str">
        <v/>
      </c>
      <c r="T93" s="355" t="str">
        <v/>
      </c>
      <c r="U93" s="356" t="str">
        <v/>
      </c>
      <c r="V93" s="357" t="str">
        <v xml:space="preserve"> - </v>
      </c>
      <c r="W93" s="358" t="str">
        <v/>
      </c>
      <c r="X93" s="359" t="str">
        <v/>
      </c>
      <c r="Y93" s="360" t="str">
        <v/>
      </c>
      <c r="Z93" s="360" t="str">
        <v/>
      </c>
      <c r="AA93" s="361" t="str">
        <v/>
      </c>
      <c r="AB93" s="236" t="str">
        <v/>
      </c>
    </row>
    <row r="94" spans="2:41" ht="15.75" x14ac:dyDescent="0.2">
      <c r="B94" s="199"/>
      <c r="C94" s="197">
        <v>86</v>
      </c>
      <c r="D94" s="121">
        <f>IF(Planning!$T92="","",Planning!$T92)</f>
        <v>45987</v>
      </c>
      <c r="E94" s="122">
        <f>IF(Planning!$U92="","",Planning!$U92)</f>
        <v>0.875</v>
      </c>
      <c r="F94" s="130" t="str">
        <f>Planning!$Q92</f>
        <v>FC Arsenal</v>
      </c>
      <c r="G94" s="131" t="s">
        <v>4</v>
      </c>
      <c r="H94" s="130" t="str">
        <f>Planning!$S92</f>
        <v>Bayern München</v>
      </c>
      <c r="I94" s="132"/>
      <c r="J94" s="410" t="str">
        <f>Language!$E$90</f>
        <v xml:space="preserve"> - </v>
      </c>
      <c r="K94" s="133"/>
      <c r="L94" s="233"/>
      <c r="M94" s="234"/>
      <c r="O94" s="362" t="str">
        <v/>
      </c>
      <c r="P94" s="363" t="str">
        <v>Benfica Lissabon</v>
      </c>
      <c r="Q94" s="364" t="str">
        <v/>
      </c>
      <c r="R94" s="365" t="str">
        <v/>
      </c>
      <c r="S94" s="365" t="str">
        <v/>
      </c>
      <c r="T94" s="366" t="str">
        <v/>
      </c>
      <c r="U94" s="367" t="str">
        <v/>
      </c>
      <c r="V94" s="368" t="str">
        <v xml:space="preserve"> - </v>
      </c>
      <c r="W94" s="369" t="str">
        <v/>
      </c>
      <c r="X94" s="370" t="str">
        <v/>
      </c>
      <c r="Y94" s="371" t="str">
        <v/>
      </c>
      <c r="Z94" s="371" t="str">
        <v/>
      </c>
      <c r="AA94" s="372" t="str">
        <v/>
      </c>
      <c r="AB94" s="236" t="str">
        <v/>
      </c>
    </row>
    <row r="95" spans="2:41" ht="15.75" x14ac:dyDescent="0.2">
      <c r="B95" s="199"/>
      <c r="C95" s="197">
        <v>87</v>
      </c>
      <c r="D95" s="121">
        <f>IF(Planning!$T93="","",Planning!$T93)</f>
        <v>45987</v>
      </c>
      <c r="E95" s="122">
        <f>IF(Planning!$U93="","",Planning!$U93)</f>
        <v>0.875</v>
      </c>
      <c r="F95" s="130" t="str">
        <f>Planning!$Q93</f>
        <v>Atletico Madrid</v>
      </c>
      <c r="G95" s="131" t="s">
        <v>4</v>
      </c>
      <c r="H95" s="130" t="str">
        <f>Planning!$S93</f>
        <v>Inter Mailand</v>
      </c>
      <c r="I95" s="132"/>
      <c r="J95" s="410" t="str">
        <f>Language!$E$90</f>
        <v xml:space="preserve"> - </v>
      </c>
      <c r="K95" s="133"/>
      <c r="L95" s="233"/>
      <c r="M95" s="234"/>
      <c r="O95" s="362" t="str">
        <v/>
      </c>
      <c r="P95" s="363" t="str">
        <v>Sporting Lissabon</v>
      </c>
      <c r="Q95" s="364" t="str">
        <v/>
      </c>
      <c r="R95" s="365" t="str">
        <v/>
      </c>
      <c r="S95" s="365" t="str">
        <v/>
      </c>
      <c r="T95" s="366" t="str">
        <v/>
      </c>
      <c r="U95" s="367" t="str">
        <v/>
      </c>
      <c r="V95" s="368" t="str">
        <v xml:space="preserve"> - </v>
      </c>
      <c r="W95" s="369" t="str">
        <v/>
      </c>
      <c r="X95" s="370" t="str">
        <v/>
      </c>
      <c r="Y95" s="371" t="str">
        <v/>
      </c>
      <c r="Z95" s="371" t="str">
        <v/>
      </c>
      <c r="AA95" s="372" t="str">
        <v/>
      </c>
      <c r="AB95" s="236" t="str">
        <v/>
      </c>
    </row>
    <row r="96" spans="2:41" ht="15.75" x14ac:dyDescent="0.2">
      <c r="B96" s="199"/>
      <c r="C96" s="197">
        <v>88</v>
      </c>
      <c r="D96" s="121">
        <f>IF(Planning!$T94="","",Planning!$T94)</f>
        <v>45987</v>
      </c>
      <c r="E96" s="122">
        <f>IF(Planning!$U94="","",Planning!$U94)</f>
        <v>0.875</v>
      </c>
      <c r="F96" s="130" t="str">
        <f>Planning!$Q94</f>
        <v>Eintracht Frankfurt</v>
      </c>
      <c r="G96" s="131" t="s">
        <v>4</v>
      </c>
      <c r="H96" s="130" t="str">
        <f>Planning!$S94</f>
        <v>Atalanta Bergamo</v>
      </c>
      <c r="I96" s="132"/>
      <c r="J96" s="410" t="str">
        <f>Language!$E$90</f>
        <v xml:space="preserve"> - </v>
      </c>
      <c r="K96" s="133"/>
      <c r="L96" s="233"/>
      <c r="M96" s="234"/>
      <c r="O96" s="362" t="str">
        <v/>
      </c>
      <c r="P96" s="363" t="str">
        <v>FC Liverpool</v>
      </c>
      <c r="Q96" s="364" t="str">
        <v/>
      </c>
      <c r="R96" s="365" t="str">
        <v/>
      </c>
      <c r="S96" s="365" t="str">
        <v/>
      </c>
      <c r="T96" s="366" t="str">
        <v/>
      </c>
      <c r="U96" s="367" t="str">
        <v/>
      </c>
      <c r="V96" s="368" t="str">
        <v xml:space="preserve"> - </v>
      </c>
      <c r="W96" s="369" t="str">
        <v/>
      </c>
      <c r="X96" s="370" t="str">
        <v/>
      </c>
      <c r="Y96" s="371" t="str">
        <v/>
      </c>
      <c r="Z96" s="371" t="str">
        <v/>
      </c>
      <c r="AA96" s="372" t="str">
        <v/>
      </c>
      <c r="AB96" s="236" t="str">
        <v/>
      </c>
    </row>
    <row r="97" spans="2:28" ht="15.75" x14ac:dyDescent="0.2">
      <c r="B97" s="199"/>
      <c r="C97" s="197">
        <v>89</v>
      </c>
      <c r="D97" s="121">
        <f>IF(Planning!$T95="","",Planning!$T95)</f>
        <v>45987</v>
      </c>
      <c r="E97" s="122">
        <f>IF(Planning!$U95="","",Planning!$U95)</f>
        <v>0.875</v>
      </c>
      <c r="F97" s="130" t="str">
        <f>Planning!$Q95</f>
        <v>Sporting Lissabon</v>
      </c>
      <c r="G97" s="131" t="s">
        <v>4</v>
      </c>
      <c r="H97" s="130" t="str">
        <f>Planning!$S95</f>
        <v>Club Brügge</v>
      </c>
      <c r="I97" s="132"/>
      <c r="J97" s="410" t="str">
        <f>Language!$E$90</f>
        <v xml:space="preserve"> - </v>
      </c>
      <c r="K97" s="133"/>
      <c r="L97" s="233"/>
      <c r="M97" s="234"/>
      <c r="O97" s="362" t="str">
        <v/>
      </c>
      <c r="P97" s="363" t="str">
        <v>Atletico Madrid</v>
      </c>
      <c r="Q97" s="364" t="str">
        <v/>
      </c>
      <c r="R97" s="365" t="str">
        <v/>
      </c>
      <c r="S97" s="365" t="str">
        <v/>
      </c>
      <c r="T97" s="366" t="str">
        <v/>
      </c>
      <c r="U97" s="367" t="str">
        <v/>
      </c>
      <c r="V97" s="368" t="str">
        <v xml:space="preserve"> - </v>
      </c>
      <c r="W97" s="369" t="str">
        <v/>
      </c>
      <c r="X97" s="370" t="str">
        <v/>
      </c>
      <c r="Y97" s="371" t="str">
        <v/>
      </c>
      <c r="Z97" s="371" t="str">
        <v/>
      </c>
      <c r="AA97" s="372" t="str">
        <v/>
      </c>
      <c r="AB97" s="236" t="str">
        <v/>
      </c>
    </row>
    <row r="98" spans="2:28" ht="16.5" thickBot="1" x14ac:dyDescent="0.25">
      <c r="B98" s="199"/>
      <c r="C98" s="261">
        <v>90</v>
      </c>
      <c r="D98" s="262">
        <f>IF(Planning!$T96="","",Planning!$T96)</f>
        <v>45987</v>
      </c>
      <c r="E98" s="263">
        <f>IF(Planning!$U96="","",Planning!$U96)</f>
        <v>0.875</v>
      </c>
      <c r="F98" s="264" t="str">
        <f>Planning!$Q96</f>
        <v>Olympiakos Piräus</v>
      </c>
      <c r="G98" s="265" t="s">
        <v>4</v>
      </c>
      <c r="H98" s="264" t="str">
        <f>Planning!$S96</f>
        <v>Real Madrid</v>
      </c>
      <c r="I98" s="266"/>
      <c r="J98" s="411" t="str">
        <f>Language!$E$90</f>
        <v xml:space="preserve"> - </v>
      </c>
      <c r="K98" s="267"/>
      <c r="L98" s="268"/>
      <c r="M98" s="269"/>
      <c r="O98" s="362" t="str">
        <v/>
      </c>
      <c r="P98" s="363" t="str">
        <v>Real Madrid</v>
      </c>
      <c r="Q98" s="364" t="str">
        <v/>
      </c>
      <c r="R98" s="365" t="str">
        <v/>
      </c>
      <c r="S98" s="365" t="str">
        <v/>
      </c>
      <c r="T98" s="366" t="str">
        <v/>
      </c>
      <c r="U98" s="367" t="str">
        <v/>
      </c>
      <c r="V98" s="368" t="str">
        <v xml:space="preserve"> - </v>
      </c>
      <c r="W98" s="369" t="str">
        <v/>
      </c>
      <c r="X98" s="370" t="str">
        <v/>
      </c>
      <c r="Y98" s="371" t="str">
        <v/>
      </c>
      <c r="Z98" s="371" t="str">
        <v/>
      </c>
      <c r="AA98" s="372" t="str">
        <v/>
      </c>
      <c r="AB98" s="236" t="str">
        <v/>
      </c>
    </row>
    <row r="99" spans="2:28" ht="15.75" x14ac:dyDescent="0.2">
      <c r="B99" s="295">
        <v>6</v>
      </c>
      <c r="C99" s="296">
        <v>91</v>
      </c>
      <c r="D99" s="297">
        <f>IF(Planning!$T97="","",Planning!$T97)</f>
        <v>46000</v>
      </c>
      <c r="E99" s="298">
        <f>IF(Planning!$U97="","",Planning!$U97)</f>
        <v>0.6875</v>
      </c>
      <c r="F99" s="299" t="str">
        <f>Planning!$Q97</f>
        <v>Qairat Almaty</v>
      </c>
      <c r="G99" s="300" t="s">
        <v>4</v>
      </c>
      <c r="H99" s="299" t="str">
        <f>Planning!$S97</f>
        <v>Olympiakos Piräus</v>
      </c>
      <c r="I99" s="301"/>
      <c r="J99" s="412" t="str">
        <f>Language!$E$90</f>
        <v xml:space="preserve"> - </v>
      </c>
      <c r="K99" s="302"/>
      <c r="L99" s="303"/>
      <c r="M99" s="304"/>
      <c r="O99" s="362" t="str">
        <v/>
      </c>
      <c r="P99" s="363" t="str">
        <v>Inter Mailand</v>
      </c>
      <c r="Q99" s="364" t="str">
        <v/>
      </c>
      <c r="R99" s="365" t="str">
        <v/>
      </c>
      <c r="S99" s="365" t="str">
        <v/>
      </c>
      <c r="T99" s="366" t="str">
        <v/>
      </c>
      <c r="U99" s="367" t="str">
        <v/>
      </c>
      <c r="V99" s="368" t="str">
        <v xml:space="preserve"> - </v>
      </c>
      <c r="W99" s="369" t="str">
        <v/>
      </c>
      <c r="X99" s="370" t="str">
        <v/>
      </c>
      <c r="Y99" s="371" t="str">
        <v/>
      </c>
      <c r="Z99" s="371" t="str">
        <v/>
      </c>
      <c r="AA99" s="372" t="str">
        <v/>
      </c>
      <c r="AB99" s="236" t="str">
        <v/>
      </c>
    </row>
    <row r="100" spans="2:28" ht="15.75" x14ac:dyDescent="0.2">
      <c r="B100" s="199"/>
      <c r="C100" s="197">
        <v>92</v>
      </c>
      <c r="D100" s="121">
        <f>IF(Planning!$T98="","",Planning!$T98)</f>
        <v>46000</v>
      </c>
      <c r="E100" s="122">
        <f>IF(Planning!$U98="","",Planning!$U98)</f>
        <v>0.78125</v>
      </c>
      <c r="F100" s="130" t="str">
        <f>Planning!$Q98</f>
        <v>Bayern München</v>
      </c>
      <c r="G100" s="131" t="s">
        <v>4</v>
      </c>
      <c r="H100" s="130" t="str">
        <f>Planning!$S98</f>
        <v>Sporting Lissabon</v>
      </c>
      <c r="I100" s="132"/>
      <c r="J100" s="410" t="str">
        <f>Language!$E$90</f>
        <v xml:space="preserve"> - </v>
      </c>
      <c r="K100" s="133"/>
      <c r="L100" s="233"/>
      <c r="M100" s="234"/>
      <c r="O100" s="362" t="str">
        <v/>
      </c>
      <c r="P100" s="363" t="str">
        <v>Manchester City</v>
      </c>
      <c r="Q100" s="364" t="str">
        <v/>
      </c>
      <c r="R100" s="365" t="str">
        <v/>
      </c>
      <c r="S100" s="365" t="str">
        <v/>
      </c>
      <c r="T100" s="366" t="str">
        <v/>
      </c>
      <c r="U100" s="367" t="str">
        <v/>
      </c>
      <c r="V100" s="368" t="str">
        <v xml:space="preserve"> - </v>
      </c>
      <c r="W100" s="369" t="str">
        <v/>
      </c>
      <c r="X100" s="370" t="str">
        <v/>
      </c>
      <c r="Y100" s="371" t="str">
        <v/>
      </c>
      <c r="Z100" s="371" t="str">
        <v/>
      </c>
      <c r="AA100" s="372" t="str">
        <v/>
      </c>
      <c r="AB100" s="236" t="str">
        <v/>
      </c>
    </row>
    <row r="101" spans="2:28" ht="15.75" x14ac:dyDescent="0.2">
      <c r="B101" s="199"/>
      <c r="C101" s="197">
        <v>93</v>
      </c>
      <c r="D101" s="121">
        <f>IF(Planning!$T99="","",Planning!$T99)</f>
        <v>46000</v>
      </c>
      <c r="E101" s="122">
        <f>IF(Planning!$U99="","",Planning!$U99)</f>
        <v>0.875</v>
      </c>
      <c r="F101" s="130" t="str">
        <f>Planning!$Q99</f>
        <v>Inter Mailand</v>
      </c>
      <c r="G101" s="131" t="s">
        <v>4</v>
      </c>
      <c r="H101" s="130" t="str">
        <f>Planning!$S99</f>
        <v>FC Liverpool</v>
      </c>
      <c r="I101" s="132"/>
      <c r="J101" s="410" t="str">
        <f>Language!$E$90</f>
        <v xml:space="preserve"> - </v>
      </c>
      <c r="K101" s="133"/>
      <c r="L101" s="233"/>
      <c r="M101" s="234"/>
      <c r="O101" s="362" t="str">
        <v/>
      </c>
      <c r="P101" s="363" t="str">
        <v>Olympique Marseille</v>
      </c>
      <c r="Q101" s="364" t="str">
        <v/>
      </c>
      <c r="R101" s="365" t="str">
        <v/>
      </c>
      <c r="S101" s="365" t="str">
        <v/>
      </c>
      <c r="T101" s="366" t="str">
        <v/>
      </c>
      <c r="U101" s="367" t="str">
        <v/>
      </c>
      <c r="V101" s="368" t="str">
        <v xml:space="preserve"> - </v>
      </c>
      <c r="W101" s="369" t="str">
        <v/>
      </c>
      <c r="X101" s="370" t="str">
        <v/>
      </c>
      <c r="Y101" s="371" t="str">
        <v/>
      </c>
      <c r="Z101" s="371" t="str">
        <v/>
      </c>
      <c r="AA101" s="372" t="str">
        <v/>
      </c>
      <c r="AB101" s="236" t="str">
        <v/>
      </c>
    </row>
    <row r="102" spans="2:28" ht="15.75" x14ac:dyDescent="0.2">
      <c r="B102" s="199"/>
      <c r="C102" s="197">
        <v>94</v>
      </c>
      <c r="D102" s="121">
        <f>IF(Planning!$T100="","",Planning!$T100)</f>
        <v>46000</v>
      </c>
      <c r="E102" s="122">
        <f>IF(Planning!$U100="","",Planning!$U100)</f>
        <v>0.875</v>
      </c>
      <c r="F102" s="130" t="str">
        <f>Planning!$Q100</f>
        <v>FC Barcelona</v>
      </c>
      <c r="G102" s="131" t="s">
        <v>4</v>
      </c>
      <c r="H102" s="130" t="str">
        <f>Planning!$S100</f>
        <v>Eintracht Frankfurt</v>
      </c>
      <c r="I102" s="132"/>
      <c r="J102" s="410" t="str">
        <f>Language!$E$90</f>
        <v xml:space="preserve"> - </v>
      </c>
      <c r="K102" s="133"/>
      <c r="L102" s="233"/>
      <c r="M102" s="234"/>
      <c r="O102" s="373" t="str">
        <v/>
      </c>
      <c r="P102" s="374" t="str">
        <v>AS Monaco</v>
      </c>
      <c r="Q102" s="375" t="str">
        <v/>
      </c>
      <c r="R102" s="376" t="str">
        <v/>
      </c>
      <c r="S102" s="376" t="str">
        <v/>
      </c>
      <c r="T102" s="377" t="str">
        <v/>
      </c>
      <c r="U102" s="378" t="str">
        <v/>
      </c>
      <c r="V102" s="379" t="str">
        <v xml:space="preserve"> - </v>
      </c>
      <c r="W102" s="380" t="str">
        <v/>
      </c>
      <c r="X102" s="381" t="str">
        <v/>
      </c>
      <c r="Y102" s="382" t="str">
        <v/>
      </c>
      <c r="Z102" s="382" t="str">
        <v/>
      </c>
      <c r="AA102" s="383" t="str">
        <v/>
      </c>
      <c r="AB102" s="236" t="str">
        <v/>
      </c>
    </row>
    <row r="103" spans="2:28" ht="15.75" x14ac:dyDescent="0.2">
      <c r="B103" s="199"/>
      <c r="C103" s="197">
        <v>95</v>
      </c>
      <c r="D103" s="121">
        <f>IF(Planning!$T101="","",Planning!$T101)</f>
        <v>46000</v>
      </c>
      <c r="E103" s="122">
        <f>IF(Planning!$U101="","",Planning!$U101)</f>
        <v>0.875</v>
      </c>
      <c r="F103" s="130" t="str">
        <f>Planning!$Q101</f>
        <v>Atalanta Bergamo</v>
      </c>
      <c r="G103" s="131" t="s">
        <v>4</v>
      </c>
      <c r="H103" s="130" t="str">
        <f>Planning!$S101</f>
        <v>FC Chelsea</v>
      </c>
      <c r="I103" s="132"/>
      <c r="J103" s="410" t="str">
        <f>Language!$E$90</f>
        <v xml:space="preserve"> - </v>
      </c>
      <c r="K103" s="133"/>
      <c r="L103" s="233"/>
      <c r="M103" s="234"/>
      <c r="O103" s="373" t="str">
        <v/>
      </c>
      <c r="P103" s="374" t="str">
        <v>Bayern München</v>
      </c>
      <c r="Q103" s="375" t="str">
        <v/>
      </c>
      <c r="R103" s="376" t="str">
        <v/>
      </c>
      <c r="S103" s="376" t="str">
        <v/>
      </c>
      <c r="T103" s="377" t="str">
        <v/>
      </c>
      <c r="U103" s="378" t="str">
        <v/>
      </c>
      <c r="V103" s="379" t="str">
        <v xml:space="preserve"> - </v>
      </c>
      <c r="W103" s="380" t="str">
        <v/>
      </c>
      <c r="X103" s="381" t="str">
        <v/>
      </c>
      <c r="Y103" s="382" t="str">
        <v/>
      </c>
      <c r="Z103" s="382" t="str">
        <v/>
      </c>
      <c r="AA103" s="383" t="str">
        <v/>
      </c>
      <c r="AB103" s="236" t="str">
        <v/>
      </c>
    </row>
    <row r="104" spans="2:28" ht="15.75" x14ac:dyDescent="0.2">
      <c r="B104" s="199"/>
      <c r="C104" s="197">
        <v>96</v>
      </c>
      <c r="D104" s="121">
        <f>IF(Planning!$T102="","",Planning!$T102)</f>
        <v>46000</v>
      </c>
      <c r="E104" s="122">
        <f>IF(Planning!$U102="","",Planning!$U102)</f>
        <v>0.875</v>
      </c>
      <c r="F104" s="130" t="str">
        <f>Planning!$Q102</f>
        <v>Tottenham Hotspur</v>
      </c>
      <c r="G104" s="131" t="s">
        <v>4</v>
      </c>
      <c r="H104" s="130" t="str">
        <f>Planning!$S102</f>
        <v>Salva Prag</v>
      </c>
      <c r="I104" s="132"/>
      <c r="J104" s="410" t="str">
        <f>Language!$E$90</f>
        <v xml:space="preserve"> - </v>
      </c>
      <c r="K104" s="133"/>
      <c r="L104" s="233"/>
      <c r="M104" s="234"/>
      <c r="O104" s="373" t="str">
        <v/>
      </c>
      <c r="P104" s="374" t="str">
        <v>SSC Neapel</v>
      </c>
      <c r="Q104" s="375" t="str">
        <v/>
      </c>
      <c r="R104" s="376" t="str">
        <v/>
      </c>
      <c r="S104" s="376" t="str">
        <v/>
      </c>
      <c r="T104" s="377" t="str">
        <v/>
      </c>
      <c r="U104" s="378" t="str">
        <v/>
      </c>
      <c r="V104" s="379" t="str">
        <v xml:space="preserve"> - </v>
      </c>
      <c r="W104" s="380" t="str">
        <v/>
      </c>
      <c r="X104" s="381" t="str">
        <v/>
      </c>
      <c r="Y104" s="382" t="str">
        <v/>
      </c>
      <c r="Z104" s="382" t="str">
        <v/>
      </c>
      <c r="AA104" s="383" t="str">
        <v/>
      </c>
      <c r="AB104" s="236" t="str">
        <v/>
      </c>
    </row>
    <row r="105" spans="2:28" ht="15.75" x14ac:dyDescent="0.2">
      <c r="B105" s="199"/>
      <c r="C105" s="197">
        <v>97</v>
      </c>
      <c r="D105" s="121">
        <f>IF(Planning!$T103="","",Planning!$T103)</f>
        <v>46000</v>
      </c>
      <c r="E105" s="122">
        <f>IF(Planning!$U103="","",Planning!$U103)</f>
        <v>0.875</v>
      </c>
      <c r="F105" s="130" t="str">
        <f>Planning!$Q103</f>
        <v>PSV Eindhoven</v>
      </c>
      <c r="G105" s="131" t="s">
        <v>4</v>
      </c>
      <c r="H105" s="130" t="str">
        <f>Planning!$S103</f>
        <v>Atletico Madrid</v>
      </c>
      <c r="I105" s="132"/>
      <c r="J105" s="410" t="str">
        <f>Language!$E$90</f>
        <v xml:space="preserve"> - </v>
      </c>
      <c r="K105" s="133"/>
      <c r="L105" s="233"/>
      <c r="M105" s="234"/>
      <c r="O105" s="373" t="str">
        <v/>
      </c>
      <c r="P105" s="374" t="str">
        <v>Newcastle United</v>
      </c>
      <c r="Q105" s="375" t="str">
        <v/>
      </c>
      <c r="R105" s="376" t="str">
        <v/>
      </c>
      <c r="S105" s="376" t="str">
        <v/>
      </c>
      <c r="T105" s="377" t="str">
        <v/>
      </c>
      <c r="U105" s="378" t="str">
        <v/>
      </c>
      <c r="V105" s="379" t="str">
        <v xml:space="preserve"> - </v>
      </c>
      <c r="W105" s="380" t="str">
        <v/>
      </c>
      <c r="X105" s="381" t="str">
        <v/>
      </c>
      <c r="Y105" s="382" t="str">
        <v/>
      </c>
      <c r="Z105" s="382" t="str">
        <v/>
      </c>
      <c r="AA105" s="383" t="str">
        <v/>
      </c>
      <c r="AB105" s="236" t="str">
        <v/>
      </c>
    </row>
    <row r="106" spans="2:28" ht="15.75" x14ac:dyDescent="0.2">
      <c r="B106" s="199"/>
      <c r="C106" s="197">
        <v>98</v>
      </c>
      <c r="D106" s="121">
        <f>IF(Planning!$T104="","",Planning!$T104)</f>
        <v>46000</v>
      </c>
      <c r="E106" s="122">
        <f>IF(Planning!$U104="","",Planning!$U104)</f>
        <v>0.875</v>
      </c>
      <c r="F106" s="130" t="str">
        <f>Planning!$Q104</f>
        <v>AS Monaco</v>
      </c>
      <c r="G106" s="131" t="s">
        <v>4</v>
      </c>
      <c r="H106" s="130" t="str">
        <f>Planning!$S104</f>
        <v>Galatasaray SK</v>
      </c>
      <c r="I106" s="132"/>
      <c r="J106" s="410" t="str">
        <f>Language!$E$90</f>
        <v xml:space="preserve"> - </v>
      </c>
      <c r="K106" s="133"/>
      <c r="L106" s="233"/>
      <c r="M106" s="234"/>
      <c r="O106" s="373" t="str">
        <v/>
      </c>
      <c r="P106" s="374" t="str">
        <v>Pafos FC</v>
      </c>
      <c r="Q106" s="375" t="str">
        <v/>
      </c>
      <c r="R106" s="376" t="str">
        <v/>
      </c>
      <c r="S106" s="376" t="str">
        <v/>
      </c>
      <c r="T106" s="377" t="str">
        <v/>
      </c>
      <c r="U106" s="378" t="str">
        <v/>
      </c>
      <c r="V106" s="379" t="str">
        <v xml:space="preserve"> - </v>
      </c>
      <c r="W106" s="380" t="str">
        <v/>
      </c>
      <c r="X106" s="381" t="str">
        <v/>
      </c>
      <c r="Y106" s="382" t="str">
        <v/>
      </c>
      <c r="Z106" s="382" t="str">
        <v/>
      </c>
      <c r="AA106" s="383" t="str">
        <v/>
      </c>
      <c r="AB106" s="236" t="str">
        <v/>
      </c>
    </row>
    <row r="107" spans="2:28" ht="15.75" x14ac:dyDescent="0.2">
      <c r="B107" s="199"/>
      <c r="C107" s="197">
        <v>99</v>
      </c>
      <c r="D107" s="121">
        <f>IF(Planning!$T105="","",Planning!$T105)</f>
        <v>46000</v>
      </c>
      <c r="E107" s="122">
        <f>IF(Planning!$U105="","",Planning!$U105)</f>
        <v>0.875</v>
      </c>
      <c r="F107" s="130" t="str">
        <f>Planning!$Q105</f>
        <v>Union Saint-Gilloise</v>
      </c>
      <c r="G107" s="131" t="s">
        <v>4</v>
      </c>
      <c r="H107" s="130" t="str">
        <f>Planning!$S105</f>
        <v>Olympique Marseille</v>
      </c>
      <c r="I107" s="132"/>
      <c r="J107" s="410" t="str">
        <f>Language!$E$90</f>
        <v xml:space="preserve"> - </v>
      </c>
      <c r="K107" s="133"/>
      <c r="L107" s="233"/>
      <c r="M107" s="234"/>
      <c r="O107" s="373" t="str">
        <v/>
      </c>
      <c r="P107" s="374" t="str">
        <v>Paris St. Germain</v>
      </c>
      <c r="Q107" s="375" t="str">
        <v/>
      </c>
      <c r="R107" s="376" t="str">
        <v/>
      </c>
      <c r="S107" s="376" t="str">
        <v/>
      </c>
      <c r="T107" s="377" t="str">
        <v/>
      </c>
      <c r="U107" s="378" t="str">
        <v/>
      </c>
      <c r="V107" s="379" t="str">
        <v xml:space="preserve"> - </v>
      </c>
      <c r="W107" s="380" t="str">
        <v/>
      </c>
      <c r="X107" s="381" t="str">
        <v/>
      </c>
      <c r="Y107" s="382" t="str">
        <v/>
      </c>
      <c r="Z107" s="382" t="str">
        <v/>
      </c>
      <c r="AA107" s="383" t="str">
        <v/>
      </c>
      <c r="AB107" s="236" t="str">
        <v/>
      </c>
    </row>
    <row r="108" spans="2:28" ht="15.75" x14ac:dyDescent="0.2">
      <c r="B108" s="199"/>
      <c r="C108" s="197">
        <v>100</v>
      </c>
      <c r="D108" s="121">
        <f>IF(Planning!$T106="","",Planning!$T106)</f>
        <v>46001</v>
      </c>
      <c r="E108" s="122">
        <f>IF(Planning!$U106="","",Planning!$U106)</f>
        <v>0.78125</v>
      </c>
      <c r="F108" s="130" t="str">
        <f>Planning!$Q106</f>
        <v>FC Villarreal</v>
      </c>
      <c r="G108" s="131" t="s">
        <v>4</v>
      </c>
      <c r="H108" s="130" t="str">
        <f>Planning!$S106</f>
        <v>FC Kopenhagen</v>
      </c>
      <c r="I108" s="132"/>
      <c r="J108" s="410" t="str">
        <f>Language!$E$90</f>
        <v xml:space="preserve"> - </v>
      </c>
      <c r="K108" s="133"/>
      <c r="L108" s="233"/>
      <c r="M108" s="234"/>
      <c r="O108" s="373" t="str">
        <v/>
      </c>
      <c r="P108" s="374" t="str">
        <v>Olympiakos Piräus</v>
      </c>
      <c r="Q108" s="375" t="str">
        <v/>
      </c>
      <c r="R108" s="376" t="str">
        <v/>
      </c>
      <c r="S108" s="376" t="str">
        <v/>
      </c>
      <c r="T108" s="377" t="str">
        <v/>
      </c>
      <c r="U108" s="378" t="str">
        <v/>
      </c>
      <c r="V108" s="379" t="str">
        <v xml:space="preserve"> - </v>
      </c>
      <c r="W108" s="380" t="str">
        <v/>
      </c>
      <c r="X108" s="381" t="str">
        <v/>
      </c>
      <c r="Y108" s="382" t="str">
        <v/>
      </c>
      <c r="Z108" s="382" t="str">
        <v/>
      </c>
      <c r="AA108" s="383" t="str">
        <v/>
      </c>
      <c r="AB108" s="236" t="str">
        <v/>
      </c>
    </row>
    <row r="109" spans="2:28" ht="15.75" x14ac:dyDescent="0.2">
      <c r="B109" s="199"/>
      <c r="C109" s="197">
        <v>101</v>
      </c>
      <c r="D109" s="121">
        <f>IF(Planning!$T107="","",Planning!$T107)</f>
        <v>46001</v>
      </c>
      <c r="E109" s="122">
        <f>IF(Planning!$U107="","",Planning!$U107)</f>
        <v>0.78125</v>
      </c>
      <c r="F109" s="130" t="str">
        <f>Planning!$Q107</f>
        <v>Qarabag Agdam</v>
      </c>
      <c r="G109" s="131" t="s">
        <v>4</v>
      </c>
      <c r="H109" s="130" t="str">
        <f>Planning!$S107</f>
        <v>Ajax Amsterdam</v>
      </c>
      <c r="I109" s="132"/>
      <c r="J109" s="410" t="str">
        <f>Language!$E$90</f>
        <v xml:space="preserve"> - </v>
      </c>
      <c r="K109" s="133"/>
      <c r="L109" s="233"/>
      <c r="M109" s="234"/>
      <c r="O109" s="373" t="str">
        <v/>
      </c>
      <c r="P109" s="374" t="str">
        <v>Salva Prag</v>
      </c>
      <c r="Q109" s="375" t="str">
        <v/>
      </c>
      <c r="R109" s="376" t="str">
        <v/>
      </c>
      <c r="S109" s="376" t="str">
        <v/>
      </c>
      <c r="T109" s="377" t="str">
        <v/>
      </c>
      <c r="U109" s="378" t="str">
        <v/>
      </c>
      <c r="V109" s="379" t="str">
        <v xml:space="preserve"> - </v>
      </c>
      <c r="W109" s="380" t="str">
        <v/>
      </c>
      <c r="X109" s="381" t="str">
        <v/>
      </c>
      <c r="Y109" s="382" t="str">
        <v/>
      </c>
      <c r="Z109" s="382" t="str">
        <v/>
      </c>
      <c r="AA109" s="383" t="str">
        <v/>
      </c>
      <c r="AB109" s="236" t="str">
        <v/>
      </c>
    </row>
    <row r="110" spans="2:28" ht="15.75" x14ac:dyDescent="0.2">
      <c r="B110" s="199"/>
      <c r="C110" s="197">
        <v>102</v>
      </c>
      <c r="D110" s="121">
        <f>IF(Planning!$T108="","",Planning!$T108)</f>
        <v>46001</v>
      </c>
      <c r="E110" s="122">
        <f>IF(Planning!$U108="","",Planning!$U108)</f>
        <v>0.875</v>
      </c>
      <c r="F110" s="130" t="str">
        <f>Planning!$Q108</f>
        <v>Real Madrid</v>
      </c>
      <c r="G110" s="131" t="s">
        <v>4</v>
      </c>
      <c r="H110" s="130" t="str">
        <f>Planning!$S108</f>
        <v>Manchester City</v>
      </c>
      <c r="I110" s="132"/>
      <c r="J110" s="410" t="str">
        <f>Language!$E$90</f>
        <v xml:space="preserve"> - </v>
      </c>
      <c r="K110" s="133"/>
      <c r="L110" s="233"/>
      <c r="M110" s="234"/>
      <c r="O110" s="373" t="str">
        <v/>
      </c>
      <c r="P110" s="374" t="str">
        <v>Union Saint-Gilloise</v>
      </c>
      <c r="Q110" s="375" t="str">
        <v/>
      </c>
      <c r="R110" s="376" t="str">
        <v/>
      </c>
      <c r="S110" s="376" t="str">
        <v/>
      </c>
      <c r="T110" s="377" t="str">
        <v/>
      </c>
      <c r="U110" s="378" t="str">
        <v/>
      </c>
      <c r="V110" s="379" t="str">
        <v xml:space="preserve"> - </v>
      </c>
      <c r="W110" s="380" t="str">
        <v/>
      </c>
      <c r="X110" s="381" t="str">
        <v/>
      </c>
      <c r="Y110" s="382" t="str">
        <v/>
      </c>
      <c r="Z110" s="382" t="str">
        <v/>
      </c>
      <c r="AA110" s="383" t="str">
        <v/>
      </c>
      <c r="AB110" s="236" t="str">
        <v/>
      </c>
    </row>
    <row r="111" spans="2:28" ht="15.75" x14ac:dyDescent="0.2">
      <c r="B111" s="199"/>
      <c r="C111" s="197">
        <v>103</v>
      </c>
      <c r="D111" s="121">
        <f>IF(Planning!$T109="","",Planning!$T109)</f>
        <v>46001</v>
      </c>
      <c r="E111" s="122">
        <f>IF(Planning!$U109="","",Planning!$U109)</f>
        <v>0.875</v>
      </c>
      <c r="F111" s="130" t="str">
        <f>Planning!$Q109</f>
        <v>Borussia Dortmund</v>
      </c>
      <c r="G111" s="131" t="s">
        <v>4</v>
      </c>
      <c r="H111" s="130" t="str">
        <f>Planning!$S109</f>
        <v>FK Bodö/Glimt</v>
      </c>
      <c r="I111" s="132"/>
      <c r="J111" s="410" t="str">
        <f>Language!$E$90</f>
        <v xml:space="preserve"> - </v>
      </c>
      <c r="K111" s="133"/>
      <c r="L111" s="233"/>
      <c r="M111" s="234"/>
      <c r="O111" s="373" t="str">
        <v/>
      </c>
      <c r="P111" s="374" t="str">
        <v>Tottenham Hotspur</v>
      </c>
      <c r="Q111" s="375" t="str">
        <v/>
      </c>
      <c r="R111" s="376" t="str">
        <v/>
      </c>
      <c r="S111" s="376" t="str">
        <v/>
      </c>
      <c r="T111" s="377" t="str">
        <v/>
      </c>
      <c r="U111" s="378" t="str">
        <v/>
      </c>
      <c r="V111" s="379" t="str">
        <v xml:space="preserve"> - </v>
      </c>
      <c r="W111" s="380" t="str">
        <v/>
      </c>
      <c r="X111" s="381" t="str">
        <v/>
      </c>
      <c r="Y111" s="382" t="str">
        <v/>
      </c>
      <c r="Z111" s="382" t="str">
        <v/>
      </c>
      <c r="AA111" s="383" t="str">
        <v/>
      </c>
      <c r="AB111" s="236" t="str">
        <v/>
      </c>
    </row>
    <row r="112" spans="2:28" ht="15.75" x14ac:dyDescent="0.2">
      <c r="B112" s="199"/>
      <c r="C112" s="197">
        <v>104</v>
      </c>
      <c r="D112" s="121">
        <f>IF(Planning!$T110="","",Planning!$T110)</f>
        <v>46001</v>
      </c>
      <c r="E112" s="122">
        <f>IF(Planning!$U110="","",Planning!$U110)</f>
        <v>0.875</v>
      </c>
      <c r="F112" s="130" t="str">
        <f>Planning!$Q110</f>
        <v>Juventus Turin</v>
      </c>
      <c r="G112" s="131" t="s">
        <v>4</v>
      </c>
      <c r="H112" s="130" t="str">
        <f>Planning!$S110</f>
        <v>Pafos FC</v>
      </c>
      <c r="I112" s="132"/>
      <c r="J112" s="410" t="str">
        <f>Language!$E$90</f>
        <v xml:space="preserve"> - </v>
      </c>
      <c r="K112" s="133"/>
      <c r="L112" s="233"/>
      <c r="M112" s="234"/>
      <c r="O112" s="373" t="str">
        <v/>
      </c>
      <c r="P112" s="374" t="str">
        <v>Juventus Turin</v>
      </c>
      <c r="Q112" s="375" t="str">
        <v/>
      </c>
      <c r="R112" s="376" t="str">
        <v/>
      </c>
      <c r="S112" s="376" t="str">
        <v/>
      </c>
      <c r="T112" s="377" t="str">
        <v/>
      </c>
      <c r="U112" s="378" t="str">
        <v/>
      </c>
      <c r="V112" s="379" t="str">
        <v xml:space="preserve"> - </v>
      </c>
      <c r="W112" s="380" t="str">
        <v/>
      </c>
      <c r="X112" s="381" t="str">
        <v/>
      </c>
      <c r="Y112" s="382" t="str">
        <v/>
      </c>
      <c r="Z112" s="382" t="str">
        <v/>
      </c>
      <c r="AA112" s="383" t="str">
        <v/>
      </c>
      <c r="AB112" s="236" t="str">
        <v/>
      </c>
    </row>
    <row r="113" spans="2:28" ht="16.5" thickBot="1" x14ac:dyDescent="0.25">
      <c r="B113" s="199"/>
      <c r="C113" s="197">
        <v>105</v>
      </c>
      <c r="D113" s="121">
        <f>IF(Planning!$T111="","",Planning!$T111)</f>
        <v>46001</v>
      </c>
      <c r="E113" s="122">
        <f>IF(Planning!$U111="","",Planning!$U111)</f>
        <v>0.875</v>
      </c>
      <c r="F113" s="130" t="str">
        <f>Planning!$Q111</f>
        <v>Bayer 04 Leverkusen</v>
      </c>
      <c r="G113" s="131" t="s">
        <v>4</v>
      </c>
      <c r="H113" s="130" t="str">
        <f>Planning!$S111</f>
        <v>Newcastle United</v>
      </c>
      <c r="I113" s="132"/>
      <c r="J113" s="410" t="str">
        <f>Language!$E$90</f>
        <v xml:space="preserve"> - </v>
      </c>
      <c r="K113" s="133"/>
      <c r="L113" s="233"/>
      <c r="M113" s="234"/>
      <c r="O113" s="384" t="str">
        <v/>
      </c>
      <c r="P113" s="385" t="str">
        <v>FC Villarreal</v>
      </c>
      <c r="Q113" s="386" t="str">
        <v/>
      </c>
      <c r="R113" s="387" t="str">
        <v/>
      </c>
      <c r="S113" s="387" t="str">
        <v/>
      </c>
      <c r="T113" s="388" t="str">
        <v/>
      </c>
      <c r="U113" s="389" t="str">
        <v/>
      </c>
      <c r="V113" s="390" t="str">
        <v xml:space="preserve"> - </v>
      </c>
      <c r="W113" s="391" t="str">
        <v/>
      </c>
      <c r="X113" s="392" t="str">
        <v/>
      </c>
      <c r="Y113" s="393" t="str">
        <v/>
      </c>
      <c r="Z113" s="393" t="str">
        <v/>
      </c>
      <c r="AA113" s="394" t="str">
        <v/>
      </c>
      <c r="AB113" s="237" t="str">
        <v/>
      </c>
    </row>
    <row r="114" spans="2:28" ht="16.5" thickTop="1" x14ac:dyDescent="0.2">
      <c r="B114" s="199"/>
      <c r="C114" s="197">
        <v>106</v>
      </c>
      <c r="D114" s="121">
        <f>IF(Planning!$T112="","",Planning!$T112)</f>
        <v>46001</v>
      </c>
      <c r="E114" s="122">
        <f>IF(Planning!$U112="","",Planning!$U112)</f>
        <v>0.875</v>
      </c>
      <c r="F114" s="130" t="str">
        <f>Planning!$Q112</f>
        <v>Benfica Lissabon</v>
      </c>
      <c r="G114" s="131" t="s">
        <v>4</v>
      </c>
      <c r="H114" s="130" t="str">
        <f>Planning!$S112</f>
        <v>SSC Neapel</v>
      </c>
      <c r="I114" s="132"/>
      <c r="J114" s="410" t="str">
        <f>Language!$E$90</f>
        <v xml:space="preserve"> - </v>
      </c>
      <c r="K114" s="133"/>
      <c r="L114" s="233"/>
      <c r="M114" s="234"/>
    </row>
    <row r="115" spans="2:28" ht="16.5" thickBot="1" x14ac:dyDescent="0.25">
      <c r="B115" s="199"/>
      <c r="C115" s="197">
        <v>107</v>
      </c>
      <c r="D115" s="121">
        <f>IF(Planning!$T113="","",Planning!$T113)</f>
        <v>46001</v>
      </c>
      <c r="E115" s="122">
        <f>IF(Planning!$U113="","",Planning!$U113)</f>
        <v>0.875</v>
      </c>
      <c r="F115" s="130" t="str">
        <f>Planning!$Q113</f>
        <v>Club Brügge</v>
      </c>
      <c r="G115" s="131" t="s">
        <v>4</v>
      </c>
      <c r="H115" s="130" t="str">
        <f>Planning!$S113</f>
        <v>FC Arsenal</v>
      </c>
      <c r="I115" s="132"/>
      <c r="J115" s="410" t="str">
        <f>Language!$E$90</f>
        <v xml:space="preserve"> - </v>
      </c>
      <c r="K115" s="133"/>
      <c r="L115" s="233"/>
      <c r="M115" s="234"/>
    </row>
    <row r="116" spans="2:28" ht="17.25" thickTop="1" thickBot="1" x14ac:dyDescent="0.25">
      <c r="B116" s="199"/>
      <c r="C116" s="261">
        <v>108</v>
      </c>
      <c r="D116" s="262">
        <f>IF(Planning!$T114="","",Planning!$T114)</f>
        <v>46001</v>
      </c>
      <c r="E116" s="263">
        <f>IF(Planning!$U114="","",Planning!$U114)</f>
        <v>0.875</v>
      </c>
      <c r="F116" s="264" t="str">
        <f>Planning!$Q114</f>
        <v>Athletic Bilbao</v>
      </c>
      <c r="G116" s="265" t="s">
        <v>4</v>
      </c>
      <c r="H116" s="264" t="str">
        <f>Planning!$S114</f>
        <v>Paris St. Germain</v>
      </c>
      <c r="I116" s="266"/>
      <c r="J116" s="411" t="str">
        <f>Language!$E$90</f>
        <v xml:space="preserve"> - </v>
      </c>
      <c r="K116" s="267"/>
      <c r="L116" s="268"/>
      <c r="M116" s="269"/>
      <c r="O116" s="416"/>
      <c r="P116" s="417"/>
      <c r="Q116" s="202" t="str">
        <f>$Q$8</f>
        <v>Pl</v>
      </c>
      <c r="R116" s="203" t="str">
        <f>$R$8</f>
        <v>W</v>
      </c>
      <c r="S116" s="203" t="str">
        <f>$S$8</f>
        <v>D</v>
      </c>
      <c r="T116" s="413" t="str">
        <f>$T$8</f>
        <v>L</v>
      </c>
      <c r="U116" s="484" t="str">
        <f>$U$8</f>
        <v>GF  -  GA</v>
      </c>
      <c r="V116" s="485" t="str">
        <f t="shared" ref="V116:W116" si="6">$Q$8</f>
        <v>Pl</v>
      </c>
      <c r="W116" s="486" t="str">
        <f t="shared" si="6"/>
        <v>Pl</v>
      </c>
      <c r="X116" s="203" t="str">
        <f>$X$8</f>
        <v>GD</v>
      </c>
      <c r="Y116" s="413" t="str">
        <f>$Y$8</f>
        <v>AGls</v>
      </c>
      <c r="Z116" s="413" t="str">
        <f>$Z$8</f>
        <v>AWin</v>
      </c>
      <c r="AA116" s="205" t="str">
        <f>$AA$8</f>
        <v>Pts</v>
      </c>
      <c r="AB116" s="228" t="str">
        <f>$AB$8</f>
        <v>PenPts</v>
      </c>
    </row>
    <row r="117" spans="2:28" ht="15.75" x14ac:dyDescent="0.2">
      <c r="B117" s="295">
        <v>7</v>
      </c>
      <c r="C117" s="296">
        <v>109</v>
      </c>
      <c r="D117" s="297">
        <f>IF(Planning!$T115="","",Planning!$T115)</f>
        <v>45677</v>
      </c>
      <c r="E117" s="298">
        <f>IF(Planning!$U115="","",Planning!$U115)</f>
        <v>0.6875</v>
      </c>
      <c r="F117" s="299" t="str">
        <f>Planning!$Q115</f>
        <v>Qairat Almaty</v>
      </c>
      <c r="G117" s="300" t="s">
        <v>4</v>
      </c>
      <c r="H117" s="299" t="str">
        <f>Planning!$S115</f>
        <v>Club Brügge</v>
      </c>
      <c r="I117" s="301"/>
      <c r="J117" s="412" t="str">
        <f>Language!$E$90</f>
        <v xml:space="preserve"> - </v>
      </c>
      <c r="K117" s="302"/>
      <c r="L117" s="303"/>
      <c r="M117" s="304"/>
      <c r="O117" s="329" t="str">
        <f t="array" ref="O117:AB152">IF($O$9:$AB$44="","",$O$9:$AB$44)</f>
        <v/>
      </c>
      <c r="P117" s="330" t="str">
        <v>Qarabag Agdam</v>
      </c>
      <c r="Q117" s="331" t="str">
        <v/>
      </c>
      <c r="R117" s="332" t="str">
        <v/>
      </c>
      <c r="S117" s="332" t="str">
        <v/>
      </c>
      <c r="T117" s="333" t="str">
        <v/>
      </c>
      <c r="U117" s="334" t="str">
        <v/>
      </c>
      <c r="V117" s="335" t="str">
        <v xml:space="preserve"> - </v>
      </c>
      <c r="W117" s="336" t="str">
        <v/>
      </c>
      <c r="X117" s="337" t="str">
        <v/>
      </c>
      <c r="Y117" s="338" t="str">
        <v/>
      </c>
      <c r="Z117" s="338" t="str">
        <v/>
      </c>
      <c r="AA117" s="339" t="str">
        <v/>
      </c>
      <c r="AB117" s="235" t="str">
        <v/>
      </c>
    </row>
    <row r="118" spans="2:28" ht="15.75" x14ac:dyDescent="0.2">
      <c r="B118" s="199"/>
      <c r="C118" s="197">
        <v>110</v>
      </c>
      <c r="D118" s="121">
        <f>IF(Planning!$T116="","",Planning!$T116)</f>
        <v>45677</v>
      </c>
      <c r="E118" s="122">
        <f>IF(Planning!$U116="","",Planning!$U116)</f>
        <v>0.78125</v>
      </c>
      <c r="F118" s="130" t="str">
        <f>Planning!$Q116</f>
        <v>FK Bodö/Glimt</v>
      </c>
      <c r="G118" s="131" t="s">
        <v>4</v>
      </c>
      <c r="H118" s="130" t="str">
        <f>Planning!$S116</f>
        <v>Manchester City</v>
      </c>
      <c r="I118" s="132"/>
      <c r="J118" s="410" t="str">
        <f>Language!$E$90</f>
        <v xml:space="preserve"> - </v>
      </c>
      <c r="K118" s="133"/>
      <c r="L118" s="233"/>
      <c r="M118" s="234"/>
      <c r="O118" s="340" t="str">
        <v/>
      </c>
      <c r="P118" s="341" t="str">
        <v>Qairat Almaty</v>
      </c>
      <c r="Q118" s="342" t="str">
        <v/>
      </c>
      <c r="R118" s="343" t="str">
        <v/>
      </c>
      <c r="S118" s="343" t="str">
        <v/>
      </c>
      <c r="T118" s="344" t="str">
        <v/>
      </c>
      <c r="U118" s="345" t="str">
        <v/>
      </c>
      <c r="V118" s="346" t="str">
        <v xml:space="preserve"> - </v>
      </c>
      <c r="W118" s="347" t="str">
        <v/>
      </c>
      <c r="X118" s="348" t="str">
        <v/>
      </c>
      <c r="Y118" s="349" t="str">
        <v/>
      </c>
      <c r="Z118" s="349" t="str">
        <v/>
      </c>
      <c r="AA118" s="350" t="str">
        <v/>
      </c>
      <c r="AB118" s="236" t="str">
        <v/>
      </c>
    </row>
    <row r="119" spans="2:28" ht="15.75" x14ac:dyDescent="0.2">
      <c r="B119" s="199"/>
      <c r="C119" s="197">
        <v>111</v>
      </c>
      <c r="D119" s="121">
        <f>IF(Planning!$T117="","",Planning!$T117)</f>
        <v>45677</v>
      </c>
      <c r="E119" s="122">
        <f>IF(Planning!$U117="","",Planning!$U117)</f>
        <v>0.875</v>
      </c>
      <c r="F119" s="130" t="str">
        <f>Planning!$Q117</f>
        <v>Real Madrid</v>
      </c>
      <c r="G119" s="131" t="s">
        <v>4</v>
      </c>
      <c r="H119" s="130" t="str">
        <f>Planning!$S117</f>
        <v>AS Monaco</v>
      </c>
      <c r="I119" s="132"/>
      <c r="J119" s="410" t="str">
        <f>Language!$E$90</f>
        <v xml:space="preserve"> - </v>
      </c>
      <c r="K119" s="133"/>
      <c r="L119" s="233"/>
      <c r="M119" s="234"/>
      <c r="O119" s="340" t="str">
        <v/>
      </c>
      <c r="P119" s="341" t="str">
        <v>Ajax Amsterdam</v>
      </c>
      <c r="Q119" s="342" t="str">
        <v/>
      </c>
      <c r="R119" s="343" t="str">
        <v/>
      </c>
      <c r="S119" s="343" t="str">
        <v/>
      </c>
      <c r="T119" s="344" t="str">
        <v/>
      </c>
      <c r="U119" s="345" t="str">
        <v/>
      </c>
      <c r="V119" s="346" t="str">
        <v xml:space="preserve"> - </v>
      </c>
      <c r="W119" s="347" t="str">
        <v/>
      </c>
      <c r="X119" s="348" t="str">
        <v/>
      </c>
      <c r="Y119" s="349" t="str">
        <v/>
      </c>
      <c r="Z119" s="349" t="str">
        <v/>
      </c>
      <c r="AA119" s="350" t="str">
        <v/>
      </c>
      <c r="AB119" s="236" t="str">
        <v/>
      </c>
    </row>
    <row r="120" spans="2:28" ht="15.75" x14ac:dyDescent="0.2">
      <c r="B120" s="199"/>
      <c r="C120" s="197">
        <v>112</v>
      </c>
      <c r="D120" s="121">
        <f>IF(Planning!$T118="","",Planning!$T118)</f>
        <v>45677</v>
      </c>
      <c r="E120" s="122">
        <f>IF(Planning!$U118="","",Planning!$U118)</f>
        <v>0.875</v>
      </c>
      <c r="F120" s="130" t="str">
        <f>Planning!$Q118</f>
        <v>Inter Mailand</v>
      </c>
      <c r="G120" s="131" t="s">
        <v>4</v>
      </c>
      <c r="H120" s="130" t="str">
        <f>Planning!$S118</f>
        <v>FC Arsenal</v>
      </c>
      <c r="I120" s="132"/>
      <c r="J120" s="410" t="str">
        <f>Language!$E$90</f>
        <v xml:space="preserve"> - </v>
      </c>
      <c r="K120" s="133"/>
      <c r="L120" s="233"/>
      <c r="M120" s="234"/>
      <c r="O120" s="340" t="str">
        <v/>
      </c>
      <c r="P120" s="341" t="str">
        <v>FC Arsenal</v>
      </c>
      <c r="Q120" s="342" t="str">
        <v/>
      </c>
      <c r="R120" s="343" t="str">
        <v/>
      </c>
      <c r="S120" s="343" t="str">
        <v/>
      </c>
      <c r="T120" s="344" t="str">
        <v/>
      </c>
      <c r="U120" s="345" t="str">
        <v/>
      </c>
      <c r="V120" s="346" t="str">
        <v xml:space="preserve"> - </v>
      </c>
      <c r="W120" s="347" t="str">
        <v/>
      </c>
      <c r="X120" s="348" t="str">
        <v/>
      </c>
      <c r="Y120" s="349" t="str">
        <v/>
      </c>
      <c r="Z120" s="349" t="str">
        <v/>
      </c>
      <c r="AA120" s="350" t="str">
        <v/>
      </c>
      <c r="AB120" s="236" t="str">
        <v/>
      </c>
    </row>
    <row r="121" spans="2:28" ht="15.75" x14ac:dyDescent="0.2">
      <c r="B121" s="199"/>
      <c r="C121" s="197">
        <v>113</v>
      </c>
      <c r="D121" s="121">
        <f>IF(Planning!$T119="","",Planning!$T119)</f>
        <v>45677</v>
      </c>
      <c r="E121" s="122">
        <f>IF(Planning!$U119="","",Planning!$U119)</f>
        <v>0.875</v>
      </c>
      <c r="F121" s="130" t="str">
        <f>Planning!$Q119</f>
        <v>Tottenham Hotspur</v>
      </c>
      <c r="G121" s="131" t="s">
        <v>4</v>
      </c>
      <c r="H121" s="130" t="str">
        <f>Planning!$S119</f>
        <v>Borussia Dortmund</v>
      </c>
      <c r="I121" s="132"/>
      <c r="J121" s="410" t="str">
        <f>Language!$E$90</f>
        <v xml:space="preserve"> - </v>
      </c>
      <c r="K121" s="133"/>
      <c r="L121" s="233"/>
      <c r="M121" s="234"/>
      <c r="O121" s="340" t="str">
        <v/>
      </c>
      <c r="P121" s="341" t="str">
        <v>FC Barcelona</v>
      </c>
      <c r="Q121" s="342" t="str">
        <v/>
      </c>
      <c r="R121" s="343" t="str">
        <v/>
      </c>
      <c r="S121" s="343" t="str">
        <v/>
      </c>
      <c r="T121" s="344" t="str">
        <v/>
      </c>
      <c r="U121" s="345" t="str">
        <v/>
      </c>
      <c r="V121" s="346" t="str">
        <v xml:space="preserve"> - </v>
      </c>
      <c r="W121" s="347" t="str">
        <v/>
      </c>
      <c r="X121" s="348" t="str">
        <v/>
      </c>
      <c r="Y121" s="349" t="str">
        <v/>
      </c>
      <c r="Z121" s="349" t="str">
        <v/>
      </c>
      <c r="AA121" s="350" t="str">
        <v/>
      </c>
      <c r="AB121" s="236" t="str">
        <v/>
      </c>
    </row>
    <row r="122" spans="2:28" ht="15.75" x14ac:dyDescent="0.2">
      <c r="B122" s="199"/>
      <c r="C122" s="197">
        <v>114</v>
      </c>
      <c r="D122" s="121">
        <f>IF(Planning!$T120="","",Planning!$T120)</f>
        <v>45677</v>
      </c>
      <c r="E122" s="122">
        <f>IF(Planning!$U120="","",Planning!$U120)</f>
        <v>0.875</v>
      </c>
      <c r="F122" s="130" t="str">
        <f>Planning!$Q120</f>
        <v>Sporting Lissabon</v>
      </c>
      <c r="G122" s="131" t="s">
        <v>4</v>
      </c>
      <c r="H122" s="130" t="str">
        <f>Planning!$S120</f>
        <v>Paris St. Germain</v>
      </c>
      <c r="I122" s="132"/>
      <c r="J122" s="410" t="str">
        <f>Language!$E$90</f>
        <v xml:space="preserve"> - </v>
      </c>
      <c r="K122" s="133"/>
      <c r="L122" s="233"/>
      <c r="M122" s="234"/>
      <c r="O122" s="340" t="str">
        <v/>
      </c>
      <c r="P122" s="341" t="str">
        <v>Atalanta Bergamo</v>
      </c>
      <c r="Q122" s="342" t="str">
        <v/>
      </c>
      <c r="R122" s="343" t="str">
        <v/>
      </c>
      <c r="S122" s="343" t="str">
        <v/>
      </c>
      <c r="T122" s="344" t="str">
        <v/>
      </c>
      <c r="U122" s="345" t="str">
        <v/>
      </c>
      <c r="V122" s="346" t="str">
        <v xml:space="preserve"> - </v>
      </c>
      <c r="W122" s="347" t="str">
        <v/>
      </c>
      <c r="X122" s="348" t="str">
        <v/>
      </c>
      <c r="Y122" s="349" t="str">
        <v/>
      </c>
      <c r="Z122" s="349" t="str">
        <v/>
      </c>
      <c r="AA122" s="350" t="str">
        <v/>
      </c>
      <c r="AB122" s="236" t="str">
        <v/>
      </c>
    </row>
    <row r="123" spans="2:28" ht="15.75" x14ac:dyDescent="0.2">
      <c r="B123" s="199"/>
      <c r="C123" s="197">
        <v>115</v>
      </c>
      <c r="D123" s="121">
        <f>IF(Planning!$T121="","",Planning!$T121)</f>
        <v>45677</v>
      </c>
      <c r="E123" s="122">
        <f>IF(Planning!$U121="","",Planning!$U121)</f>
        <v>0.875</v>
      </c>
      <c r="F123" s="130" t="str">
        <f>Planning!$Q121</f>
        <v>Olympiakos Piräus</v>
      </c>
      <c r="G123" s="131" t="s">
        <v>4</v>
      </c>
      <c r="H123" s="130" t="str">
        <f>Planning!$S121</f>
        <v>Bayer 04 Leverkusen</v>
      </c>
      <c r="I123" s="132"/>
      <c r="J123" s="410" t="str">
        <f>Language!$E$90</f>
        <v xml:space="preserve"> - </v>
      </c>
      <c r="K123" s="133"/>
      <c r="L123" s="233"/>
      <c r="M123" s="234"/>
      <c r="O123" s="340" t="str">
        <v/>
      </c>
      <c r="P123" s="341" t="str">
        <v>Athletic Bilbao</v>
      </c>
      <c r="Q123" s="342" t="str">
        <v/>
      </c>
      <c r="R123" s="343" t="str">
        <v/>
      </c>
      <c r="S123" s="343" t="str">
        <v/>
      </c>
      <c r="T123" s="344" t="str">
        <v/>
      </c>
      <c r="U123" s="345" t="str">
        <v/>
      </c>
      <c r="V123" s="346" t="str">
        <v xml:space="preserve"> - </v>
      </c>
      <c r="W123" s="347" t="str">
        <v/>
      </c>
      <c r="X123" s="348" t="str">
        <v/>
      </c>
      <c r="Y123" s="349" t="str">
        <v/>
      </c>
      <c r="Z123" s="349" t="str">
        <v/>
      </c>
      <c r="AA123" s="350" t="str">
        <v/>
      </c>
      <c r="AB123" s="236" t="str">
        <v/>
      </c>
    </row>
    <row r="124" spans="2:28" ht="15.75" x14ac:dyDescent="0.2">
      <c r="B124" s="199"/>
      <c r="C124" s="197">
        <v>116</v>
      </c>
      <c r="D124" s="121">
        <f>IF(Planning!$T122="","",Planning!$T122)</f>
        <v>45677</v>
      </c>
      <c r="E124" s="122">
        <f>IF(Planning!$U122="","",Planning!$U122)</f>
        <v>0.875</v>
      </c>
      <c r="F124" s="130" t="str">
        <f>Planning!$Q122</f>
        <v>FC Villarreal</v>
      </c>
      <c r="G124" s="131" t="s">
        <v>4</v>
      </c>
      <c r="H124" s="130" t="str">
        <f>Planning!$S122</f>
        <v>Ajax Amsterdam</v>
      </c>
      <c r="I124" s="132"/>
      <c r="J124" s="410" t="str">
        <f>Language!$E$90</f>
        <v xml:space="preserve"> - </v>
      </c>
      <c r="K124" s="133"/>
      <c r="L124" s="233"/>
      <c r="M124" s="234"/>
      <c r="O124" s="340" t="str">
        <v/>
      </c>
      <c r="P124" s="341" t="str">
        <v>FK Bodö/Glimt</v>
      </c>
      <c r="Q124" s="342" t="str">
        <v/>
      </c>
      <c r="R124" s="343" t="str">
        <v/>
      </c>
      <c r="S124" s="343" t="str">
        <v/>
      </c>
      <c r="T124" s="344" t="str">
        <v/>
      </c>
      <c r="U124" s="345" t="str">
        <v/>
      </c>
      <c r="V124" s="346" t="str">
        <v xml:space="preserve"> - </v>
      </c>
      <c r="W124" s="347" t="str">
        <v/>
      </c>
      <c r="X124" s="348" t="str">
        <v/>
      </c>
      <c r="Y124" s="349" t="str">
        <v/>
      </c>
      <c r="Z124" s="349" t="str">
        <v/>
      </c>
      <c r="AA124" s="350" t="str">
        <v/>
      </c>
      <c r="AB124" s="236" t="str">
        <v/>
      </c>
    </row>
    <row r="125" spans="2:28" ht="15.75" x14ac:dyDescent="0.2">
      <c r="B125" s="199"/>
      <c r="C125" s="197">
        <v>117</v>
      </c>
      <c r="D125" s="121">
        <f>IF(Planning!$T123="","",Planning!$T123)</f>
        <v>45677</v>
      </c>
      <c r="E125" s="122">
        <f>IF(Planning!$U123="","",Planning!$U123)</f>
        <v>0.875</v>
      </c>
      <c r="F125" s="130" t="str">
        <f>Planning!$Q123</f>
        <v>FC Kopenhagen</v>
      </c>
      <c r="G125" s="131" t="s">
        <v>4</v>
      </c>
      <c r="H125" s="130" t="str">
        <f>Planning!$S123</f>
        <v>SSC Neapel</v>
      </c>
      <c r="I125" s="132"/>
      <c r="J125" s="410" t="str">
        <f>Language!$E$90</f>
        <v xml:space="preserve"> - </v>
      </c>
      <c r="K125" s="133"/>
      <c r="L125" s="233"/>
      <c r="M125" s="234"/>
      <c r="O125" s="351" t="str">
        <v/>
      </c>
      <c r="P125" s="352" t="str">
        <v>Club Brügge</v>
      </c>
      <c r="Q125" s="353" t="str">
        <v/>
      </c>
      <c r="R125" s="354" t="str">
        <v/>
      </c>
      <c r="S125" s="354" t="str">
        <v/>
      </c>
      <c r="T125" s="355" t="str">
        <v/>
      </c>
      <c r="U125" s="356" t="str">
        <v/>
      </c>
      <c r="V125" s="357" t="str">
        <v xml:space="preserve"> - </v>
      </c>
      <c r="W125" s="358" t="str">
        <v/>
      </c>
      <c r="X125" s="359" t="str">
        <v/>
      </c>
      <c r="Y125" s="360" t="str">
        <v/>
      </c>
      <c r="Z125" s="360" t="str">
        <v/>
      </c>
      <c r="AA125" s="361" t="str">
        <v/>
      </c>
      <c r="AB125" s="236" t="str">
        <v/>
      </c>
    </row>
    <row r="126" spans="2:28" ht="15.75" x14ac:dyDescent="0.2">
      <c r="B126" s="199"/>
      <c r="C126" s="197">
        <v>118</v>
      </c>
      <c r="D126" s="121">
        <f>IF(Planning!$T124="","",Planning!$T124)</f>
        <v>45678</v>
      </c>
      <c r="E126" s="122">
        <f>IF(Planning!$U124="","",Planning!$U124)</f>
        <v>0.78125</v>
      </c>
      <c r="F126" s="130" t="str">
        <f>Planning!$Q124</f>
        <v>Galatasaray SK</v>
      </c>
      <c r="G126" s="131" t="s">
        <v>4</v>
      </c>
      <c r="H126" s="130" t="str">
        <f>Planning!$S124</f>
        <v>Atletico Madrid</v>
      </c>
      <c r="I126" s="132"/>
      <c r="J126" s="410" t="str">
        <f>Language!$E$90</f>
        <v xml:space="preserve"> - </v>
      </c>
      <c r="K126" s="133"/>
      <c r="L126" s="233"/>
      <c r="M126" s="234"/>
      <c r="O126" s="351" t="str">
        <v/>
      </c>
      <c r="P126" s="352" t="str">
        <v>FC Chelsea</v>
      </c>
      <c r="Q126" s="353" t="str">
        <v/>
      </c>
      <c r="R126" s="354" t="str">
        <v/>
      </c>
      <c r="S126" s="354" t="str">
        <v/>
      </c>
      <c r="T126" s="355" t="str">
        <v/>
      </c>
      <c r="U126" s="356" t="str">
        <v/>
      </c>
      <c r="V126" s="357" t="str">
        <v xml:space="preserve"> - </v>
      </c>
      <c r="W126" s="358" t="str">
        <v/>
      </c>
      <c r="X126" s="359" t="str">
        <v/>
      </c>
      <c r="Y126" s="360" t="str">
        <v/>
      </c>
      <c r="Z126" s="360" t="str">
        <v/>
      </c>
      <c r="AA126" s="361" t="str">
        <v/>
      </c>
      <c r="AB126" s="236" t="str">
        <v/>
      </c>
    </row>
    <row r="127" spans="2:28" ht="15.75" x14ac:dyDescent="0.2">
      <c r="B127" s="199"/>
      <c r="C127" s="197">
        <v>119</v>
      </c>
      <c r="D127" s="121">
        <f>IF(Planning!$T125="","",Planning!$T125)</f>
        <v>45678</v>
      </c>
      <c r="E127" s="122">
        <f>IF(Planning!$U125="","",Planning!$U125)</f>
        <v>0.78125</v>
      </c>
      <c r="F127" s="130" t="str">
        <f>Planning!$Q125</f>
        <v>Qarabag Agdam</v>
      </c>
      <c r="G127" s="131" t="s">
        <v>4</v>
      </c>
      <c r="H127" s="130" t="str">
        <f>Planning!$S125</f>
        <v>Eintracht Frankfurt</v>
      </c>
      <c r="I127" s="132"/>
      <c r="J127" s="410" t="str">
        <f>Language!$E$90</f>
        <v xml:space="preserve"> - </v>
      </c>
      <c r="K127" s="133"/>
      <c r="L127" s="233"/>
      <c r="M127" s="234"/>
      <c r="O127" s="351" t="str">
        <v/>
      </c>
      <c r="P127" s="352" t="str">
        <v>Borussia Dortmund</v>
      </c>
      <c r="Q127" s="353" t="str">
        <v/>
      </c>
      <c r="R127" s="354" t="str">
        <v/>
      </c>
      <c r="S127" s="354" t="str">
        <v/>
      </c>
      <c r="T127" s="355" t="str">
        <v/>
      </c>
      <c r="U127" s="356" t="str">
        <v/>
      </c>
      <c r="V127" s="357" t="str">
        <v xml:space="preserve"> - </v>
      </c>
      <c r="W127" s="358" t="str">
        <v/>
      </c>
      <c r="X127" s="359" t="str">
        <v/>
      </c>
      <c r="Y127" s="360" t="str">
        <v/>
      </c>
      <c r="Z127" s="360" t="str">
        <v/>
      </c>
      <c r="AA127" s="361" t="str">
        <v/>
      </c>
      <c r="AB127" s="236" t="str">
        <v/>
      </c>
    </row>
    <row r="128" spans="2:28" ht="15.75" x14ac:dyDescent="0.2">
      <c r="B128" s="199"/>
      <c r="C128" s="197">
        <v>120</v>
      </c>
      <c r="D128" s="121">
        <f>IF(Planning!$T126="","",Planning!$T126)</f>
        <v>45678</v>
      </c>
      <c r="E128" s="122">
        <f>IF(Planning!$U126="","",Planning!$U126)</f>
        <v>0.875</v>
      </c>
      <c r="F128" s="130" t="str">
        <f>Planning!$Q126</f>
        <v>Bayern München</v>
      </c>
      <c r="G128" s="131" t="s">
        <v>4</v>
      </c>
      <c r="H128" s="130" t="str">
        <f>Planning!$S126</f>
        <v>Union Saint-Gilloise</v>
      </c>
      <c r="I128" s="132"/>
      <c r="J128" s="410" t="str">
        <f>Language!$E$90</f>
        <v xml:space="preserve"> - </v>
      </c>
      <c r="K128" s="133"/>
      <c r="L128" s="233"/>
      <c r="M128" s="234"/>
      <c r="O128" s="351" t="str">
        <v/>
      </c>
      <c r="P128" s="352" t="str">
        <v>PSV Eindhoven</v>
      </c>
      <c r="Q128" s="353" t="str">
        <v/>
      </c>
      <c r="R128" s="354" t="str">
        <v/>
      </c>
      <c r="S128" s="354" t="str">
        <v/>
      </c>
      <c r="T128" s="355" t="str">
        <v/>
      </c>
      <c r="U128" s="356" t="str">
        <v/>
      </c>
      <c r="V128" s="357" t="str">
        <v xml:space="preserve"> - </v>
      </c>
      <c r="W128" s="358" t="str">
        <v/>
      </c>
      <c r="X128" s="359" t="str">
        <v/>
      </c>
      <c r="Y128" s="360" t="str">
        <v/>
      </c>
      <c r="Z128" s="360" t="str">
        <v/>
      </c>
      <c r="AA128" s="361" t="str">
        <v/>
      </c>
      <c r="AB128" s="236" t="str">
        <v/>
      </c>
    </row>
    <row r="129" spans="2:28" ht="15.75" x14ac:dyDescent="0.2">
      <c r="B129" s="199"/>
      <c r="C129" s="197">
        <v>121</v>
      </c>
      <c r="D129" s="121">
        <f>IF(Planning!$T127="","",Planning!$T127)</f>
        <v>45678</v>
      </c>
      <c r="E129" s="122">
        <f>IF(Planning!$U127="","",Planning!$U127)</f>
        <v>0.875</v>
      </c>
      <c r="F129" s="130" t="str">
        <f>Planning!$Q127</f>
        <v>FC Chelsea</v>
      </c>
      <c r="G129" s="131" t="s">
        <v>4</v>
      </c>
      <c r="H129" s="130" t="str">
        <f>Planning!$S127</f>
        <v>Pafos FC</v>
      </c>
      <c r="I129" s="132"/>
      <c r="J129" s="410" t="str">
        <f>Language!$E$90</f>
        <v xml:space="preserve"> - </v>
      </c>
      <c r="K129" s="133"/>
      <c r="L129" s="233"/>
      <c r="M129" s="234"/>
      <c r="O129" s="351" t="str">
        <v/>
      </c>
      <c r="P129" s="352" t="str">
        <v>Eintracht Frankfurt</v>
      </c>
      <c r="Q129" s="353" t="str">
        <v/>
      </c>
      <c r="R129" s="354" t="str">
        <v/>
      </c>
      <c r="S129" s="354" t="str">
        <v/>
      </c>
      <c r="T129" s="355" t="str">
        <v/>
      </c>
      <c r="U129" s="356" t="str">
        <v/>
      </c>
      <c r="V129" s="357" t="str">
        <v xml:space="preserve"> - </v>
      </c>
      <c r="W129" s="358" t="str">
        <v/>
      </c>
      <c r="X129" s="359" t="str">
        <v/>
      </c>
      <c r="Y129" s="360" t="str">
        <v/>
      </c>
      <c r="Z129" s="360" t="str">
        <v/>
      </c>
      <c r="AA129" s="361" t="str">
        <v/>
      </c>
      <c r="AB129" s="236" t="str">
        <v/>
      </c>
    </row>
    <row r="130" spans="2:28" ht="15.75" x14ac:dyDescent="0.2">
      <c r="B130" s="199"/>
      <c r="C130" s="197">
        <v>122</v>
      </c>
      <c r="D130" s="121">
        <f>IF(Planning!$T128="","",Planning!$T128)</f>
        <v>45678</v>
      </c>
      <c r="E130" s="122">
        <f>IF(Planning!$U128="","",Planning!$U128)</f>
        <v>0.875</v>
      </c>
      <c r="F130" s="130" t="str">
        <f>Planning!$Q128</f>
        <v>Atalanta Bergamo</v>
      </c>
      <c r="G130" s="131" t="s">
        <v>4</v>
      </c>
      <c r="H130" s="130" t="str">
        <f>Planning!$S128</f>
        <v>Athletic Bilbao</v>
      </c>
      <c r="I130" s="132"/>
      <c r="J130" s="410" t="str">
        <f>Language!$E$90</f>
        <v xml:space="preserve"> - </v>
      </c>
      <c r="K130" s="133"/>
      <c r="L130" s="233"/>
      <c r="M130" s="234"/>
      <c r="O130" s="351" t="str">
        <v/>
      </c>
      <c r="P130" s="352" t="str">
        <v>Galatasaray SK</v>
      </c>
      <c r="Q130" s="353" t="str">
        <v/>
      </c>
      <c r="R130" s="354" t="str">
        <v/>
      </c>
      <c r="S130" s="354" t="str">
        <v/>
      </c>
      <c r="T130" s="355" t="str">
        <v/>
      </c>
      <c r="U130" s="356" t="str">
        <v/>
      </c>
      <c r="V130" s="357" t="str">
        <v xml:space="preserve"> - </v>
      </c>
      <c r="W130" s="358" t="str">
        <v/>
      </c>
      <c r="X130" s="359" t="str">
        <v/>
      </c>
      <c r="Y130" s="360" t="str">
        <v/>
      </c>
      <c r="Z130" s="360" t="str">
        <v/>
      </c>
      <c r="AA130" s="361" t="str">
        <v/>
      </c>
      <c r="AB130" s="236" t="str">
        <v/>
      </c>
    </row>
    <row r="131" spans="2:28" ht="15.75" x14ac:dyDescent="0.2">
      <c r="B131" s="199"/>
      <c r="C131" s="197">
        <v>123</v>
      </c>
      <c r="D131" s="121">
        <f>IF(Planning!$T129="","",Planning!$T129)</f>
        <v>45678</v>
      </c>
      <c r="E131" s="122">
        <f>IF(Planning!$U129="","",Planning!$U129)</f>
        <v>0.875</v>
      </c>
      <c r="F131" s="130" t="str">
        <f>Planning!$Q129</f>
        <v>Juventus Turin</v>
      </c>
      <c r="G131" s="131" t="s">
        <v>4</v>
      </c>
      <c r="H131" s="130" t="str">
        <f>Planning!$S129</f>
        <v>Benfica Lissabon</v>
      </c>
      <c r="I131" s="132"/>
      <c r="J131" s="410" t="str">
        <f>Language!$E$90</f>
        <v xml:space="preserve"> - </v>
      </c>
      <c r="K131" s="133"/>
      <c r="L131" s="233"/>
      <c r="M131" s="234"/>
      <c r="O131" s="351" t="str">
        <v/>
      </c>
      <c r="P131" s="352" t="str">
        <v>FC Kopenhagen</v>
      </c>
      <c r="Q131" s="353" t="str">
        <v/>
      </c>
      <c r="R131" s="354" t="str">
        <v/>
      </c>
      <c r="S131" s="354" t="str">
        <v/>
      </c>
      <c r="T131" s="355" t="str">
        <v/>
      </c>
      <c r="U131" s="356" t="str">
        <v/>
      </c>
      <c r="V131" s="357" t="str">
        <v xml:space="preserve"> - </v>
      </c>
      <c r="W131" s="358" t="str">
        <v/>
      </c>
      <c r="X131" s="359" t="str">
        <v/>
      </c>
      <c r="Y131" s="360" t="str">
        <v/>
      </c>
      <c r="Z131" s="360" t="str">
        <v/>
      </c>
      <c r="AA131" s="361" t="str">
        <v/>
      </c>
      <c r="AB131" s="236" t="str">
        <v/>
      </c>
    </row>
    <row r="132" spans="2:28" ht="15.75" x14ac:dyDescent="0.2">
      <c r="B132" s="199"/>
      <c r="C132" s="197">
        <v>124</v>
      </c>
      <c r="D132" s="121">
        <f>IF(Planning!$T130="","",Planning!$T130)</f>
        <v>45678</v>
      </c>
      <c r="E132" s="122">
        <f>IF(Planning!$U130="","",Planning!$U130)</f>
        <v>0.875</v>
      </c>
      <c r="F132" s="130" t="str">
        <f>Planning!$Q130</f>
        <v>Olympique Marseille</v>
      </c>
      <c r="G132" s="131" t="s">
        <v>4</v>
      </c>
      <c r="H132" s="130" t="str">
        <f>Planning!$S130</f>
        <v>FC Liverpool</v>
      </c>
      <c r="I132" s="132"/>
      <c r="J132" s="410" t="str">
        <f>Language!$E$90</f>
        <v xml:space="preserve"> - </v>
      </c>
      <c r="K132" s="133"/>
      <c r="L132" s="233"/>
      <c r="M132" s="234"/>
      <c r="O132" s="351" t="str">
        <v/>
      </c>
      <c r="P132" s="352" t="str">
        <v>Bayer 04 Leverkusen</v>
      </c>
      <c r="Q132" s="353" t="str">
        <v/>
      </c>
      <c r="R132" s="354" t="str">
        <v/>
      </c>
      <c r="S132" s="354" t="str">
        <v/>
      </c>
      <c r="T132" s="355" t="str">
        <v/>
      </c>
      <c r="U132" s="356" t="str">
        <v/>
      </c>
      <c r="V132" s="357" t="str">
        <v xml:space="preserve"> - </v>
      </c>
      <c r="W132" s="358" t="str">
        <v/>
      </c>
      <c r="X132" s="359" t="str">
        <v/>
      </c>
      <c r="Y132" s="360" t="str">
        <v/>
      </c>
      <c r="Z132" s="360" t="str">
        <v/>
      </c>
      <c r="AA132" s="361" t="str">
        <v/>
      </c>
      <c r="AB132" s="236" t="str">
        <v/>
      </c>
    </row>
    <row r="133" spans="2:28" ht="15.75" x14ac:dyDescent="0.2">
      <c r="B133" s="199"/>
      <c r="C133" s="197">
        <v>125</v>
      </c>
      <c r="D133" s="121">
        <f>IF(Planning!$T131="","",Planning!$T131)</f>
        <v>45678</v>
      </c>
      <c r="E133" s="122">
        <f>IF(Planning!$U131="","",Planning!$U131)</f>
        <v>0.875</v>
      </c>
      <c r="F133" s="130" t="str">
        <f>Planning!$Q131</f>
        <v>Salva Prag</v>
      </c>
      <c r="G133" s="131" t="s">
        <v>4</v>
      </c>
      <c r="H133" s="130" t="str">
        <f>Planning!$S131</f>
        <v>FC Barcelona</v>
      </c>
      <c r="I133" s="132"/>
      <c r="J133" s="410" t="str">
        <f>Language!$E$90</f>
        <v xml:space="preserve"> - </v>
      </c>
      <c r="K133" s="133"/>
      <c r="L133" s="233"/>
      <c r="M133" s="234"/>
      <c r="O133" s="362" t="str">
        <v/>
      </c>
      <c r="P133" s="363" t="str">
        <v>Benfica Lissabon</v>
      </c>
      <c r="Q133" s="364" t="str">
        <v/>
      </c>
      <c r="R133" s="365" t="str">
        <v/>
      </c>
      <c r="S133" s="365" t="str">
        <v/>
      </c>
      <c r="T133" s="366" t="str">
        <v/>
      </c>
      <c r="U133" s="367" t="str">
        <v/>
      </c>
      <c r="V133" s="368" t="str">
        <v xml:space="preserve"> - </v>
      </c>
      <c r="W133" s="369" t="str">
        <v/>
      </c>
      <c r="X133" s="370" t="str">
        <v/>
      </c>
      <c r="Y133" s="371" t="str">
        <v/>
      </c>
      <c r="Z133" s="371" t="str">
        <v/>
      </c>
      <c r="AA133" s="372" t="str">
        <v/>
      </c>
      <c r="AB133" s="236" t="str">
        <v/>
      </c>
    </row>
    <row r="134" spans="2:28" ht="16.5" thickBot="1" x14ac:dyDescent="0.25">
      <c r="B134" s="199"/>
      <c r="C134" s="261">
        <v>126</v>
      </c>
      <c r="D134" s="262">
        <f>IF(Planning!$T132="","",Planning!$T132)</f>
        <v>45678</v>
      </c>
      <c r="E134" s="263">
        <f>IF(Planning!$U132="","",Planning!$U132)</f>
        <v>0.875</v>
      </c>
      <c r="F134" s="264" t="str">
        <f>Planning!$Q132</f>
        <v>Newcastle United</v>
      </c>
      <c r="G134" s="265" t="s">
        <v>4</v>
      </c>
      <c r="H134" s="264" t="str">
        <f>Planning!$S132</f>
        <v>PSV Eindhoven</v>
      </c>
      <c r="I134" s="266"/>
      <c r="J134" s="411" t="str">
        <f>Language!$E$90</f>
        <v xml:space="preserve"> - </v>
      </c>
      <c r="K134" s="267"/>
      <c r="L134" s="268"/>
      <c r="M134" s="269"/>
      <c r="O134" s="362" t="str">
        <v/>
      </c>
      <c r="P134" s="363" t="str">
        <v>Sporting Lissabon</v>
      </c>
      <c r="Q134" s="364" t="str">
        <v/>
      </c>
      <c r="R134" s="365" t="str">
        <v/>
      </c>
      <c r="S134" s="365" t="str">
        <v/>
      </c>
      <c r="T134" s="366" t="str">
        <v/>
      </c>
      <c r="U134" s="367" t="str">
        <v/>
      </c>
      <c r="V134" s="368" t="str">
        <v xml:space="preserve"> - </v>
      </c>
      <c r="W134" s="369" t="str">
        <v/>
      </c>
      <c r="X134" s="370" t="str">
        <v/>
      </c>
      <c r="Y134" s="371" t="str">
        <v/>
      </c>
      <c r="Z134" s="371" t="str">
        <v/>
      </c>
      <c r="AA134" s="372" t="str">
        <v/>
      </c>
      <c r="AB134" s="236" t="str">
        <v/>
      </c>
    </row>
    <row r="135" spans="2:28" ht="15.75" x14ac:dyDescent="0.2">
      <c r="B135" s="295">
        <v>8</v>
      </c>
      <c r="C135" s="296">
        <v>127</v>
      </c>
      <c r="D135" s="297">
        <f>IF(Planning!$T133="","",Planning!$T133)</f>
        <v>46050</v>
      </c>
      <c r="E135" s="298">
        <f>IF(Planning!$U133="","",Planning!$U133)</f>
        <v>0.875</v>
      </c>
      <c r="F135" s="299" t="str">
        <f>Planning!$Q133</f>
        <v>Paris St. Germain</v>
      </c>
      <c r="G135" s="300" t="s">
        <v>4</v>
      </c>
      <c r="H135" s="299" t="str">
        <f>Planning!$S133</f>
        <v>Newcastle United</v>
      </c>
      <c r="I135" s="301"/>
      <c r="J135" s="412" t="str">
        <f>Language!$E$90</f>
        <v xml:space="preserve"> - </v>
      </c>
      <c r="K135" s="302"/>
      <c r="L135" s="303"/>
      <c r="M135" s="304"/>
      <c r="O135" s="362" t="str">
        <v/>
      </c>
      <c r="P135" s="363" t="str">
        <v>FC Liverpool</v>
      </c>
      <c r="Q135" s="364" t="str">
        <v/>
      </c>
      <c r="R135" s="365" t="str">
        <v/>
      </c>
      <c r="S135" s="365" t="str">
        <v/>
      </c>
      <c r="T135" s="366" t="str">
        <v/>
      </c>
      <c r="U135" s="367" t="str">
        <v/>
      </c>
      <c r="V135" s="368" t="str">
        <v xml:space="preserve"> - </v>
      </c>
      <c r="W135" s="369" t="str">
        <v/>
      </c>
      <c r="X135" s="370" t="str">
        <v/>
      </c>
      <c r="Y135" s="371" t="str">
        <v/>
      </c>
      <c r="Z135" s="371" t="str">
        <v/>
      </c>
      <c r="AA135" s="372" t="str">
        <v/>
      </c>
      <c r="AB135" s="236" t="str">
        <v/>
      </c>
    </row>
    <row r="136" spans="2:28" ht="15.75" x14ac:dyDescent="0.2">
      <c r="B136" s="199"/>
      <c r="C136" s="197">
        <v>128</v>
      </c>
      <c r="D136" s="121">
        <f>IF(Planning!$T134="","",Planning!$T134)</f>
        <v>46050</v>
      </c>
      <c r="E136" s="122">
        <f>IF(Planning!$U134="","",Planning!$U134)</f>
        <v>0.875</v>
      </c>
      <c r="F136" s="130" t="str">
        <f>Planning!$Q134</f>
        <v>Manchester City</v>
      </c>
      <c r="G136" s="131" t="s">
        <v>4</v>
      </c>
      <c r="H136" s="130" t="str">
        <f>Planning!$S134</f>
        <v>Galatasaray SK</v>
      </c>
      <c r="I136" s="132"/>
      <c r="J136" s="410" t="str">
        <f>Language!$E$90</f>
        <v xml:space="preserve"> - </v>
      </c>
      <c r="K136" s="133"/>
      <c r="L136" s="233"/>
      <c r="M136" s="234"/>
      <c r="O136" s="362" t="str">
        <v/>
      </c>
      <c r="P136" s="363" t="str">
        <v>Atletico Madrid</v>
      </c>
      <c r="Q136" s="364" t="str">
        <v/>
      </c>
      <c r="R136" s="365" t="str">
        <v/>
      </c>
      <c r="S136" s="365" t="str">
        <v/>
      </c>
      <c r="T136" s="366" t="str">
        <v/>
      </c>
      <c r="U136" s="367" t="str">
        <v/>
      </c>
      <c r="V136" s="368" t="str">
        <v xml:space="preserve"> - </v>
      </c>
      <c r="W136" s="369" t="str">
        <v/>
      </c>
      <c r="X136" s="370" t="str">
        <v/>
      </c>
      <c r="Y136" s="371" t="str">
        <v/>
      </c>
      <c r="Z136" s="371" t="str">
        <v/>
      </c>
      <c r="AA136" s="372" t="str">
        <v/>
      </c>
      <c r="AB136" s="236" t="str">
        <v/>
      </c>
    </row>
    <row r="137" spans="2:28" ht="15.75" x14ac:dyDescent="0.2">
      <c r="B137" s="199"/>
      <c r="C137" s="197">
        <v>129</v>
      </c>
      <c r="D137" s="121">
        <f>IF(Planning!$T135="","",Planning!$T135)</f>
        <v>46050</v>
      </c>
      <c r="E137" s="122">
        <f>IF(Planning!$U135="","",Planning!$U135)</f>
        <v>0.875</v>
      </c>
      <c r="F137" s="130" t="str">
        <f>Planning!$Q135</f>
        <v>FC Liverpool</v>
      </c>
      <c r="G137" s="131" t="s">
        <v>4</v>
      </c>
      <c r="H137" s="130" t="str">
        <f>Planning!$S135</f>
        <v>Qarabag Agdam</v>
      </c>
      <c r="I137" s="132"/>
      <c r="J137" s="410" t="str">
        <f>Language!$E$90</f>
        <v xml:space="preserve"> - </v>
      </c>
      <c r="K137" s="133"/>
      <c r="L137" s="233"/>
      <c r="M137" s="234"/>
      <c r="O137" s="362" t="str">
        <v/>
      </c>
      <c r="P137" s="363" t="str">
        <v>Real Madrid</v>
      </c>
      <c r="Q137" s="364" t="str">
        <v/>
      </c>
      <c r="R137" s="365" t="str">
        <v/>
      </c>
      <c r="S137" s="365" t="str">
        <v/>
      </c>
      <c r="T137" s="366" t="str">
        <v/>
      </c>
      <c r="U137" s="367" t="str">
        <v/>
      </c>
      <c r="V137" s="368" t="str">
        <v xml:space="preserve"> - </v>
      </c>
      <c r="W137" s="369" t="str">
        <v/>
      </c>
      <c r="X137" s="370" t="str">
        <v/>
      </c>
      <c r="Y137" s="371" t="str">
        <v/>
      </c>
      <c r="Z137" s="371" t="str">
        <v/>
      </c>
      <c r="AA137" s="372" t="str">
        <v/>
      </c>
      <c r="AB137" s="236" t="str">
        <v/>
      </c>
    </row>
    <row r="138" spans="2:28" ht="15.75" x14ac:dyDescent="0.2">
      <c r="B138" s="199"/>
      <c r="C138" s="197">
        <v>130</v>
      </c>
      <c r="D138" s="121">
        <f>IF(Planning!$T136="","",Planning!$T136)</f>
        <v>46050</v>
      </c>
      <c r="E138" s="122">
        <f>IF(Planning!$U136="","",Planning!$U136)</f>
        <v>0.875</v>
      </c>
      <c r="F138" s="130" t="str">
        <f>Planning!$Q136</f>
        <v>Borussia Dortmund</v>
      </c>
      <c r="G138" s="131" t="s">
        <v>4</v>
      </c>
      <c r="H138" s="130" t="str">
        <f>Planning!$S136</f>
        <v>Inter Mailand</v>
      </c>
      <c r="I138" s="132"/>
      <c r="J138" s="410" t="str">
        <f>Language!$E$90</f>
        <v xml:space="preserve"> - </v>
      </c>
      <c r="K138" s="133"/>
      <c r="L138" s="233"/>
      <c r="M138" s="234"/>
      <c r="O138" s="362" t="str">
        <v/>
      </c>
      <c r="P138" s="363" t="str">
        <v>Inter Mailand</v>
      </c>
      <c r="Q138" s="364" t="str">
        <v/>
      </c>
      <c r="R138" s="365" t="str">
        <v/>
      </c>
      <c r="S138" s="365" t="str">
        <v/>
      </c>
      <c r="T138" s="366" t="str">
        <v/>
      </c>
      <c r="U138" s="367" t="str">
        <v/>
      </c>
      <c r="V138" s="368" t="str">
        <v xml:space="preserve"> - </v>
      </c>
      <c r="W138" s="369" t="str">
        <v/>
      </c>
      <c r="X138" s="370" t="str">
        <v/>
      </c>
      <c r="Y138" s="371" t="str">
        <v/>
      </c>
      <c r="Z138" s="371" t="str">
        <v/>
      </c>
      <c r="AA138" s="372" t="str">
        <v/>
      </c>
      <c r="AB138" s="236" t="str">
        <v/>
      </c>
    </row>
    <row r="139" spans="2:28" ht="15.75" x14ac:dyDescent="0.2">
      <c r="B139" s="199"/>
      <c r="C139" s="197">
        <v>131</v>
      </c>
      <c r="D139" s="121">
        <f>IF(Planning!$T137="","",Planning!$T137)</f>
        <v>46050</v>
      </c>
      <c r="E139" s="122">
        <f>IF(Planning!$U137="","",Planning!$U137)</f>
        <v>0.875</v>
      </c>
      <c r="F139" s="130" t="str">
        <f>Planning!$Q137</f>
        <v>FC Barcelona</v>
      </c>
      <c r="G139" s="131" t="s">
        <v>4</v>
      </c>
      <c r="H139" s="130" t="str">
        <f>Planning!$S137</f>
        <v>FC Kopenhagen</v>
      </c>
      <c r="I139" s="132"/>
      <c r="J139" s="410" t="str">
        <f>Language!$E$90</f>
        <v xml:space="preserve"> - </v>
      </c>
      <c r="K139" s="133"/>
      <c r="L139" s="233"/>
      <c r="M139" s="234"/>
      <c r="O139" s="362" t="str">
        <v/>
      </c>
      <c r="P139" s="363" t="str">
        <v>Manchester City</v>
      </c>
      <c r="Q139" s="364" t="str">
        <v/>
      </c>
      <c r="R139" s="365" t="str">
        <v/>
      </c>
      <c r="S139" s="365" t="str">
        <v/>
      </c>
      <c r="T139" s="366" t="str">
        <v/>
      </c>
      <c r="U139" s="367" t="str">
        <v/>
      </c>
      <c r="V139" s="368" t="str">
        <v xml:space="preserve"> - </v>
      </c>
      <c r="W139" s="369" t="str">
        <v/>
      </c>
      <c r="X139" s="370" t="str">
        <v/>
      </c>
      <c r="Y139" s="371" t="str">
        <v/>
      </c>
      <c r="Z139" s="371" t="str">
        <v/>
      </c>
      <c r="AA139" s="372" t="str">
        <v/>
      </c>
      <c r="AB139" s="236" t="str">
        <v/>
      </c>
    </row>
    <row r="140" spans="2:28" ht="15.75" x14ac:dyDescent="0.2">
      <c r="B140" s="199"/>
      <c r="C140" s="197">
        <v>132</v>
      </c>
      <c r="D140" s="121">
        <f>IF(Planning!$T138="","",Planning!$T138)</f>
        <v>46050</v>
      </c>
      <c r="E140" s="122">
        <f>IF(Planning!$U138="","",Planning!$U138)</f>
        <v>0.875</v>
      </c>
      <c r="F140" s="130" t="str">
        <f>Planning!$Q138</f>
        <v>Ajax Amsterdam</v>
      </c>
      <c r="G140" s="131" t="s">
        <v>4</v>
      </c>
      <c r="H140" s="130" t="str">
        <f>Planning!$S138</f>
        <v>Olympiakos Piräus</v>
      </c>
      <c r="I140" s="132"/>
      <c r="J140" s="410" t="str">
        <f>Language!$E$90</f>
        <v xml:space="preserve"> - </v>
      </c>
      <c r="K140" s="133"/>
      <c r="L140" s="233"/>
      <c r="M140" s="234"/>
      <c r="O140" s="362" t="str">
        <v/>
      </c>
      <c r="P140" s="363" t="str">
        <v>Olympique Marseille</v>
      </c>
      <c r="Q140" s="364" t="str">
        <v/>
      </c>
      <c r="R140" s="365" t="str">
        <v/>
      </c>
      <c r="S140" s="365" t="str">
        <v/>
      </c>
      <c r="T140" s="366" t="str">
        <v/>
      </c>
      <c r="U140" s="367" t="str">
        <v/>
      </c>
      <c r="V140" s="368" t="str">
        <v xml:space="preserve"> - </v>
      </c>
      <c r="W140" s="369" t="str">
        <v/>
      </c>
      <c r="X140" s="370" t="str">
        <v/>
      </c>
      <c r="Y140" s="371" t="str">
        <v/>
      </c>
      <c r="Z140" s="371" t="str">
        <v/>
      </c>
      <c r="AA140" s="372" t="str">
        <v/>
      </c>
      <c r="AB140" s="236" t="str">
        <v/>
      </c>
    </row>
    <row r="141" spans="2:28" ht="15.75" x14ac:dyDescent="0.2">
      <c r="B141" s="199"/>
      <c r="C141" s="197">
        <v>133</v>
      </c>
      <c r="D141" s="121">
        <f>IF(Planning!$T139="","",Planning!$T139)</f>
        <v>46050</v>
      </c>
      <c r="E141" s="122">
        <f>IF(Planning!$U139="","",Planning!$U139)</f>
        <v>0.875</v>
      </c>
      <c r="F141" s="130" t="str">
        <f>Planning!$Q139</f>
        <v>FC Arsenal</v>
      </c>
      <c r="G141" s="131" t="s">
        <v>4</v>
      </c>
      <c r="H141" s="130" t="str">
        <f>Planning!$S139</f>
        <v>Qairat Almaty</v>
      </c>
      <c r="I141" s="132"/>
      <c r="J141" s="410" t="str">
        <f>Language!$E$90</f>
        <v xml:space="preserve"> - </v>
      </c>
      <c r="K141" s="133"/>
      <c r="L141" s="233"/>
      <c r="M141" s="234"/>
      <c r="O141" s="373" t="str">
        <v/>
      </c>
      <c r="P141" s="374" t="str">
        <v>AS Monaco</v>
      </c>
      <c r="Q141" s="375" t="str">
        <v/>
      </c>
      <c r="R141" s="376" t="str">
        <v/>
      </c>
      <c r="S141" s="376" t="str">
        <v/>
      </c>
      <c r="T141" s="377" t="str">
        <v/>
      </c>
      <c r="U141" s="378" t="str">
        <v/>
      </c>
      <c r="V141" s="379" t="str">
        <v xml:space="preserve"> - </v>
      </c>
      <c r="W141" s="380" t="str">
        <v/>
      </c>
      <c r="X141" s="381" t="str">
        <v/>
      </c>
      <c r="Y141" s="382" t="str">
        <v/>
      </c>
      <c r="Z141" s="382" t="str">
        <v/>
      </c>
      <c r="AA141" s="383" t="str">
        <v/>
      </c>
      <c r="AB141" s="236" t="str">
        <v/>
      </c>
    </row>
    <row r="142" spans="2:28" ht="15.75" x14ac:dyDescent="0.2">
      <c r="B142" s="199"/>
      <c r="C142" s="197">
        <v>134</v>
      </c>
      <c r="D142" s="121">
        <f>IF(Planning!$T140="","",Planning!$T140)</f>
        <v>46050</v>
      </c>
      <c r="E142" s="122">
        <f>IF(Planning!$U140="","",Planning!$U140)</f>
        <v>0.875</v>
      </c>
      <c r="F142" s="130" t="str">
        <f>Planning!$Q140</f>
        <v>Atletico Madrid</v>
      </c>
      <c r="G142" s="131" t="s">
        <v>4</v>
      </c>
      <c r="H142" s="130" t="str">
        <f>Planning!$S140</f>
        <v>FK Bodö/Glimt</v>
      </c>
      <c r="I142" s="132"/>
      <c r="J142" s="410" t="str">
        <f>Language!$E$90</f>
        <v xml:space="preserve"> - </v>
      </c>
      <c r="K142" s="133"/>
      <c r="L142" s="233"/>
      <c r="M142" s="234"/>
      <c r="O142" s="373" t="str">
        <v/>
      </c>
      <c r="P142" s="374" t="str">
        <v>Bayern München</v>
      </c>
      <c r="Q142" s="375" t="str">
        <v/>
      </c>
      <c r="R142" s="376" t="str">
        <v/>
      </c>
      <c r="S142" s="376" t="str">
        <v/>
      </c>
      <c r="T142" s="377" t="str">
        <v/>
      </c>
      <c r="U142" s="378" t="str">
        <v/>
      </c>
      <c r="V142" s="379" t="str">
        <v xml:space="preserve"> - </v>
      </c>
      <c r="W142" s="380" t="str">
        <v/>
      </c>
      <c r="X142" s="381" t="str">
        <v/>
      </c>
      <c r="Y142" s="382" t="str">
        <v/>
      </c>
      <c r="Z142" s="382" t="str">
        <v/>
      </c>
      <c r="AA142" s="383" t="str">
        <v/>
      </c>
      <c r="AB142" s="236" t="str">
        <v/>
      </c>
    </row>
    <row r="143" spans="2:28" ht="15.75" x14ac:dyDescent="0.2">
      <c r="B143" s="199"/>
      <c r="C143" s="197">
        <v>135</v>
      </c>
      <c r="D143" s="121">
        <f>IF(Planning!$T141="","",Planning!$T141)</f>
        <v>46050</v>
      </c>
      <c r="E143" s="122">
        <f>IF(Planning!$U141="","",Planning!$U141)</f>
        <v>0.875</v>
      </c>
      <c r="F143" s="130" t="str">
        <f>Planning!$Q141</f>
        <v>Bayer 04 Leverkusen</v>
      </c>
      <c r="G143" s="131" t="s">
        <v>4</v>
      </c>
      <c r="H143" s="130" t="str">
        <f>Planning!$S141</f>
        <v>FC Villarreal</v>
      </c>
      <c r="I143" s="132"/>
      <c r="J143" s="410" t="str">
        <f>Language!$E$90</f>
        <v xml:space="preserve"> - </v>
      </c>
      <c r="K143" s="133"/>
      <c r="L143" s="233"/>
      <c r="M143" s="234"/>
      <c r="O143" s="373" t="str">
        <v/>
      </c>
      <c r="P143" s="374" t="str">
        <v>SSC Neapel</v>
      </c>
      <c r="Q143" s="375" t="str">
        <v/>
      </c>
      <c r="R143" s="376" t="str">
        <v/>
      </c>
      <c r="S143" s="376" t="str">
        <v/>
      </c>
      <c r="T143" s="377" t="str">
        <v/>
      </c>
      <c r="U143" s="378" t="str">
        <v/>
      </c>
      <c r="V143" s="379" t="str">
        <v xml:space="preserve"> - </v>
      </c>
      <c r="W143" s="380" t="str">
        <v/>
      </c>
      <c r="X143" s="381" t="str">
        <v/>
      </c>
      <c r="Y143" s="382" t="str">
        <v/>
      </c>
      <c r="Z143" s="382" t="str">
        <v/>
      </c>
      <c r="AA143" s="383" t="str">
        <v/>
      </c>
      <c r="AB143" s="236" t="str">
        <v/>
      </c>
    </row>
    <row r="144" spans="2:28" ht="15.75" x14ac:dyDescent="0.2">
      <c r="B144" s="199"/>
      <c r="C144" s="197">
        <v>136</v>
      </c>
      <c r="D144" s="121">
        <f>IF(Planning!$T142="","",Planning!$T142)</f>
        <v>46050</v>
      </c>
      <c r="E144" s="122">
        <f>IF(Planning!$U142="","",Planning!$U142)</f>
        <v>0.875</v>
      </c>
      <c r="F144" s="130" t="str">
        <f>Planning!$Q142</f>
        <v>Benfica Lissabon</v>
      </c>
      <c r="G144" s="131" t="s">
        <v>4</v>
      </c>
      <c r="H144" s="130" t="str">
        <f>Planning!$S142</f>
        <v>Real Madrid</v>
      </c>
      <c r="I144" s="132"/>
      <c r="J144" s="410" t="str">
        <f>Language!$E$90</f>
        <v xml:space="preserve"> - </v>
      </c>
      <c r="K144" s="133"/>
      <c r="L144" s="233"/>
      <c r="M144" s="234"/>
      <c r="O144" s="373" t="str">
        <v/>
      </c>
      <c r="P144" s="374" t="str">
        <v>Newcastle United</v>
      </c>
      <c r="Q144" s="375" t="str">
        <v/>
      </c>
      <c r="R144" s="376" t="str">
        <v/>
      </c>
      <c r="S144" s="376" t="str">
        <v/>
      </c>
      <c r="T144" s="377" t="str">
        <v/>
      </c>
      <c r="U144" s="378" t="str">
        <v/>
      </c>
      <c r="V144" s="379" t="str">
        <v xml:space="preserve"> - </v>
      </c>
      <c r="W144" s="380" t="str">
        <v/>
      </c>
      <c r="X144" s="381" t="str">
        <v/>
      </c>
      <c r="Y144" s="382" t="str">
        <v/>
      </c>
      <c r="Z144" s="382" t="str">
        <v/>
      </c>
      <c r="AA144" s="383" t="str">
        <v/>
      </c>
      <c r="AB144" s="236" t="str">
        <v/>
      </c>
    </row>
    <row r="145" spans="2:28" ht="15.75" x14ac:dyDescent="0.2">
      <c r="B145" s="199"/>
      <c r="C145" s="197">
        <v>137</v>
      </c>
      <c r="D145" s="121">
        <f>IF(Planning!$T143="","",Planning!$T143)</f>
        <v>46050</v>
      </c>
      <c r="E145" s="122">
        <f>IF(Planning!$U143="","",Planning!$U143)</f>
        <v>0.875</v>
      </c>
      <c r="F145" s="130" t="str">
        <f>Planning!$Q143</f>
        <v>Club Brügge</v>
      </c>
      <c r="G145" s="131" t="s">
        <v>4</v>
      </c>
      <c r="H145" s="130" t="str">
        <f>Planning!$S143</f>
        <v>Olympique Marseille</v>
      </c>
      <c r="I145" s="132"/>
      <c r="J145" s="410" t="str">
        <f>Language!$E$90</f>
        <v xml:space="preserve"> - </v>
      </c>
      <c r="K145" s="133"/>
      <c r="L145" s="233"/>
      <c r="M145" s="234"/>
      <c r="O145" s="373" t="str">
        <v/>
      </c>
      <c r="P145" s="374" t="str">
        <v>Pafos FC</v>
      </c>
      <c r="Q145" s="375" t="str">
        <v/>
      </c>
      <c r="R145" s="376" t="str">
        <v/>
      </c>
      <c r="S145" s="376" t="str">
        <v/>
      </c>
      <c r="T145" s="377" t="str">
        <v/>
      </c>
      <c r="U145" s="378" t="str">
        <v/>
      </c>
      <c r="V145" s="379" t="str">
        <v xml:space="preserve"> - </v>
      </c>
      <c r="W145" s="380" t="str">
        <v/>
      </c>
      <c r="X145" s="381" t="str">
        <v/>
      </c>
      <c r="Y145" s="382" t="str">
        <v/>
      </c>
      <c r="Z145" s="382" t="str">
        <v/>
      </c>
      <c r="AA145" s="383" t="str">
        <v/>
      </c>
      <c r="AB145" s="236" t="str">
        <v/>
      </c>
    </row>
    <row r="146" spans="2:28" ht="15.75" x14ac:dyDescent="0.2">
      <c r="B146" s="199"/>
      <c r="C146" s="197">
        <v>138</v>
      </c>
      <c r="D146" s="121">
        <f>IF(Planning!$T144="","",Planning!$T144)</f>
        <v>46050</v>
      </c>
      <c r="E146" s="122">
        <f>IF(Planning!$U144="","",Planning!$U144)</f>
        <v>0.875</v>
      </c>
      <c r="F146" s="130" t="str">
        <f>Planning!$Q144</f>
        <v>Eintracht Frankfurt</v>
      </c>
      <c r="G146" s="131" t="s">
        <v>4</v>
      </c>
      <c r="H146" s="130" t="str">
        <f>Planning!$S144</f>
        <v>Tottenham Hotspur</v>
      </c>
      <c r="I146" s="132"/>
      <c r="J146" s="410" t="str">
        <f>Language!$E$90</f>
        <v xml:space="preserve"> - </v>
      </c>
      <c r="K146" s="133"/>
      <c r="L146" s="233"/>
      <c r="M146" s="234"/>
      <c r="O146" s="373" t="str">
        <v/>
      </c>
      <c r="P146" s="374" t="str">
        <v>Paris St. Germain</v>
      </c>
      <c r="Q146" s="375" t="str">
        <v/>
      </c>
      <c r="R146" s="376" t="str">
        <v/>
      </c>
      <c r="S146" s="376" t="str">
        <v/>
      </c>
      <c r="T146" s="377" t="str">
        <v/>
      </c>
      <c r="U146" s="378" t="str">
        <v/>
      </c>
      <c r="V146" s="379" t="str">
        <v xml:space="preserve"> - </v>
      </c>
      <c r="W146" s="380" t="str">
        <v/>
      </c>
      <c r="X146" s="381" t="str">
        <v/>
      </c>
      <c r="Y146" s="382" t="str">
        <v/>
      </c>
      <c r="Z146" s="382" t="str">
        <v/>
      </c>
      <c r="AA146" s="383" t="str">
        <v/>
      </c>
      <c r="AB146" s="236" t="str">
        <v/>
      </c>
    </row>
    <row r="147" spans="2:28" ht="15.75" x14ac:dyDescent="0.2">
      <c r="B147" s="199"/>
      <c r="C147" s="197">
        <v>139</v>
      </c>
      <c r="D147" s="121">
        <f>IF(Planning!$T145="","",Planning!$T145)</f>
        <v>46050</v>
      </c>
      <c r="E147" s="122">
        <f>IF(Planning!$U145="","",Planning!$U145)</f>
        <v>0.875</v>
      </c>
      <c r="F147" s="130" t="str">
        <f>Planning!$Q145</f>
        <v>PSV Eindhoven</v>
      </c>
      <c r="G147" s="131" t="s">
        <v>4</v>
      </c>
      <c r="H147" s="130" t="str">
        <f>Planning!$S145</f>
        <v>Bayern München</v>
      </c>
      <c r="I147" s="132"/>
      <c r="J147" s="410" t="str">
        <f>Language!$E$90</f>
        <v xml:space="preserve"> - </v>
      </c>
      <c r="K147" s="133"/>
      <c r="L147" s="233"/>
      <c r="M147" s="234"/>
      <c r="O147" s="373" t="str">
        <v/>
      </c>
      <c r="P147" s="374" t="str">
        <v>Olympiakos Piräus</v>
      </c>
      <c r="Q147" s="375" t="str">
        <v/>
      </c>
      <c r="R147" s="376" t="str">
        <v/>
      </c>
      <c r="S147" s="376" t="str">
        <v/>
      </c>
      <c r="T147" s="377" t="str">
        <v/>
      </c>
      <c r="U147" s="378" t="str">
        <v/>
      </c>
      <c r="V147" s="379" t="str">
        <v xml:space="preserve"> - </v>
      </c>
      <c r="W147" s="380" t="str">
        <v/>
      </c>
      <c r="X147" s="381" t="str">
        <v/>
      </c>
      <c r="Y147" s="382" t="str">
        <v/>
      </c>
      <c r="Z147" s="382" t="str">
        <v/>
      </c>
      <c r="AA147" s="383" t="str">
        <v/>
      </c>
      <c r="AB147" s="236" t="str">
        <v/>
      </c>
    </row>
    <row r="148" spans="2:28" ht="15.75" x14ac:dyDescent="0.2">
      <c r="B148" s="199"/>
      <c r="C148" s="197">
        <v>140</v>
      </c>
      <c r="D148" s="121">
        <f>IF(Planning!$T146="","",Planning!$T146)</f>
        <v>46050</v>
      </c>
      <c r="E148" s="122">
        <f>IF(Planning!$U146="","",Planning!$U146)</f>
        <v>0.875</v>
      </c>
      <c r="F148" s="130" t="str">
        <f>Planning!$Q146</f>
        <v>SSC Neapel</v>
      </c>
      <c r="G148" s="131" t="s">
        <v>4</v>
      </c>
      <c r="H148" s="130" t="str">
        <f>Planning!$S146</f>
        <v>FC Chelsea</v>
      </c>
      <c r="I148" s="132"/>
      <c r="J148" s="410" t="str">
        <f>Language!$E$90</f>
        <v xml:space="preserve"> - </v>
      </c>
      <c r="K148" s="133"/>
      <c r="L148" s="233"/>
      <c r="M148" s="234"/>
      <c r="O148" s="373" t="str">
        <v/>
      </c>
      <c r="P148" s="374" t="str">
        <v>Salva Prag</v>
      </c>
      <c r="Q148" s="375" t="str">
        <v/>
      </c>
      <c r="R148" s="376" t="str">
        <v/>
      </c>
      <c r="S148" s="376" t="str">
        <v/>
      </c>
      <c r="T148" s="377" t="str">
        <v/>
      </c>
      <c r="U148" s="378" t="str">
        <v/>
      </c>
      <c r="V148" s="379" t="str">
        <v xml:space="preserve"> - </v>
      </c>
      <c r="W148" s="380" t="str">
        <v/>
      </c>
      <c r="X148" s="381" t="str">
        <v/>
      </c>
      <c r="Y148" s="382" t="str">
        <v/>
      </c>
      <c r="Z148" s="382" t="str">
        <v/>
      </c>
      <c r="AA148" s="383" t="str">
        <v/>
      </c>
      <c r="AB148" s="236" t="str">
        <v/>
      </c>
    </row>
    <row r="149" spans="2:28" ht="15.75" x14ac:dyDescent="0.2">
      <c r="B149" s="199"/>
      <c r="C149" s="197">
        <v>141</v>
      </c>
      <c r="D149" s="121">
        <f>IF(Planning!$T147="","",Planning!$T147)</f>
        <v>46050</v>
      </c>
      <c r="E149" s="122">
        <f>IF(Planning!$U147="","",Planning!$U147)</f>
        <v>0.875</v>
      </c>
      <c r="F149" s="130" t="str">
        <f>Planning!$Q147</f>
        <v>AS Monaco</v>
      </c>
      <c r="G149" s="131" t="s">
        <v>4</v>
      </c>
      <c r="H149" s="130" t="str">
        <f>Planning!$S147</f>
        <v>Juventus Turin</v>
      </c>
      <c r="I149" s="132"/>
      <c r="J149" s="410" t="str">
        <f>Language!$E$90</f>
        <v xml:space="preserve"> - </v>
      </c>
      <c r="K149" s="133"/>
      <c r="L149" s="233"/>
      <c r="M149" s="234"/>
      <c r="O149" s="373" t="str">
        <v/>
      </c>
      <c r="P149" s="374" t="str">
        <v>Union Saint-Gilloise</v>
      </c>
      <c r="Q149" s="375" t="str">
        <v/>
      </c>
      <c r="R149" s="376" t="str">
        <v/>
      </c>
      <c r="S149" s="376" t="str">
        <v/>
      </c>
      <c r="T149" s="377" t="str">
        <v/>
      </c>
      <c r="U149" s="378" t="str">
        <v/>
      </c>
      <c r="V149" s="379" t="str">
        <v xml:space="preserve"> - </v>
      </c>
      <c r="W149" s="380" t="str">
        <v/>
      </c>
      <c r="X149" s="381" t="str">
        <v/>
      </c>
      <c r="Y149" s="382" t="str">
        <v/>
      </c>
      <c r="Z149" s="382" t="str">
        <v/>
      </c>
      <c r="AA149" s="383" t="str">
        <v/>
      </c>
      <c r="AB149" s="236" t="str">
        <v/>
      </c>
    </row>
    <row r="150" spans="2:28" ht="15.75" x14ac:dyDescent="0.2">
      <c r="B150" s="199"/>
      <c r="C150" s="197">
        <v>142</v>
      </c>
      <c r="D150" s="121">
        <f>IF(Planning!$T148="","",Planning!$T148)</f>
        <v>46050</v>
      </c>
      <c r="E150" s="122">
        <f>IF(Planning!$U148="","",Planning!$U148)</f>
        <v>0.875</v>
      </c>
      <c r="F150" s="130" t="str">
        <f>Planning!$Q148</f>
        <v>Union Saint-Gilloise</v>
      </c>
      <c r="G150" s="131" t="s">
        <v>4</v>
      </c>
      <c r="H150" s="130" t="str">
        <f>Planning!$S148</f>
        <v>Atalanta Bergamo</v>
      </c>
      <c r="I150" s="132"/>
      <c r="J150" s="410" t="str">
        <f>Language!$E$90</f>
        <v xml:space="preserve"> - </v>
      </c>
      <c r="K150" s="133"/>
      <c r="L150" s="233"/>
      <c r="M150" s="234"/>
      <c r="O150" s="373" t="str">
        <v/>
      </c>
      <c r="P150" s="374" t="str">
        <v>Tottenham Hotspur</v>
      </c>
      <c r="Q150" s="375" t="str">
        <v/>
      </c>
      <c r="R150" s="376" t="str">
        <v/>
      </c>
      <c r="S150" s="376" t="str">
        <v/>
      </c>
      <c r="T150" s="377" t="str">
        <v/>
      </c>
      <c r="U150" s="378" t="str">
        <v/>
      </c>
      <c r="V150" s="379" t="str">
        <v xml:space="preserve"> - </v>
      </c>
      <c r="W150" s="380" t="str">
        <v/>
      </c>
      <c r="X150" s="381" t="str">
        <v/>
      </c>
      <c r="Y150" s="382" t="str">
        <v/>
      </c>
      <c r="Z150" s="382" t="str">
        <v/>
      </c>
      <c r="AA150" s="383" t="str">
        <v/>
      </c>
      <c r="AB150" s="236" t="str">
        <v/>
      </c>
    </row>
    <row r="151" spans="2:28" ht="15.75" x14ac:dyDescent="0.2">
      <c r="B151" s="199"/>
      <c r="C151" s="197">
        <v>143</v>
      </c>
      <c r="D151" s="121">
        <f>IF(Planning!$T149="","",Planning!$T149)</f>
        <v>46050</v>
      </c>
      <c r="E151" s="122">
        <f>IF(Planning!$U149="","",Planning!$U149)</f>
        <v>0.875</v>
      </c>
      <c r="F151" s="130" t="str">
        <f>Planning!$Q149</f>
        <v>Athletic Bilbao</v>
      </c>
      <c r="G151" s="131" t="s">
        <v>4</v>
      </c>
      <c r="H151" s="130" t="str">
        <f>Planning!$S149</f>
        <v>Sporting Lissabon</v>
      </c>
      <c r="I151" s="132"/>
      <c r="J151" s="410" t="str">
        <f>Language!$E$90</f>
        <v xml:space="preserve"> - </v>
      </c>
      <c r="K151" s="133"/>
      <c r="L151" s="233"/>
      <c r="M151" s="234"/>
      <c r="O151" s="373" t="str">
        <v/>
      </c>
      <c r="P151" s="374" t="str">
        <v>Juventus Turin</v>
      </c>
      <c r="Q151" s="375" t="str">
        <v/>
      </c>
      <c r="R151" s="376" t="str">
        <v/>
      </c>
      <c r="S151" s="376" t="str">
        <v/>
      </c>
      <c r="T151" s="377" t="str">
        <v/>
      </c>
      <c r="U151" s="378" t="str">
        <v/>
      </c>
      <c r="V151" s="379" t="str">
        <v xml:space="preserve"> - </v>
      </c>
      <c r="W151" s="380" t="str">
        <v/>
      </c>
      <c r="X151" s="381" t="str">
        <v/>
      </c>
      <c r="Y151" s="382" t="str">
        <v/>
      </c>
      <c r="Z151" s="382" t="str">
        <v/>
      </c>
      <c r="AA151" s="383" t="str">
        <v/>
      </c>
      <c r="AB151" s="236" t="str">
        <v/>
      </c>
    </row>
    <row r="152" spans="2:28" ht="16.5" thickBot="1" x14ac:dyDescent="0.25">
      <c r="B152" s="199"/>
      <c r="C152" s="197">
        <v>144</v>
      </c>
      <c r="D152" s="121">
        <f>IF(Planning!$T150="","",Planning!$T150)</f>
        <v>46050</v>
      </c>
      <c r="E152" s="122">
        <f>IF(Planning!$U150="","",Planning!$U150)</f>
        <v>0.875</v>
      </c>
      <c r="F152" s="130" t="str">
        <f>Planning!$Q150</f>
        <v>Pafos FC</v>
      </c>
      <c r="G152" s="131" t="s">
        <v>4</v>
      </c>
      <c r="H152" s="130" t="str">
        <f>Planning!$S150</f>
        <v>Salva Prag</v>
      </c>
      <c r="I152" s="132"/>
      <c r="J152" s="410" t="str">
        <f>Language!$E$90</f>
        <v xml:space="preserve"> - </v>
      </c>
      <c r="K152" s="133"/>
      <c r="L152" s="233"/>
      <c r="M152" s="234"/>
      <c r="O152" s="384" t="str">
        <v/>
      </c>
      <c r="P152" s="385" t="str">
        <v>FC Villarreal</v>
      </c>
      <c r="Q152" s="386" t="str">
        <v/>
      </c>
      <c r="R152" s="387" t="str">
        <v/>
      </c>
      <c r="S152" s="387" t="str">
        <v/>
      </c>
      <c r="T152" s="388" t="str">
        <v/>
      </c>
      <c r="U152" s="389" t="str">
        <v/>
      </c>
      <c r="V152" s="390" t="str">
        <v xml:space="preserve"> - </v>
      </c>
      <c r="W152" s="391" t="str">
        <v/>
      </c>
      <c r="X152" s="392" t="str">
        <v/>
      </c>
      <c r="Y152" s="393" t="str">
        <v/>
      </c>
      <c r="Z152" s="393" t="str">
        <v/>
      </c>
      <c r="AA152" s="394" t="str">
        <v/>
      </c>
      <c r="AB152" s="237" t="str">
        <v/>
      </c>
    </row>
    <row r="153" spans="2:28" ht="16.5" thickTop="1" x14ac:dyDescent="0.25">
      <c r="B153" s="418"/>
      <c r="C153" s="419"/>
      <c r="D153" s="419"/>
      <c r="E153" s="419"/>
      <c r="F153" s="419"/>
      <c r="G153" s="419"/>
      <c r="H153" s="419"/>
      <c r="I153" s="419"/>
      <c r="J153" s="419"/>
      <c r="K153" s="419"/>
      <c r="L153" s="420"/>
      <c r="M153" s="420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  <mergeCell ref="AG6:AZ6"/>
    <mergeCell ref="O6:P6"/>
    <mergeCell ref="U116:W116"/>
    <mergeCell ref="O69:S69"/>
    <mergeCell ref="U77:W77"/>
    <mergeCell ref="O74:AF74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OR(Planning!$F$6&gt;2,Planning!$B$6&gt;1)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Planning!$F$6=2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R50"/>
  <sheetViews>
    <sheetView showGridLines="0" showRowColHeaders="0" workbookViewId="0">
      <selection activeCell="C4" sqref="C4"/>
    </sheetView>
  </sheetViews>
  <sheetFormatPr baseColWidth="10" defaultColWidth="0" defaultRowHeight="15.75" zeroHeight="1" x14ac:dyDescent="0.25"/>
  <cols>
    <col min="1" max="1" width="5.85546875" style="423" customWidth="1"/>
    <col min="2" max="2" width="7.42578125" style="424" customWidth="1"/>
    <col min="3" max="3" width="12.42578125" style="424" customWidth="1"/>
    <col min="4" max="4" width="11.42578125" style="424" customWidth="1"/>
    <col min="5" max="5" width="24.7109375" style="423" customWidth="1"/>
    <col min="6" max="6" width="2.28515625" style="423" customWidth="1"/>
    <col min="7" max="7" width="24.7109375" style="423" customWidth="1"/>
    <col min="8" max="8" width="6.7109375" style="423" customWidth="1"/>
    <col min="9" max="9" width="2" style="423" customWidth="1"/>
    <col min="10" max="11" width="6.7109375" style="423" customWidth="1"/>
    <col min="12" max="12" width="2" style="423" customWidth="1"/>
    <col min="13" max="14" width="6.7109375" style="423" customWidth="1"/>
    <col min="15" max="15" width="2" style="423" customWidth="1"/>
    <col min="16" max="16" width="6.7109375" style="423" customWidth="1"/>
    <col min="17" max="17" width="6.85546875" style="423" customWidth="1"/>
    <col min="18" max="18" width="2.42578125" style="423" customWidth="1"/>
    <col min="19" max="19" width="9.140625" style="423" customWidth="1"/>
    <col min="20" max="20" width="6.7109375" style="423" customWidth="1"/>
    <col min="21" max="21" width="26.7109375" style="423" customWidth="1"/>
    <col min="22" max="32" width="6.7109375" style="423" customWidth="1"/>
    <col min="33" max="33" width="6.5703125" style="423" customWidth="1"/>
    <col min="34" max="34" width="4.7109375" style="424" hidden="1" customWidth="1"/>
    <col min="35" max="35" width="1.42578125" style="424" hidden="1" customWidth="1"/>
    <col min="36" max="37" width="4.7109375" style="424" hidden="1" customWidth="1"/>
    <col min="38" max="38" width="1.5703125" style="424" hidden="1" customWidth="1"/>
    <col min="39" max="40" width="4.7109375" style="424" hidden="1" customWidth="1"/>
    <col min="41" max="41" width="1.140625" style="424" hidden="1" customWidth="1"/>
    <col min="42" max="42" width="4.7109375" style="424" hidden="1" customWidth="1"/>
    <col min="43" max="43" width="13.7109375" style="423" hidden="1" customWidth="1"/>
    <col min="44" max="44" width="14.140625" style="423" hidden="1" customWidth="1"/>
    <col min="45" max="16384" width="11.42578125" style="423" hidden="1"/>
  </cols>
  <sheetData>
    <row r="1" spans="2:44" x14ac:dyDescent="0.25"/>
    <row r="2" spans="2:44" ht="29.25" customHeight="1" thickBot="1" x14ac:dyDescent="0.4">
      <c r="B2" s="425" t="str">
        <f>Language!$E$38</f>
        <v>Playoffs</v>
      </c>
      <c r="G2" s="447" t="str">
        <f>Language!$E$88</f>
        <v>These teams have home advantage in the return match.</v>
      </c>
      <c r="H2" s="516" t="s">
        <v>333</v>
      </c>
      <c r="I2" s="516"/>
      <c r="J2" s="516"/>
      <c r="K2" s="516" t="s">
        <v>334</v>
      </c>
      <c r="L2" s="516"/>
      <c r="M2" s="516"/>
      <c r="N2" s="519" t="str">
        <f>Language!$E$33</f>
        <v>Penalty shootout</v>
      </c>
      <c r="O2" s="520"/>
      <c r="P2" s="521"/>
      <c r="T2" s="525" t="str">
        <f>Language!$E$42</f>
        <v>League table</v>
      </c>
      <c r="U2" s="525"/>
    </row>
    <row r="3" spans="2:44" ht="17.25" thickTop="1" thickBot="1" x14ac:dyDescent="0.3">
      <c r="G3" s="448" t="s">
        <v>277</v>
      </c>
      <c r="H3" s="517" t="str">
        <f>Language!$E$31</f>
        <v>First leg</v>
      </c>
      <c r="I3" s="517"/>
      <c r="J3" s="517"/>
      <c r="K3" s="517" t="str">
        <f>Language!$E$32</f>
        <v>Second leg</v>
      </c>
      <c r="L3" s="517"/>
      <c r="M3" s="517"/>
      <c r="N3" s="522"/>
      <c r="O3" s="523"/>
      <c r="P3" s="524"/>
      <c r="S3" s="458" t="str">
        <f>Language!$E$39</f>
        <v>League rank</v>
      </c>
      <c r="T3" s="416"/>
      <c r="U3" s="417"/>
      <c r="V3" s="202" t="str">
        <f>Results!$Q$8</f>
        <v>Pl</v>
      </c>
      <c r="W3" s="203" t="str">
        <f>Results!$R$8</f>
        <v>W</v>
      </c>
      <c r="X3" s="203" t="str">
        <f>Results!$S$8</f>
        <v>D</v>
      </c>
      <c r="Y3" s="422" t="str">
        <f>Results!$T$8</f>
        <v>L</v>
      </c>
      <c r="Z3" s="484" t="str">
        <f>Results!$U$8</f>
        <v>GF  -  GA</v>
      </c>
      <c r="AA3" s="485"/>
      <c r="AB3" s="486"/>
      <c r="AC3" s="203" t="str">
        <f>Results!$X$8</f>
        <v>GD</v>
      </c>
      <c r="AD3" s="422" t="str">
        <f>Results!$Y$8</f>
        <v>AGls</v>
      </c>
      <c r="AE3" s="422" t="str">
        <f>Results!$Z$8</f>
        <v>AWin</v>
      </c>
      <c r="AF3" s="205" t="str">
        <f>Results!$AA$8</f>
        <v>Pts</v>
      </c>
    </row>
    <row r="4" spans="2:44" ht="16.5" thickTop="1" x14ac:dyDescent="0.25">
      <c r="B4" s="449" t="s">
        <v>214</v>
      </c>
      <c r="C4" s="475" t="s">
        <v>325</v>
      </c>
      <c r="D4" s="478" t="s">
        <v>206</v>
      </c>
      <c r="E4" s="432" t="str">
        <f>IF(ISNUMBER(FIND("/",$C4)),"",INDEX(Results!$P$9:$P$44,MID($C4,4,2)))</f>
        <v/>
      </c>
      <c r="F4" s="433" t="s">
        <v>4</v>
      </c>
      <c r="G4" s="438" t="str">
        <f>IF(ISNUMBER(FIND("/",$D4)),"",INDEX(Results!$P$9:$P$44,MID($D4,4,2)))</f>
        <v>Club Brügge</v>
      </c>
      <c r="H4" s="459"/>
      <c r="I4" s="471" t="str">
        <f>Language!$E$90</f>
        <v xml:space="preserve"> - </v>
      </c>
      <c r="J4" s="462"/>
      <c r="K4" s="459"/>
      <c r="L4" s="471" t="str">
        <f>Language!$E$90</f>
        <v xml:space="preserve"> - </v>
      </c>
      <c r="M4" s="462"/>
      <c r="N4" s="459"/>
      <c r="O4" s="471" t="str">
        <f>Language!$E$90</f>
        <v xml:space="preserve"> - </v>
      </c>
      <c r="P4" s="465"/>
      <c r="R4" s="424"/>
      <c r="S4" s="453" t="s">
        <v>213</v>
      </c>
      <c r="T4" s="329" t="str">
        <f t="array" ref="T4:AF39">IF(Results!$O$9:$AB$44="","",Results!$O$9:$AB$44)</f>
        <v/>
      </c>
      <c r="U4" s="330" t="str">
        <v>Qarabag Agdam</v>
      </c>
      <c r="V4" s="331" t="str">
        <v/>
      </c>
      <c r="W4" s="332" t="str">
        <v/>
      </c>
      <c r="X4" s="332" t="str">
        <v/>
      </c>
      <c r="Y4" s="333" t="str">
        <v/>
      </c>
      <c r="Z4" s="334" t="str">
        <v/>
      </c>
      <c r="AA4" s="335" t="str">
        <v xml:space="preserve"> - </v>
      </c>
      <c r="AB4" s="336" t="str">
        <v/>
      </c>
      <c r="AC4" s="337" t="str">
        <v/>
      </c>
      <c r="AD4" s="338" t="str">
        <v/>
      </c>
      <c r="AE4" s="338" t="str">
        <v/>
      </c>
      <c r="AF4" s="339" t="str">
        <v/>
      </c>
    </row>
    <row r="5" spans="2:44" x14ac:dyDescent="0.25">
      <c r="B5" s="450" t="s">
        <v>215</v>
      </c>
      <c r="C5" s="476" t="s">
        <v>325</v>
      </c>
      <c r="D5" s="479" t="s">
        <v>209</v>
      </c>
      <c r="E5" s="434" t="str">
        <f>IF(ISNUMBER(FIND("/",$C5)),"",INDEX(Results!$P$9:$P$44,MID($C5,4,2)))</f>
        <v/>
      </c>
      <c r="F5" s="435" t="s">
        <v>4</v>
      </c>
      <c r="G5" s="439" t="str">
        <f>IF(ISNUMBER(FIND("/",$D5)),"",INDEX(Results!$P$9:$P$44,MID($D5,4,2)))</f>
        <v>FC Chelsea</v>
      </c>
      <c r="H5" s="460"/>
      <c r="I5" s="472" t="str">
        <f>Language!$E$90</f>
        <v xml:space="preserve"> - </v>
      </c>
      <c r="J5" s="463"/>
      <c r="K5" s="460"/>
      <c r="L5" s="472" t="str">
        <f>Language!$E$90</f>
        <v xml:space="preserve"> - </v>
      </c>
      <c r="M5" s="463"/>
      <c r="N5" s="460"/>
      <c r="O5" s="472" t="str">
        <f>Language!$E$90</f>
        <v xml:space="preserve"> - </v>
      </c>
      <c r="P5" s="466"/>
      <c r="R5" s="424"/>
      <c r="S5" s="454" t="s">
        <v>208</v>
      </c>
      <c r="T5" s="340" t="str">
        <v/>
      </c>
      <c r="U5" s="341" t="str">
        <v>Qairat Almaty</v>
      </c>
      <c r="V5" s="342" t="str">
        <v/>
      </c>
      <c r="W5" s="343" t="str">
        <v/>
      </c>
      <c r="X5" s="343" t="str">
        <v/>
      </c>
      <c r="Y5" s="344" t="str">
        <v/>
      </c>
      <c r="Z5" s="345" t="str">
        <v/>
      </c>
      <c r="AA5" s="346" t="str">
        <v xml:space="preserve"> - </v>
      </c>
      <c r="AB5" s="347" t="str">
        <v/>
      </c>
      <c r="AC5" s="348" t="str">
        <v/>
      </c>
      <c r="AD5" s="349" t="str">
        <v/>
      </c>
      <c r="AE5" s="349" t="str">
        <v/>
      </c>
      <c r="AF5" s="350" t="str">
        <v/>
      </c>
    </row>
    <row r="6" spans="2:44" x14ac:dyDescent="0.25">
      <c r="B6" s="450" t="s">
        <v>216</v>
      </c>
      <c r="C6" s="476" t="s">
        <v>326</v>
      </c>
      <c r="D6" s="479" t="s">
        <v>241</v>
      </c>
      <c r="E6" s="434" t="str">
        <f>IF(ISNUMBER(FIND("/",$C6)),"",INDEX(Results!$P$9:$P$44,MID($C6,4,2)))</f>
        <v/>
      </c>
      <c r="F6" s="435" t="s">
        <v>4</v>
      </c>
      <c r="G6" s="439" t="str">
        <f>IF(ISNUMBER(FIND("/",$D6)),"",INDEX(Results!$P$9:$P$44,MID($D6,4,2)))</f>
        <v>Borussia Dortmund</v>
      </c>
      <c r="H6" s="460"/>
      <c r="I6" s="472" t="str">
        <f>Language!$E$90</f>
        <v xml:space="preserve"> - </v>
      </c>
      <c r="J6" s="463"/>
      <c r="K6" s="460"/>
      <c r="L6" s="472" t="str">
        <f>Language!$E$90</f>
        <v xml:space="preserve"> - </v>
      </c>
      <c r="M6" s="463"/>
      <c r="N6" s="460"/>
      <c r="O6" s="472" t="str">
        <f>Language!$E$90</f>
        <v xml:space="preserve"> - </v>
      </c>
      <c r="P6" s="466"/>
      <c r="R6" s="424"/>
      <c r="S6" s="454" t="s">
        <v>230</v>
      </c>
      <c r="T6" s="340" t="str">
        <v/>
      </c>
      <c r="U6" s="341" t="str">
        <v>Ajax Amsterdam</v>
      </c>
      <c r="V6" s="342" t="str">
        <v/>
      </c>
      <c r="W6" s="343" t="str">
        <v/>
      </c>
      <c r="X6" s="343" t="str">
        <v/>
      </c>
      <c r="Y6" s="344" t="str">
        <v/>
      </c>
      <c r="Z6" s="345" t="str">
        <v/>
      </c>
      <c r="AA6" s="346" t="str">
        <v xml:space="preserve"> - </v>
      </c>
      <c r="AB6" s="347" t="str">
        <v/>
      </c>
      <c r="AC6" s="348" t="str">
        <v/>
      </c>
      <c r="AD6" s="349" t="str">
        <v/>
      </c>
      <c r="AE6" s="349" t="str">
        <v/>
      </c>
      <c r="AF6" s="350" t="str">
        <v/>
      </c>
    </row>
    <row r="7" spans="2:44" x14ac:dyDescent="0.25">
      <c r="B7" s="450" t="s">
        <v>217</v>
      </c>
      <c r="C7" s="476" t="s">
        <v>326</v>
      </c>
      <c r="D7" s="479" t="s">
        <v>242</v>
      </c>
      <c r="E7" s="434" t="str">
        <f>IF(ISNUMBER(FIND("/",$C7)),"",INDEX(Results!$P$9:$P$44,MID($C7,4,2)))</f>
        <v/>
      </c>
      <c r="F7" s="435" t="s">
        <v>4</v>
      </c>
      <c r="G7" s="439" t="str">
        <f>IF(ISNUMBER(FIND("/",$D7)),"",INDEX(Results!$P$9:$P$44,MID($D7,4,2)))</f>
        <v>PSV Eindhoven</v>
      </c>
      <c r="H7" s="460"/>
      <c r="I7" s="472" t="str">
        <f>Language!$E$90</f>
        <v xml:space="preserve"> - </v>
      </c>
      <c r="J7" s="463"/>
      <c r="K7" s="460"/>
      <c r="L7" s="472" t="str">
        <f>Language!$E$90</f>
        <v xml:space="preserve"> - </v>
      </c>
      <c r="M7" s="463"/>
      <c r="N7" s="460"/>
      <c r="O7" s="472" t="str">
        <f>Language!$E$90</f>
        <v xml:space="preserve"> - </v>
      </c>
      <c r="P7" s="466"/>
      <c r="R7" s="424"/>
      <c r="S7" s="454" t="s">
        <v>231</v>
      </c>
      <c r="T7" s="340" t="str">
        <v/>
      </c>
      <c r="U7" s="341" t="str">
        <v>FC Arsenal</v>
      </c>
      <c r="V7" s="342" t="str">
        <v/>
      </c>
      <c r="W7" s="343" t="str">
        <v/>
      </c>
      <c r="X7" s="343" t="str">
        <v/>
      </c>
      <c r="Y7" s="344" t="str">
        <v/>
      </c>
      <c r="Z7" s="345" t="str">
        <v/>
      </c>
      <c r="AA7" s="346" t="str">
        <v xml:space="preserve"> - </v>
      </c>
      <c r="AB7" s="347" t="str">
        <v/>
      </c>
      <c r="AC7" s="348" t="str">
        <v/>
      </c>
      <c r="AD7" s="349" t="str">
        <v/>
      </c>
      <c r="AE7" s="349" t="str">
        <v/>
      </c>
      <c r="AF7" s="350" t="str">
        <v/>
      </c>
    </row>
    <row r="8" spans="2:44" x14ac:dyDescent="0.25">
      <c r="B8" s="450" t="s">
        <v>218</v>
      </c>
      <c r="C8" s="476" t="s">
        <v>327</v>
      </c>
      <c r="D8" s="479" t="s">
        <v>243</v>
      </c>
      <c r="E8" s="434" t="str">
        <f>IF(ISNUMBER(FIND("/",$C8)),"",INDEX(Results!$P$9:$P$44,MID($C8,4,2)))</f>
        <v/>
      </c>
      <c r="F8" s="435" t="s">
        <v>4</v>
      </c>
      <c r="G8" s="439" t="str">
        <f>IF(ISNUMBER(FIND("/",$D8)),"",INDEX(Results!$P$9:$P$44,MID($D8,4,2)))</f>
        <v>Eintracht Frankfurt</v>
      </c>
      <c r="H8" s="460"/>
      <c r="I8" s="472" t="str">
        <f>Language!$E$90</f>
        <v xml:space="preserve"> - </v>
      </c>
      <c r="J8" s="463"/>
      <c r="K8" s="460"/>
      <c r="L8" s="472" t="str">
        <f>Language!$E$90</f>
        <v xml:space="preserve"> - </v>
      </c>
      <c r="M8" s="463"/>
      <c r="N8" s="460"/>
      <c r="O8" s="472" t="str">
        <f>Language!$E$90</f>
        <v xml:space="preserve"> - </v>
      </c>
      <c r="P8" s="466"/>
      <c r="R8" s="424"/>
      <c r="S8" s="454" t="s">
        <v>232</v>
      </c>
      <c r="T8" s="340" t="str">
        <v/>
      </c>
      <c r="U8" s="341" t="str">
        <v>FC Barcelona</v>
      </c>
      <c r="V8" s="342" t="str">
        <v/>
      </c>
      <c r="W8" s="343" t="str">
        <v/>
      </c>
      <c r="X8" s="343" t="str">
        <v/>
      </c>
      <c r="Y8" s="344" t="str">
        <v/>
      </c>
      <c r="Z8" s="345" t="str">
        <v/>
      </c>
      <c r="AA8" s="346" t="str">
        <v xml:space="preserve"> - </v>
      </c>
      <c r="AB8" s="347" t="str">
        <v/>
      </c>
      <c r="AC8" s="348" t="str">
        <v/>
      </c>
      <c r="AD8" s="349" t="str">
        <v/>
      </c>
      <c r="AE8" s="349" t="str">
        <v/>
      </c>
      <c r="AF8" s="350" t="str">
        <v/>
      </c>
    </row>
    <row r="9" spans="2:44" x14ac:dyDescent="0.25">
      <c r="B9" s="450" t="s">
        <v>219</v>
      </c>
      <c r="C9" s="476" t="s">
        <v>327</v>
      </c>
      <c r="D9" s="479" t="s">
        <v>244</v>
      </c>
      <c r="E9" s="434" t="str">
        <f>IF(ISNUMBER(FIND("/",$C9)),"",INDEX(Results!$P$9:$P$44,MID($C9,4,2)))</f>
        <v/>
      </c>
      <c r="F9" s="435" t="s">
        <v>4</v>
      </c>
      <c r="G9" s="439" t="str">
        <f>IF(ISNUMBER(FIND("/",$D9)),"",INDEX(Results!$P$9:$P$44,MID($D9,4,2)))</f>
        <v>Galatasaray SK</v>
      </c>
      <c r="H9" s="460"/>
      <c r="I9" s="472" t="str">
        <f>Language!$E$90</f>
        <v xml:space="preserve"> - </v>
      </c>
      <c r="J9" s="463"/>
      <c r="K9" s="460"/>
      <c r="L9" s="472" t="str">
        <f>Language!$E$90</f>
        <v xml:space="preserve"> - </v>
      </c>
      <c r="M9" s="463"/>
      <c r="N9" s="460"/>
      <c r="O9" s="472" t="str">
        <f>Language!$E$90</f>
        <v xml:space="preserve"> - </v>
      </c>
      <c r="P9" s="466"/>
      <c r="R9" s="424"/>
      <c r="S9" s="454" t="s">
        <v>233</v>
      </c>
      <c r="T9" s="340" t="str">
        <v/>
      </c>
      <c r="U9" s="341" t="str">
        <v>Atalanta Bergamo</v>
      </c>
      <c r="V9" s="342" t="str">
        <v/>
      </c>
      <c r="W9" s="343" t="str">
        <v/>
      </c>
      <c r="X9" s="343" t="str">
        <v/>
      </c>
      <c r="Y9" s="344" t="str">
        <v/>
      </c>
      <c r="Z9" s="345" t="str">
        <v/>
      </c>
      <c r="AA9" s="346" t="str">
        <v xml:space="preserve"> - </v>
      </c>
      <c r="AB9" s="347" t="str">
        <v/>
      </c>
      <c r="AC9" s="348" t="str">
        <v/>
      </c>
      <c r="AD9" s="349" t="str">
        <v/>
      </c>
      <c r="AE9" s="349" t="str">
        <v/>
      </c>
      <c r="AF9" s="350" t="str">
        <v/>
      </c>
    </row>
    <row r="10" spans="2:44" x14ac:dyDescent="0.25">
      <c r="B10" s="450" t="s">
        <v>220</v>
      </c>
      <c r="C10" s="476" t="s">
        <v>328</v>
      </c>
      <c r="D10" s="479" t="s">
        <v>245</v>
      </c>
      <c r="E10" s="434" t="str">
        <f>IF(ISNUMBER(FIND("/",$C10)),"",INDEX(Results!$P$9:$P$44,MID($C10,4,2)))</f>
        <v/>
      </c>
      <c r="F10" s="435" t="s">
        <v>4</v>
      </c>
      <c r="G10" s="439" t="str">
        <f>IF(ISNUMBER(FIND("/",$D10)),"",INDEX(Results!$P$9:$P$44,MID($D10,4,2)))</f>
        <v>FC Kopenhagen</v>
      </c>
      <c r="H10" s="460"/>
      <c r="I10" s="472" t="str">
        <f>Language!$E$90</f>
        <v xml:space="preserve"> - </v>
      </c>
      <c r="J10" s="463"/>
      <c r="K10" s="460"/>
      <c r="L10" s="472" t="str">
        <f>Language!$E$90</f>
        <v xml:space="preserve"> - </v>
      </c>
      <c r="M10" s="463"/>
      <c r="N10" s="460"/>
      <c r="O10" s="472" t="str">
        <f>Language!$E$90</f>
        <v xml:space="preserve"> - </v>
      </c>
      <c r="P10" s="466"/>
      <c r="R10" s="424"/>
      <c r="S10" s="454" t="s">
        <v>234</v>
      </c>
      <c r="T10" s="340" t="str">
        <v/>
      </c>
      <c r="U10" s="341" t="str">
        <v>Athletic Bilbao</v>
      </c>
      <c r="V10" s="342" t="str">
        <v/>
      </c>
      <c r="W10" s="343" t="str">
        <v/>
      </c>
      <c r="X10" s="343" t="str">
        <v/>
      </c>
      <c r="Y10" s="344" t="str">
        <v/>
      </c>
      <c r="Z10" s="345" t="str">
        <v/>
      </c>
      <c r="AA10" s="346" t="str">
        <v xml:space="preserve"> - </v>
      </c>
      <c r="AB10" s="347" t="str">
        <v/>
      </c>
      <c r="AC10" s="348" t="str">
        <v/>
      </c>
      <c r="AD10" s="349" t="str">
        <v/>
      </c>
      <c r="AE10" s="349" t="str">
        <v/>
      </c>
      <c r="AF10" s="350" t="str">
        <v/>
      </c>
    </row>
    <row r="11" spans="2:44" ht="16.5" thickBot="1" x14ac:dyDescent="0.3">
      <c r="B11" s="451" t="s">
        <v>221</v>
      </c>
      <c r="C11" s="477" t="s">
        <v>328</v>
      </c>
      <c r="D11" s="480" t="s">
        <v>246</v>
      </c>
      <c r="E11" s="436" t="str">
        <f>IF(ISNUMBER(FIND("/",$C11)),"",INDEX(Results!$P$9:$P$44,MID($C11,4,2)))</f>
        <v/>
      </c>
      <c r="F11" s="437" t="s">
        <v>4</v>
      </c>
      <c r="G11" s="440" t="str">
        <f>IF(ISNUMBER(FIND("/",$D11)),"",INDEX(Results!$P$9:$P$44,MID($D11,4,2)))</f>
        <v>Bayer 04 Leverkusen</v>
      </c>
      <c r="H11" s="461"/>
      <c r="I11" s="473" t="str">
        <f>Language!$E$90</f>
        <v xml:space="preserve"> - </v>
      </c>
      <c r="J11" s="464"/>
      <c r="K11" s="461"/>
      <c r="L11" s="473" t="str">
        <f>Language!$E$90</f>
        <v xml:space="preserve"> - </v>
      </c>
      <c r="M11" s="464"/>
      <c r="N11" s="461"/>
      <c r="O11" s="473" t="str">
        <f>Language!$E$90</f>
        <v xml:space="preserve"> - </v>
      </c>
      <c r="P11" s="467"/>
      <c r="R11" s="424"/>
      <c r="S11" s="454" t="s">
        <v>235</v>
      </c>
      <c r="T11" s="340" t="str">
        <v/>
      </c>
      <c r="U11" s="341" t="str">
        <v>FK Bodö/Glimt</v>
      </c>
      <c r="V11" s="342" t="str">
        <v/>
      </c>
      <c r="W11" s="343" t="str">
        <v/>
      </c>
      <c r="X11" s="343" t="str">
        <v/>
      </c>
      <c r="Y11" s="344" t="str">
        <v/>
      </c>
      <c r="Z11" s="345" t="str">
        <v/>
      </c>
      <c r="AA11" s="346" t="str">
        <v xml:space="preserve"> - </v>
      </c>
      <c r="AB11" s="347" t="str">
        <v/>
      </c>
      <c r="AC11" s="348" t="str">
        <v/>
      </c>
      <c r="AD11" s="349" t="str">
        <v/>
      </c>
      <c r="AE11" s="349" t="str">
        <v/>
      </c>
      <c r="AF11" s="350" t="str">
        <v/>
      </c>
    </row>
    <row r="12" spans="2:44" ht="16.5" thickTop="1" x14ac:dyDescent="0.25">
      <c r="S12" s="455" t="s">
        <v>206</v>
      </c>
      <c r="T12" s="351" t="str">
        <v/>
      </c>
      <c r="U12" s="352" t="str">
        <v>Club Brügge</v>
      </c>
      <c r="V12" s="353" t="str">
        <v/>
      </c>
      <c r="W12" s="354" t="str">
        <v/>
      </c>
      <c r="X12" s="354" t="str">
        <v/>
      </c>
      <c r="Y12" s="355" t="str">
        <v/>
      </c>
      <c r="Z12" s="356" t="str">
        <v/>
      </c>
      <c r="AA12" s="357" t="str">
        <v xml:space="preserve"> - </v>
      </c>
      <c r="AB12" s="358" t="str">
        <v/>
      </c>
      <c r="AC12" s="359" t="str">
        <v/>
      </c>
      <c r="AD12" s="360" t="str">
        <v/>
      </c>
      <c r="AE12" s="360" t="str">
        <v/>
      </c>
      <c r="AF12" s="361" t="str">
        <v/>
      </c>
    </row>
    <row r="13" spans="2:44" x14ac:dyDescent="0.25">
      <c r="S13" s="455" t="s">
        <v>209</v>
      </c>
      <c r="T13" s="351" t="str">
        <v/>
      </c>
      <c r="U13" s="352" t="str">
        <v>FC Chelsea</v>
      </c>
      <c r="V13" s="353" t="str">
        <v/>
      </c>
      <c r="W13" s="354" t="str">
        <v/>
      </c>
      <c r="X13" s="354" t="str">
        <v/>
      </c>
      <c r="Y13" s="355" t="str">
        <v/>
      </c>
      <c r="Z13" s="356" t="str">
        <v/>
      </c>
      <c r="AA13" s="357" t="str">
        <v xml:space="preserve"> - </v>
      </c>
      <c r="AB13" s="358" t="str">
        <v/>
      </c>
      <c r="AC13" s="359" t="str">
        <v/>
      </c>
      <c r="AD13" s="360" t="str">
        <v/>
      </c>
      <c r="AE13" s="360" t="str">
        <v/>
      </c>
      <c r="AF13" s="361" t="str">
        <v/>
      </c>
    </row>
    <row r="14" spans="2:44" ht="23.25" customHeight="1" x14ac:dyDescent="0.35">
      <c r="B14" s="425" t="str">
        <f>Language!$E$34</f>
        <v>Round of 16</v>
      </c>
      <c r="G14" s="441"/>
      <c r="H14" s="516" t="s">
        <v>335</v>
      </c>
      <c r="I14" s="516"/>
      <c r="J14" s="516"/>
      <c r="K14" s="516" t="s">
        <v>336</v>
      </c>
      <c r="L14" s="516"/>
      <c r="M14" s="516"/>
      <c r="N14" s="519" t="str">
        <f>Language!$E$33</f>
        <v>Penalty shootout</v>
      </c>
      <c r="O14" s="520"/>
      <c r="P14" s="521"/>
      <c r="S14" s="455" t="s">
        <v>241</v>
      </c>
      <c r="T14" s="351" t="str">
        <v/>
      </c>
      <c r="U14" s="352" t="str">
        <v>Borussia Dortmund</v>
      </c>
      <c r="V14" s="353" t="str">
        <v/>
      </c>
      <c r="W14" s="354" t="str">
        <v/>
      </c>
      <c r="X14" s="354" t="str">
        <v/>
      </c>
      <c r="Y14" s="355" t="str">
        <v/>
      </c>
      <c r="Z14" s="356" t="str">
        <v/>
      </c>
      <c r="AA14" s="357" t="str">
        <v xml:space="preserve"> - </v>
      </c>
      <c r="AB14" s="358" t="str">
        <v/>
      </c>
      <c r="AC14" s="359" t="str">
        <v/>
      </c>
      <c r="AD14" s="360" t="str">
        <v/>
      </c>
      <c r="AE14" s="360" t="str">
        <v/>
      </c>
      <c r="AF14" s="361" t="str">
        <v/>
      </c>
    </row>
    <row r="15" spans="2:44" ht="16.5" customHeight="1" thickBot="1" x14ac:dyDescent="0.3">
      <c r="G15" s="442"/>
      <c r="H15" s="517" t="str">
        <f>Language!$E$31</f>
        <v>First leg</v>
      </c>
      <c r="I15" s="517"/>
      <c r="J15" s="517"/>
      <c r="K15" s="517" t="str">
        <f>Language!$E$32</f>
        <v>Second leg</v>
      </c>
      <c r="L15" s="517"/>
      <c r="M15" s="517"/>
      <c r="N15" s="522"/>
      <c r="O15" s="523"/>
      <c r="P15" s="524"/>
      <c r="S15" s="455" t="s">
        <v>242</v>
      </c>
      <c r="T15" s="351" t="str">
        <v/>
      </c>
      <c r="U15" s="352" t="str">
        <v>PSV Eindhoven</v>
      </c>
      <c r="V15" s="353" t="str">
        <v/>
      </c>
      <c r="W15" s="354" t="str">
        <v/>
      </c>
      <c r="X15" s="354" t="str">
        <v/>
      </c>
      <c r="Y15" s="355" t="str">
        <v/>
      </c>
      <c r="Z15" s="356" t="str">
        <v/>
      </c>
      <c r="AA15" s="357" t="str">
        <v xml:space="preserve"> - </v>
      </c>
      <c r="AB15" s="358" t="str">
        <v/>
      </c>
      <c r="AC15" s="359" t="str">
        <v/>
      </c>
      <c r="AD15" s="360" t="str">
        <v/>
      </c>
      <c r="AE15" s="360" t="str">
        <v/>
      </c>
      <c r="AF15" s="361" t="str">
        <v/>
      </c>
    </row>
    <row r="16" spans="2:44" ht="16.5" thickTop="1" x14ac:dyDescent="0.25">
      <c r="B16" s="449" t="s">
        <v>222</v>
      </c>
      <c r="C16" s="475" t="s">
        <v>329</v>
      </c>
      <c r="D16" s="478" t="s">
        <v>213</v>
      </c>
      <c r="E16" s="432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3" t="s">
        <v>4</v>
      </c>
      <c r="G16" s="438" t="str">
        <f>IF(ISNUMBER(FIND("/",$D16)),"",INDEX(Results!$P$9:$P$44,MID($D16,4,2)))</f>
        <v>Qarabag Agdam</v>
      </c>
      <c r="H16" s="459"/>
      <c r="I16" s="471" t="str">
        <f>Language!$E$90</f>
        <v xml:space="preserve"> - </v>
      </c>
      <c r="J16" s="462"/>
      <c r="K16" s="459"/>
      <c r="L16" s="471" t="str">
        <f>Language!$E$90</f>
        <v xml:space="preserve"> - </v>
      </c>
      <c r="M16" s="462"/>
      <c r="N16" s="459"/>
      <c r="O16" s="471" t="str">
        <f>Language!$E$90</f>
        <v xml:space="preserve"> - </v>
      </c>
      <c r="P16" s="465"/>
      <c r="S16" s="455" t="s">
        <v>243</v>
      </c>
      <c r="T16" s="351" t="str">
        <v/>
      </c>
      <c r="U16" s="352" t="str">
        <v>Eintracht Frankfurt</v>
      </c>
      <c r="V16" s="353" t="str">
        <v/>
      </c>
      <c r="W16" s="354" t="str">
        <v/>
      </c>
      <c r="X16" s="354" t="str">
        <v/>
      </c>
      <c r="Y16" s="355" t="str">
        <v/>
      </c>
      <c r="Z16" s="356" t="str">
        <v/>
      </c>
      <c r="AA16" s="357" t="str">
        <v xml:space="preserve"> - </v>
      </c>
      <c r="AB16" s="358" t="str">
        <v/>
      </c>
      <c r="AC16" s="359" t="str">
        <v/>
      </c>
      <c r="AD16" s="360" t="str">
        <v/>
      </c>
      <c r="AE16" s="360" t="str">
        <v/>
      </c>
      <c r="AF16" s="361" t="str">
        <v/>
      </c>
      <c r="AH16" s="424" t="str">
        <f>IF(ISNUMBER(INDEX($H$4:$H$11,MID($C16,8,1))),INDEX($H$4:$H$11,MID($C16,8,1)),"")</f>
        <v/>
      </c>
      <c r="AJ16" s="424" t="str">
        <f>IF(ISNUMBER(INDEX($J$4:$J$11,MID($C16,8,1))),INDEX($J$4:$J$11,MID($C16,8,1)),"")</f>
        <v/>
      </c>
      <c r="AK16" s="424" t="str">
        <f>IF(ISNUMBER(INDEX($K$4:$K$11,MID($C16,8,1))),INDEX($K$4:$K$11,MID($C16,8,1)),"")</f>
        <v/>
      </c>
      <c r="AM16" s="424" t="str">
        <f>IF(ISNUMBER(INDEX($M$4:$M$11,MID($C16,8,1))),INDEX($M$4:$M$11,MID($C16,8,1)),"")</f>
        <v/>
      </c>
      <c r="AN16" s="424" t="str">
        <f>IF(ISNUMBER(INDEX($N$4:$N$11,MID($C16,8,1))),INDEX($N$4:$N$11,MID($C16,8,1)),"")</f>
        <v/>
      </c>
      <c r="AP16" s="424" t="str">
        <f>IF(ISNUMBER(INDEX($P$4:$P$11,MID($C16,8,1))),INDEX($P$4:$P$11,MID($C16,8,1)),"")</f>
        <v/>
      </c>
      <c r="AQ16" s="423" t="str">
        <f>IF(INDEX($E$4:$E$11,MID($C16,8,1))="","",INDEX($E$4:$E$11,MID($C16,8,1)))</f>
        <v/>
      </c>
      <c r="AR16" s="423" t="str">
        <f>IF(INDEX($G$4:$G$11,MID($C16,8,1))="","",INDEX($G$4:$G$11,MID($C16,8,1)))</f>
        <v>FC Kopenhagen</v>
      </c>
    </row>
    <row r="17" spans="2:44" x14ac:dyDescent="0.25">
      <c r="B17" s="450" t="s">
        <v>229</v>
      </c>
      <c r="C17" s="476" t="s">
        <v>329</v>
      </c>
      <c r="D17" s="479" t="s">
        <v>208</v>
      </c>
      <c r="E17" s="434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5" t="s">
        <v>4</v>
      </c>
      <c r="G17" s="439" t="str">
        <f>IF(ISNUMBER(FIND("/",$D17)),"",INDEX(Results!$P$9:$P$44,MID($D17,4,2)))</f>
        <v>Qairat Almaty</v>
      </c>
      <c r="H17" s="460"/>
      <c r="I17" s="472" t="str">
        <f>Language!$E$90</f>
        <v xml:space="preserve"> - </v>
      </c>
      <c r="J17" s="463"/>
      <c r="K17" s="460"/>
      <c r="L17" s="472" t="str">
        <f>Language!$E$90</f>
        <v xml:space="preserve"> - </v>
      </c>
      <c r="M17" s="463"/>
      <c r="N17" s="460"/>
      <c r="O17" s="472" t="str">
        <f>Language!$E$90</f>
        <v xml:space="preserve"> - </v>
      </c>
      <c r="P17" s="466"/>
      <c r="S17" s="455" t="s">
        <v>244</v>
      </c>
      <c r="T17" s="351" t="str">
        <v/>
      </c>
      <c r="U17" s="352" t="str">
        <v>Galatasaray SK</v>
      </c>
      <c r="V17" s="353" t="str">
        <v/>
      </c>
      <c r="W17" s="354" t="str">
        <v/>
      </c>
      <c r="X17" s="354" t="str">
        <v/>
      </c>
      <c r="Y17" s="355" t="str">
        <v/>
      </c>
      <c r="Z17" s="356" t="str">
        <v/>
      </c>
      <c r="AA17" s="357" t="str">
        <v xml:space="preserve"> - </v>
      </c>
      <c r="AB17" s="358" t="str">
        <v/>
      </c>
      <c r="AC17" s="359" t="str">
        <v/>
      </c>
      <c r="AD17" s="360" t="str">
        <v/>
      </c>
      <c r="AE17" s="360" t="str">
        <v/>
      </c>
      <c r="AF17" s="361" t="str">
        <v/>
      </c>
      <c r="AH17" s="424" t="str">
        <f t="shared" ref="AH17:AH23" si="1">IF(ISNUMBER(INDEX($H$4:$H$11,MID($C17,8,1))),INDEX($H$4:$H$11,MID($C17,8,1)),"")</f>
        <v/>
      </c>
      <c r="AJ17" s="424" t="str">
        <f t="shared" ref="AJ17:AJ23" si="2">IF(ISNUMBER(INDEX($J$4:$J$11,MID($C17,8,1))),INDEX($J$4:$J$11,MID($C17,8,1)),"")</f>
        <v/>
      </c>
      <c r="AK17" s="424" t="str">
        <f t="shared" ref="AK17:AK23" si="3">IF(ISNUMBER(INDEX($K$4:$K$11,MID($C17,8,1))),INDEX($K$4:$K$11,MID($C17,8,1)),"")</f>
        <v/>
      </c>
      <c r="AM17" s="424" t="str">
        <f t="shared" ref="AM17:AM23" si="4">IF(ISNUMBER(INDEX($M$4:$M$11,MID($C17,8,1))),INDEX($M$4:$M$11,MID($C17,8,1)),"")</f>
        <v/>
      </c>
      <c r="AN17" s="424" t="str">
        <f t="shared" ref="AN17:AN23" si="5">IF(ISNUMBER(INDEX($N$4:$N$11,MID($C17,8,1))),INDEX($N$4:$N$11,MID($C17,8,1)),"")</f>
        <v/>
      </c>
      <c r="AP17" s="424" t="str">
        <f t="shared" ref="AP17:AP23" si="6">IF(ISNUMBER(INDEX($P$4:$P$11,MID($C17,8,1))),INDEX($P$4:$P$11,MID($C17,8,1)),"")</f>
        <v/>
      </c>
      <c r="AQ17" s="423" t="str">
        <f t="shared" ref="AQ17:AQ23" si="7">IF(INDEX($E$4:$E$11,MID($C17,8,1))="","",INDEX($E$4:$E$11,MID($C17,8,1)))</f>
        <v/>
      </c>
      <c r="AR17" s="423" t="str">
        <f t="shared" ref="AR17:AR23" si="8">IF(INDEX($G$4:$G$11,MID($C17,8,1))="","",INDEX($G$4:$G$11,MID($C17,8,1)))</f>
        <v>FC Kopenhagen</v>
      </c>
    </row>
    <row r="18" spans="2:44" x14ac:dyDescent="0.25">
      <c r="B18" s="450" t="s">
        <v>225</v>
      </c>
      <c r="C18" s="476" t="s">
        <v>330</v>
      </c>
      <c r="D18" s="479" t="s">
        <v>230</v>
      </c>
      <c r="E18" s="434" t="str">
        <f t="shared" si="0"/>
        <v/>
      </c>
      <c r="F18" s="435" t="s">
        <v>4</v>
      </c>
      <c r="G18" s="439" t="str">
        <f>IF(ISNUMBER(FIND("/",$D18)),"",INDEX(Results!$P$9:$P$44,MID($D18,4,2)))</f>
        <v>Ajax Amsterdam</v>
      </c>
      <c r="H18" s="460"/>
      <c r="I18" s="472" t="str">
        <f>Language!$E$90</f>
        <v xml:space="preserve"> - </v>
      </c>
      <c r="J18" s="463"/>
      <c r="K18" s="460"/>
      <c r="L18" s="472" t="str">
        <f>Language!$E$90</f>
        <v xml:space="preserve"> - </v>
      </c>
      <c r="M18" s="463"/>
      <c r="N18" s="460"/>
      <c r="O18" s="472" t="str">
        <f>Language!$E$90</f>
        <v xml:space="preserve"> - </v>
      </c>
      <c r="P18" s="466"/>
      <c r="S18" s="455" t="s">
        <v>245</v>
      </c>
      <c r="T18" s="351" t="str">
        <v/>
      </c>
      <c r="U18" s="352" t="str">
        <v>FC Kopenhagen</v>
      </c>
      <c r="V18" s="353" t="str">
        <v/>
      </c>
      <c r="W18" s="354" t="str">
        <v/>
      </c>
      <c r="X18" s="354" t="str">
        <v/>
      </c>
      <c r="Y18" s="355" t="str">
        <v/>
      </c>
      <c r="Z18" s="356" t="str">
        <v/>
      </c>
      <c r="AA18" s="357" t="str">
        <v xml:space="preserve"> - </v>
      </c>
      <c r="AB18" s="358" t="str">
        <v/>
      </c>
      <c r="AC18" s="359" t="str">
        <v/>
      </c>
      <c r="AD18" s="360" t="str">
        <v/>
      </c>
      <c r="AE18" s="360" t="str">
        <v/>
      </c>
      <c r="AF18" s="361" t="str">
        <v/>
      </c>
      <c r="AH18" s="424" t="str">
        <f t="shared" si="1"/>
        <v/>
      </c>
      <c r="AJ18" s="424" t="str">
        <f t="shared" si="2"/>
        <v/>
      </c>
      <c r="AK18" s="424" t="str">
        <f t="shared" si="3"/>
        <v/>
      </c>
      <c r="AM18" s="424" t="str">
        <f t="shared" si="4"/>
        <v/>
      </c>
      <c r="AN18" s="424" t="str">
        <f t="shared" si="5"/>
        <v/>
      </c>
      <c r="AP18" s="424" t="str">
        <f t="shared" si="6"/>
        <v/>
      </c>
      <c r="AQ18" s="423" t="str">
        <f t="shared" si="7"/>
        <v/>
      </c>
      <c r="AR18" s="423" t="str">
        <f t="shared" si="8"/>
        <v>Eintracht Frankfurt</v>
      </c>
    </row>
    <row r="19" spans="2:44" x14ac:dyDescent="0.25">
      <c r="B19" s="450" t="s">
        <v>226</v>
      </c>
      <c r="C19" s="476" t="s">
        <v>330</v>
      </c>
      <c r="D19" s="479" t="s">
        <v>231</v>
      </c>
      <c r="E19" s="434" t="str">
        <f t="shared" si="0"/>
        <v/>
      </c>
      <c r="F19" s="435" t="s">
        <v>4</v>
      </c>
      <c r="G19" s="439" t="str">
        <f>IF(ISNUMBER(FIND("/",$D19)),"",INDEX(Results!$P$9:$P$44,MID($D19,4,2)))</f>
        <v>FC Arsenal</v>
      </c>
      <c r="H19" s="460"/>
      <c r="I19" s="472" t="str">
        <f>Language!$E$90</f>
        <v xml:space="preserve"> - </v>
      </c>
      <c r="J19" s="463"/>
      <c r="K19" s="460"/>
      <c r="L19" s="472" t="str">
        <f>Language!$E$90</f>
        <v xml:space="preserve"> - </v>
      </c>
      <c r="M19" s="463"/>
      <c r="N19" s="460"/>
      <c r="O19" s="472" t="str">
        <f>Language!$E$90</f>
        <v xml:space="preserve"> - </v>
      </c>
      <c r="P19" s="466"/>
      <c r="S19" s="455" t="s">
        <v>246</v>
      </c>
      <c r="T19" s="351" t="str">
        <v/>
      </c>
      <c r="U19" s="352" t="str">
        <v>Bayer 04 Leverkusen</v>
      </c>
      <c r="V19" s="353" t="str">
        <v/>
      </c>
      <c r="W19" s="354" t="str">
        <v/>
      </c>
      <c r="X19" s="354" t="str">
        <v/>
      </c>
      <c r="Y19" s="355" t="str">
        <v/>
      </c>
      <c r="Z19" s="356" t="str">
        <v/>
      </c>
      <c r="AA19" s="357" t="str">
        <v xml:space="preserve"> - </v>
      </c>
      <c r="AB19" s="358" t="str">
        <v/>
      </c>
      <c r="AC19" s="359" t="str">
        <v/>
      </c>
      <c r="AD19" s="360" t="str">
        <v/>
      </c>
      <c r="AE19" s="360" t="str">
        <v/>
      </c>
      <c r="AF19" s="361" t="str">
        <v/>
      </c>
      <c r="AH19" s="424" t="str">
        <f t="shared" si="1"/>
        <v/>
      </c>
      <c r="AJ19" s="424" t="str">
        <f t="shared" si="2"/>
        <v/>
      </c>
      <c r="AK19" s="424" t="str">
        <f t="shared" si="3"/>
        <v/>
      </c>
      <c r="AM19" s="424" t="str">
        <f t="shared" si="4"/>
        <v/>
      </c>
      <c r="AN19" s="424" t="str">
        <f t="shared" si="5"/>
        <v/>
      </c>
      <c r="AP19" s="424" t="str">
        <f t="shared" si="6"/>
        <v/>
      </c>
      <c r="AQ19" s="423" t="str">
        <f t="shared" si="7"/>
        <v/>
      </c>
      <c r="AR19" s="423" t="str">
        <f t="shared" si="8"/>
        <v>Eintracht Frankfurt</v>
      </c>
    </row>
    <row r="20" spans="2:44" x14ac:dyDescent="0.25">
      <c r="B20" s="450" t="s">
        <v>224</v>
      </c>
      <c r="C20" s="476" t="s">
        <v>331</v>
      </c>
      <c r="D20" s="479" t="s">
        <v>232</v>
      </c>
      <c r="E20" s="434" t="str">
        <f t="shared" si="0"/>
        <v/>
      </c>
      <c r="F20" s="435" t="s">
        <v>4</v>
      </c>
      <c r="G20" s="439" t="str">
        <f>IF(ISNUMBER(FIND("/",$D20)),"",INDEX(Results!$P$9:$P$44,MID($D20,4,2)))</f>
        <v>FC Barcelona</v>
      </c>
      <c r="H20" s="460"/>
      <c r="I20" s="472" t="str">
        <f>Language!$E$90</f>
        <v xml:space="preserve"> - </v>
      </c>
      <c r="J20" s="463"/>
      <c r="K20" s="460"/>
      <c r="L20" s="472" t="str">
        <f>Language!$E$90</f>
        <v xml:space="preserve"> - </v>
      </c>
      <c r="M20" s="463"/>
      <c r="N20" s="460"/>
      <c r="O20" s="472" t="str">
        <f>Language!$E$90</f>
        <v xml:space="preserve"> - </v>
      </c>
      <c r="P20" s="466"/>
      <c r="S20" s="456" t="s">
        <v>211</v>
      </c>
      <c r="T20" s="362" t="str">
        <v/>
      </c>
      <c r="U20" s="363" t="str">
        <v>Benfica Lissabon</v>
      </c>
      <c r="V20" s="364" t="str">
        <v/>
      </c>
      <c r="W20" s="365" t="str">
        <v/>
      </c>
      <c r="X20" s="365" t="str">
        <v/>
      </c>
      <c r="Y20" s="366" t="str">
        <v/>
      </c>
      <c r="Z20" s="367" t="str">
        <v/>
      </c>
      <c r="AA20" s="368" t="str">
        <v xml:space="preserve"> - </v>
      </c>
      <c r="AB20" s="369" t="str">
        <v/>
      </c>
      <c r="AC20" s="370" t="str">
        <v/>
      </c>
      <c r="AD20" s="371" t="str">
        <v/>
      </c>
      <c r="AE20" s="371" t="str">
        <v/>
      </c>
      <c r="AF20" s="372" t="str">
        <v/>
      </c>
      <c r="AH20" s="424" t="str">
        <f t="shared" si="1"/>
        <v/>
      </c>
      <c r="AJ20" s="424" t="str">
        <f t="shared" si="2"/>
        <v/>
      </c>
      <c r="AK20" s="424" t="str">
        <f t="shared" si="3"/>
        <v/>
      </c>
      <c r="AM20" s="424" t="str">
        <f t="shared" si="4"/>
        <v/>
      </c>
      <c r="AN20" s="424" t="str">
        <f t="shared" si="5"/>
        <v/>
      </c>
      <c r="AP20" s="424" t="str">
        <f t="shared" si="6"/>
        <v/>
      </c>
      <c r="AQ20" s="423" t="str">
        <f t="shared" si="7"/>
        <v/>
      </c>
      <c r="AR20" s="423" t="str">
        <f t="shared" si="8"/>
        <v>Borussia Dortmund</v>
      </c>
    </row>
    <row r="21" spans="2:44" x14ac:dyDescent="0.25">
      <c r="B21" s="450" t="s">
        <v>227</v>
      </c>
      <c r="C21" s="476" t="s">
        <v>331</v>
      </c>
      <c r="D21" s="479" t="s">
        <v>233</v>
      </c>
      <c r="E21" s="434" t="str">
        <f t="shared" si="0"/>
        <v/>
      </c>
      <c r="F21" s="435" t="s">
        <v>4</v>
      </c>
      <c r="G21" s="439" t="str">
        <f>IF(ISNUMBER(FIND("/",$D21)),"",INDEX(Results!$P$9:$P$44,MID($D21,4,2)))</f>
        <v>Atalanta Bergamo</v>
      </c>
      <c r="H21" s="460"/>
      <c r="I21" s="472" t="str">
        <f>Language!$E$90</f>
        <v xml:space="preserve"> - </v>
      </c>
      <c r="J21" s="463"/>
      <c r="K21" s="460"/>
      <c r="L21" s="472" t="str">
        <f>Language!$E$90</f>
        <v xml:space="preserve"> - </v>
      </c>
      <c r="M21" s="463"/>
      <c r="N21" s="460"/>
      <c r="O21" s="472" t="str">
        <f>Language!$E$90</f>
        <v xml:space="preserve"> - </v>
      </c>
      <c r="P21" s="466"/>
      <c r="S21" s="456" t="s">
        <v>240</v>
      </c>
      <c r="T21" s="362" t="str">
        <v/>
      </c>
      <c r="U21" s="363" t="str">
        <v>Sporting Lissabon</v>
      </c>
      <c r="V21" s="364" t="str">
        <v/>
      </c>
      <c r="W21" s="365" t="str">
        <v/>
      </c>
      <c r="X21" s="365" t="str">
        <v/>
      </c>
      <c r="Y21" s="366" t="str">
        <v/>
      </c>
      <c r="Z21" s="367" t="str">
        <v/>
      </c>
      <c r="AA21" s="368" t="str">
        <v xml:space="preserve"> - </v>
      </c>
      <c r="AB21" s="369" t="str">
        <v/>
      </c>
      <c r="AC21" s="370" t="str">
        <v/>
      </c>
      <c r="AD21" s="371" t="str">
        <v/>
      </c>
      <c r="AE21" s="371" t="str">
        <v/>
      </c>
      <c r="AF21" s="372" t="str">
        <v/>
      </c>
      <c r="AH21" s="424" t="str">
        <f t="shared" si="1"/>
        <v/>
      </c>
      <c r="AJ21" s="424" t="str">
        <f t="shared" si="2"/>
        <v/>
      </c>
      <c r="AK21" s="424" t="str">
        <f t="shared" si="3"/>
        <v/>
      </c>
      <c r="AM21" s="424" t="str">
        <f t="shared" si="4"/>
        <v/>
      </c>
      <c r="AN21" s="424" t="str">
        <f t="shared" si="5"/>
        <v/>
      </c>
      <c r="AP21" s="424" t="str">
        <f t="shared" si="6"/>
        <v/>
      </c>
      <c r="AQ21" s="423" t="str">
        <f t="shared" si="7"/>
        <v/>
      </c>
      <c r="AR21" s="423" t="str">
        <f t="shared" si="8"/>
        <v>Borussia Dortmund</v>
      </c>
    </row>
    <row r="22" spans="2:44" x14ac:dyDescent="0.25">
      <c r="B22" s="450" t="s">
        <v>228</v>
      </c>
      <c r="C22" s="476" t="s">
        <v>332</v>
      </c>
      <c r="D22" s="479" t="s">
        <v>234</v>
      </c>
      <c r="E22" s="434" t="str">
        <f t="shared" si="0"/>
        <v/>
      </c>
      <c r="F22" s="435" t="s">
        <v>4</v>
      </c>
      <c r="G22" s="439" t="str">
        <f>IF(ISNUMBER(FIND("/",$D22)),"",INDEX(Results!$P$9:$P$44,MID($D22,4,2)))</f>
        <v>Athletic Bilbao</v>
      </c>
      <c r="H22" s="460"/>
      <c r="I22" s="472" t="str">
        <f>Language!$E$90</f>
        <v xml:space="preserve"> - </v>
      </c>
      <c r="J22" s="463"/>
      <c r="K22" s="460"/>
      <c r="L22" s="472" t="str">
        <f>Language!$E$90</f>
        <v xml:space="preserve"> - </v>
      </c>
      <c r="M22" s="463"/>
      <c r="N22" s="460"/>
      <c r="O22" s="472" t="str">
        <f>Language!$E$90</f>
        <v xml:space="preserve"> - </v>
      </c>
      <c r="P22" s="466"/>
      <c r="S22" s="456" t="s">
        <v>238</v>
      </c>
      <c r="T22" s="362" t="str">
        <v/>
      </c>
      <c r="U22" s="363" t="str">
        <v>FC Liverpool</v>
      </c>
      <c r="V22" s="364" t="str">
        <v/>
      </c>
      <c r="W22" s="365" t="str">
        <v/>
      </c>
      <c r="X22" s="365" t="str">
        <v/>
      </c>
      <c r="Y22" s="366" t="str">
        <v/>
      </c>
      <c r="Z22" s="367" t="str">
        <v/>
      </c>
      <c r="AA22" s="368" t="str">
        <v xml:space="preserve"> - </v>
      </c>
      <c r="AB22" s="369" t="str">
        <v/>
      </c>
      <c r="AC22" s="370" t="str">
        <v/>
      </c>
      <c r="AD22" s="371" t="str">
        <v/>
      </c>
      <c r="AE22" s="371" t="str">
        <v/>
      </c>
      <c r="AF22" s="372" t="str">
        <v/>
      </c>
      <c r="AH22" s="424" t="str">
        <f t="shared" si="1"/>
        <v/>
      </c>
      <c r="AJ22" s="424" t="str">
        <f t="shared" si="2"/>
        <v/>
      </c>
      <c r="AK22" s="424" t="str">
        <f t="shared" si="3"/>
        <v/>
      </c>
      <c r="AM22" s="424" t="str">
        <f t="shared" si="4"/>
        <v/>
      </c>
      <c r="AN22" s="424" t="str">
        <f t="shared" si="5"/>
        <v/>
      </c>
      <c r="AP22" s="424" t="str">
        <f t="shared" si="6"/>
        <v/>
      </c>
      <c r="AQ22" s="423" t="str">
        <f t="shared" si="7"/>
        <v/>
      </c>
      <c r="AR22" s="423" t="str">
        <f t="shared" si="8"/>
        <v>Club Brügge</v>
      </c>
    </row>
    <row r="23" spans="2:44" ht="16.5" thickBot="1" x14ac:dyDescent="0.3">
      <c r="B23" s="451" t="s">
        <v>223</v>
      </c>
      <c r="C23" s="477" t="s">
        <v>332</v>
      </c>
      <c r="D23" s="480" t="s">
        <v>235</v>
      </c>
      <c r="E23" s="436" t="str">
        <f t="shared" si="0"/>
        <v/>
      </c>
      <c r="F23" s="437" t="s">
        <v>4</v>
      </c>
      <c r="G23" s="440" t="str">
        <f>IF(ISNUMBER(FIND("/",$D23)),"",INDEX(Results!$P$9:$P$44,MID($D23,4,2)))</f>
        <v>FK Bodö/Glimt</v>
      </c>
      <c r="H23" s="461"/>
      <c r="I23" s="473" t="str">
        <f>Language!$E$90</f>
        <v xml:space="preserve"> - </v>
      </c>
      <c r="J23" s="464"/>
      <c r="K23" s="461"/>
      <c r="L23" s="473" t="str">
        <f>Language!$E$90</f>
        <v xml:space="preserve"> - </v>
      </c>
      <c r="M23" s="464"/>
      <c r="N23" s="461"/>
      <c r="O23" s="473" t="str">
        <f>Language!$E$90</f>
        <v xml:space="preserve"> - </v>
      </c>
      <c r="P23" s="467"/>
      <c r="S23" s="456" t="s">
        <v>239</v>
      </c>
      <c r="T23" s="362" t="str">
        <v/>
      </c>
      <c r="U23" s="363" t="str">
        <v>Atletico Madrid</v>
      </c>
      <c r="V23" s="364" t="str">
        <v/>
      </c>
      <c r="W23" s="365" t="str">
        <v/>
      </c>
      <c r="X23" s="365" t="str">
        <v/>
      </c>
      <c r="Y23" s="366" t="str">
        <v/>
      </c>
      <c r="Z23" s="367" t="str">
        <v/>
      </c>
      <c r="AA23" s="368" t="str">
        <v xml:space="preserve"> - </v>
      </c>
      <c r="AB23" s="369" t="str">
        <v/>
      </c>
      <c r="AC23" s="370" t="str">
        <v/>
      </c>
      <c r="AD23" s="371" t="str">
        <v/>
      </c>
      <c r="AE23" s="371" t="str">
        <v/>
      </c>
      <c r="AF23" s="372" t="str">
        <v/>
      </c>
      <c r="AH23" s="424" t="str">
        <f t="shared" si="1"/>
        <v/>
      </c>
      <c r="AJ23" s="424" t="str">
        <f t="shared" si="2"/>
        <v/>
      </c>
      <c r="AK23" s="424" t="str">
        <f t="shared" si="3"/>
        <v/>
      </c>
      <c r="AM23" s="424" t="str">
        <f t="shared" si="4"/>
        <v/>
      </c>
      <c r="AN23" s="424" t="str">
        <f t="shared" si="5"/>
        <v/>
      </c>
      <c r="AP23" s="424" t="str">
        <f t="shared" si="6"/>
        <v/>
      </c>
      <c r="AQ23" s="423" t="str">
        <f t="shared" si="7"/>
        <v/>
      </c>
      <c r="AR23" s="423" t="str">
        <f t="shared" si="8"/>
        <v>Club Brügge</v>
      </c>
    </row>
    <row r="24" spans="2:44" ht="16.5" thickTop="1" x14ac:dyDescent="0.25">
      <c r="S24" s="456" t="s">
        <v>236</v>
      </c>
      <c r="T24" s="362" t="str">
        <v/>
      </c>
      <c r="U24" s="363" t="str">
        <v>Real Madrid</v>
      </c>
      <c r="V24" s="364" t="str">
        <v/>
      </c>
      <c r="W24" s="365" t="str">
        <v/>
      </c>
      <c r="X24" s="365" t="str">
        <v/>
      </c>
      <c r="Y24" s="366" t="str">
        <v/>
      </c>
      <c r="Z24" s="367" t="str">
        <v/>
      </c>
      <c r="AA24" s="368" t="str">
        <v xml:space="preserve"> - </v>
      </c>
      <c r="AB24" s="369" t="str">
        <v/>
      </c>
      <c r="AC24" s="370" t="str">
        <v/>
      </c>
      <c r="AD24" s="371" t="str">
        <v/>
      </c>
      <c r="AE24" s="371" t="str">
        <v/>
      </c>
      <c r="AF24" s="372" t="str">
        <v/>
      </c>
    </row>
    <row r="25" spans="2:44" x14ac:dyDescent="0.25">
      <c r="S25" s="456" t="s">
        <v>237</v>
      </c>
      <c r="T25" s="362" t="str">
        <v/>
      </c>
      <c r="U25" s="363" t="str">
        <v>Inter Mailand</v>
      </c>
      <c r="V25" s="364" t="str">
        <v/>
      </c>
      <c r="W25" s="365" t="str">
        <v/>
      </c>
      <c r="X25" s="365" t="str">
        <v/>
      </c>
      <c r="Y25" s="366" t="str">
        <v/>
      </c>
      <c r="Z25" s="367" t="str">
        <v/>
      </c>
      <c r="AA25" s="368" t="str">
        <v xml:space="preserve"> - </v>
      </c>
      <c r="AB25" s="369" t="str">
        <v/>
      </c>
      <c r="AC25" s="370" t="str">
        <v/>
      </c>
      <c r="AD25" s="371" t="str">
        <v/>
      </c>
      <c r="AE25" s="371" t="str">
        <v/>
      </c>
      <c r="AF25" s="372" t="str">
        <v/>
      </c>
    </row>
    <row r="26" spans="2:44" ht="23.25" x14ac:dyDescent="0.35">
      <c r="B26" s="425" t="str">
        <f>Language!$E$35</f>
        <v>Quarterfinals</v>
      </c>
      <c r="H26" s="516" t="s">
        <v>337</v>
      </c>
      <c r="I26" s="516"/>
      <c r="J26" s="516"/>
      <c r="K26" s="516" t="s">
        <v>338</v>
      </c>
      <c r="L26" s="516"/>
      <c r="M26" s="516"/>
      <c r="N26" s="519" t="str">
        <f>Language!$E$33</f>
        <v>Penalty shootout</v>
      </c>
      <c r="O26" s="520"/>
      <c r="P26" s="521"/>
      <c r="S26" s="456" t="s">
        <v>207</v>
      </c>
      <c r="T26" s="362" t="str">
        <v/>
      </c>
      <c r="U26" s="363" t="str">
        <v>Manchester City</v>
      </c>
      <c r="V26" s="364" t="str">
        <v/>
      </c>
      <c r="W26" s="365" t="str">
        <v/>
      </c>
      <c r="X26" s="365" t="str">
        <v/>
      </c>
      <c r="Y26" s="366" t="str">
        <v/>
      </c>
      <c r="Z26" s="367" t="str">
        <v/>
      </c>
      <c r="AA26" s="368" t="str">
        <v xml:space="preserve"> - </v>
      </c>
      <c r="AB26" s="369" t="str">
        <v/>
      </c>
      <c r="AC26" s="370" t="str">
        <v/>
      </c>
      <c r="AD26" s="371" t="str">
        <v/>
      </c>
      <c r="AE26" s="371" t="str">
        <v/>
      </c>
      <c r="AF26" s="372" t="str">
        <v/>
      </c>
      <c r="AP26" s="481" t="str">
        <f>MID($B16,4,1)</f>
        <v>1</v>
      </c>
      <c r="AQ26" s="423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17" t="str">
        <f>Language!$E$31</f>
        <v>First leg</v>
      </c>
      <c r="I27" s="517"/>
      <c r="J27" s="517"/>
      <c r="K27" s="517" t="str">
        <f>Language!$E$32</f>
        <v>Second leg</v>
      </c>
      <c r="L27" s="517"/>
      <c r="M27" s="517"/>
      <c r="N27" s="522"/>
      <c r="O27" s="523"/>
      <c r="P27" s="524"/>
      <c r="S27" s="457" t="s">
        <v>210</v>
      </c>
      <c r="T27" s="362" t="str">
        <v/>
      </c>
      <c r="U27" s="363" t="str">
        <v>Olympique Marseille</v>
      </c>
      <c r="V27" s="364" t="str">
        <v/>
      </c>
      <c r="W27" s="365" t="str">
        <v/>
      </c>
      <c r="X27" s="365" t="str">
        <v/>
      </c>
      <c r="Y27" s="366" t="str">
        <v/>
      </c>
      <c r="Z27" s="367" t="str">
        <v/>
      </c>
      <c r="AA27" s="368" t="str">
        <v xml:space="preserve"> - </v>
      </c>
      <c r="AB27" s="369" t="str">
        <v/>
      </c>
      <c r="AC27" s="370" t="str">
        <v/>
      </c>
      <c r="AD27" s="371" t="str">
        <v/>
      </c>
      <c r="AE27" s="371" t="str">
        <v/>
      </c>
      <c r="AF27" s="372" t="str">
        <v/>
      </c>
      <c r="AP27" s="481" t="str">
        <f t="shared" ref="AP27:AP33" si="9">MID($B17,4,1)</f>
        <v>8</v>
      </c>
      <c r="AQ27" s="423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49" t="s">
        <v>248</v>
      </c>
      <c r="C28" s="429" t="s">
        <v>252</v>
      </c>
      <c r="D28" s="429" t="s">
        <v>256</v>
      </c>
      <c r="E28" s="432" t="str">
        <f>VLOOKUP(MID($C28,8,1),$AP$26:$AQ$33,2,0)</f>
        <v/>
      </c>
      <c r="F28" s="433" t="s">
        <v>4</v>
      </c>
      <c r="G28" s="438" t="str">
        <f>VLOOKUP(MID($D28,8,1),$AP$26:$AQ$33,2,0)</f>
        <v/>
      </c>
      <c r="H28" s="459"/>
      <c r="I28" s="471" t="str">
        <f>Language!$E$90</f>
        <v xml:space="preserve"> - </v>
      </c>
      <c r="J28" s="462"/>
      <c r="K28" s="459"/>
      <c r="L28" s="471" t="str">
        <f>Language!$E$90</f>
        <v xml:space="preserve"> - </v>
      </c>
      <c r="M28" s="462"/>
      <c r="N28" s="459"/>
      <c r="O28" s="471" t="str">
        <f>Language!$E$90</f>
        <v xml:space="preserve"> - </v>
      </c>
      <c r="P28" s="465"/>
      <c r="T28" s="373" t="str">
        <v/>
      </c>
      <c r="U28" s="374" t="str">
        <v>AS Monaco</v>
      </c>
      <c r="V28" s="375" t="str">
        <v/>
      </c>
      <c r="W28" s="376" t="str">
        <v/>
      </c>
      <c r="X28" s="376" t="str">
        <v/>
      </c>
      <c r="Y28" s="377" t="str">
        <v/>
      </c>
      <c r="Z28" s="378" t="str">
        <v/>
      </c>
      <c r="AA28" s="379" t="str">
        <v xml:space="preserve"> - </v>
      </c>
      <c r="AB28" s="380" t="str">
        <v/>
      </c>
      <c r="AC28" s="381" t="str">
        <v/>
      </c>
      <c r="AD28" s="382" t="str">
        <v/>
      </c>
      <c r="AE28" s="382" t="str">
        <v/>
      </c>
      <c r="AF28" s="383" t="str">
        <v/>
      </c>
      <c r="AP28" s="481" t="str">
        <f t="shared" si="9"/>
        <v>4</v>
      </c>
      <c r="AQ28" s="423" t="str">
        <f t="shared" si="10"/>
        <v/>
      </c>
    </row>
    <row r="29" spans="2:44" x14ac:dyDescent="0.25">
      <c r="B29" s="450" t="s">
        <v>249</v>
      </c>
      <c r="C29" s="430" t="s">
        <v>257</v>
      </c>
      <c r="D29" s="430" t="s">
        <v>253</v>
      </c>
      <c r="E29" s="434" t="str">
        <f>VLOOKUP(MID($C29,8,1),$AP$26:$AQ$33,2,0)</f>
        <v/>
      </c>
      <c r="F29" s="435" t="s">
        <v>4</v>
      </c>
      <c r="G29" s="439" t="str">
        <f>VLOOKUP(MID($D29,8,1),$AP$26:$AQ$33,2,0)</f>
        <v/>
      </c>
      <c r="H29" s="460"/>
      <c r="I29" s="472" t="str">
        <f>Language!$E$90</f>
        <v xml:space="preserve"> - </v>
      </c>
      <c r="J29" s="463"/>
      <c r="K29" s="460"/>
      <c r="L29" s="472" t="str">
        <f>Language!$E$90</f>
        <v xml:space="preserve"> - </v>
      </c>
      <c r="M29" s="463"/>
      <c r="N29" s="460"/>
      <c r="O29" s="472" t="str">
        <f>Language!$E$90</f>
        <v xml:space="preserve"> - </v>
      </c>
      <c r="P29" s="466"/>
      <c r="T29" s="373" t="str">
        <v/>
      </c>
      <c r="U29" s="374" t="str">
        <v>Bayern München</v>
      </c>
      <c r="V29" s="375" t="str">
        <v/>
      </c>
      <c r="W29" s="376" t="str">
        <v/>
      </c>
      <c r="X29" s="376" t="str">
        <v/>
      </c>
      <c r="Y29" s="377" t="str">
        <v/>
      </c>
      <c r="Z29" s="378" t="str">
        <v/>
      </c>
      <c r="AA29" s="379" t="str">
        <v xml:space="preserve"> - </v>
      </c>
      <c r="AB29" s="380" t="str">
        <v/>
      </c>
      <c r="AC29" s="381" t="str">
        <v/>
      </c>
      <c r="AD29" s="382" t="str">
        <v/>
      </c>
      <c r="AE29" s="382" t="str">
        <v/>
      </c>
      <c r="AF29" s="383" t="str">
        <v/>
      </c>
      <c r="AP29" s="481" t="str">
        <f t="shared" si="9"/>
        <v>5</v>
      </c>
      <c r="AQ29" s="423" t="str">
        <f t="shared" si="10"/>
        <v/>
      </c>
    </row>
    <row r="30" spans="2:44" x14ac:dyDescent="0.25">
      <c r="B30" s="450" t="s">
        <v>250</v>
      </c>
      <c r="C30" s="430" t="s">
        <v>259</v>
      </c>
      <c r="D30" s="430" t="s">
        <v>255</v>
      </c>
      <c r="E30" s="434" t="str">
        <f>VLOOKUP(MID($C30,8,1),$AP$26:$AQ$33,2,0)</f>
        <v/>
      </c>
      <c r="F30" s="435" t="s">
        <v>4</v>
      </c>
      <c r="G30" s="439" t="str">
        <f>VLOOKUP(MID($D30,8,1),$AP$26:$AQ$33,2,0)</f>
        <v/>
      </c>
      <c r="H30" s="460"/>
      <c r="I30" s="472" t="str">
        <f>Language!$E$90</f>
        <v xml:space="preserve"> - </v>
      </c>
      <c r="J30" s="463"/>
      <c r="K30" s="460"/>
      <c r="L30" s="472" t="str">
        <f>Language!$E$90</f>
        <v xml:space="preserve"> - </v>
      </c>
      <c r="M30" s="463"/>
      <c r="N30" s="460"/>
      <c r="O30" s="472" t="str">
        <f>Language!$E$90</f>
        <v xml:space="preserve"> - </v>
      </c>
      <c r="P30" s="466"/>
      <c r="T30" s="373" t="str">
        <v/>
      </c>
      <c r="U30" s="374" t="str">
        <v>SSC Neapel</v>
      </c>
      <c r="V30" s="375" t="str">
        <v/>
      </c>
      <c r="W30" s="376" t="str">
        <v/>
      </c>
      <c r="X30" s="376" t="str">
        <v/>
      </c>
      <c r="Y30" s="377" t="str">
        <v/>
      </c>
      <c r="Z30" s="378" t="str">
        <v/>
      </c>
      <c r="AA30" s="379" t="str">
        <v xml:space="preserve"> - </v>
      </c>
      <c r="AB30" s="380" t="str">
        <v/>
      </c>
      <c r="AC30" s="381" t="str">
        <v/>
      </c>
      <c r="AD30" s="382" t="str">
        <v/>
      </c>
      <c r="AE30" s="382" t="str">
        <v/>
      </c>
      <c r="AF30" s="383" t="str">
        <v/>
      </c>
      <c r="AP30" s="481" t="str">
        <f t="shared" si="9"/>
        <v>3</v>
      </c>
      <c r="AQ30" s="423" t="str">
        <f t="shared" si="10"/>
        <v/>
      </c>
    </row>
    <row r="31" spans="2:44" ht="16.5" thickBot="1" x14ac:dyDescent="0.3">
      <c r="B31" s="451" t="s">
        <v>251</v>
      </c>
      <c r="C31" s="431" t="s">
        <v>258</v>
      </c>
      <c r="D31" s="431" t="s">
        <v>254</v>
      </c>
      <c r="E31" s="436" t="str">
        <f>VLOOKUP(MID($C31,8,1),$AP$26:$AQ$33,2,0)</f>
        <v/>
      </c>
      <c r="F31" s="437" t="s">
        <v>4</v>
      </c>
      <c r="G31" s="440" t="str">
        <f>VLOOKUP(MID($D31,8,1),$AP$26:$AQ$33,2,0)</f>
        <v/>
      </c>
      <c r="H31" s="461"/>
      <c r="I31" s="473" t="str">
        <f>Language!$E$90</f>
        <v xml:space="preserve"> - </v>
      </c>
      <c r="J31" s="464"/>
      <c r="K31" s="461"/>
      <c r="L31" s="473" t="str">
        <f>Language!$E$90</f>
        <v xml:space="preserve"> - </v>
      </c>
      <c r="M31" s="464"/>
      <c r="N31" s="461"/>
      <c r="O31" s="473" t="str">
        <f>Language!$E$90</f>
        <v xml:space="preserve"> - </v>
      </c>
      <c r="P31" s="467"/>
      <c r="T31" s="373" t="str">
        <v/>
      </c>
      <c r="U31" s="374" t="str">
        <v>Newcastle United</v>
      </c>
      <c r="V31" s="375" t="str">
        <v/>
      </c>
      <c r="W31" s="376" t="str">
        <v/>
      </c>
      <c r="X31" s="376" t="str">
        <v/>
      </c>
      <c r="Y31" s="377" t="str">
        <v/>
      </c>
      <c r="Z31" s="378" t="str">
        <v/>
      </c>
      <c r="AA31" s="379" t="str">
        <v xml:space="preserve"> - </v>
      </c>
      <c r="AB31" s="380" t="str">
        <v/>
      </c>
      <c r="AC31" s="381" t="str">
        <v/>
      </c>
      <c r="AD31" s="382" t="str">
        <v/>
      </c>
      <c r="AE31" s="382" t="str">
        <v/>
      </c>
      <c r="AF31" s="383" t="str">
        <v/>
      </c>
      <c r="AP31" s="481" t="str">
        <f t="shared" si="9"/>
        <v>6</v>
      </c>
      <c r="AQ31" s="423" t="str">
        <f t="shared" si="10"/>
        <v/>
      </c>
    </row>
    <row r="32" spans="2:44" ht="16.5" thickTop="1" x14ac:dyDescent="0.25">
      <c r="T32" s="373" t="str">
        <v/>
      </c>
      <c r="U32" s="374" t="str">
        <v>Pafos FC</v>
      </c>
      <c r="V32" s="375" t="str">
        <v/>
      </c>
      <c r="W32" s="376" t="str">
        <v/>
      </c>
      <c r="X32" s="376" t="str">
        <v/>
      </c>
      <c r="Y32" s="377" t="str">
        <v/>
      </c>
      <c r="Z32" s="378" t="str">
        <v/>
      </c>
      <c r="AA32" s="379" t="str">
        <v xml:space="preserve"> - </v>
      </c>
      <c r="AB32" s="380" t="str">
        <v/>
      </c>
      <c r="AC32" s="381" t="str">
        <v/>
      </c>
      <c r="AD32" s="382" t="str">
        <v/>
      </c>
      <c r="AE32" s="382" t="str">
        <v/>
      </c>
      <c r="AF32" s="383" t="str">
        <v/>
      </c>
      <c r="AP32" s="481" t="str">
        <f t="shared" si="9"/>
        <v>7</v>
      </c>
      <c r="AQ32" s="423" t="str">
        <f t="shared" si="10"/>
        <v/>
      </c>
    </row>
    <row r="33" spans="2:43" x14ac:dyDescent="0.25">
      <c r="T33" s="373" t="str">
        <v/>
      </c>
      <c r="U33" s="374" t="str">
        <v>Paris St. Germain</v>
      </c>
      <c r="V33" s="375" t="str">
        <v/>
      </c>
      <c r="W33" s="376" t="str">
        <v/>
      </c>
      <c r="X33" s="376" t="str">
        <v/>
      </c>
      <c r="Y33" s="377" t="str">
        <v/>
      </c>
      <c r="Z33" s="378" t="str">
        <v/>
      </c>
      <c r="AA33" s="379" t="str">
        <v xml:space="preserve"> - </v>
      </c>
      <c r="AB33" s="380" t="str">
        <v/>
      </c>
      <c r="AC33" s="381" t="str">
        <v/>
      </c>
      <c r="AD33" s="382" t="str">
        <v/>
      </c>
      <c r="AE33" s="382" t="str">
        <v/>
      </c>
      <c r="AF33" s="383" t="str">
        <v/>
      </c>
      <c r="AP33" s="481" t="str">
        <f t="shared" si="9"/>
        <v>2</v>
      </c>
      <c r="AQ33" s="423" t="str">
        <f t="shared" si="10"/>
        <v/>
      </c>
    </row>
    <row r="34" spans="2:43" ht="23.25" x14ac:dyDescent="0.35">
      <c r="B34" s="425" t="str">
        <f>Language!$E$36</f>
        <v>Semi-final</v>
      </c>
      <c r="H34" s="516" t="s">
        <v>339</v>
      </c>
      <c r="I34" s="516"/>
      <c r="J34" s="516"/>
      <c r="K34" s="516" t="s">
        <v>340</v>
      </c>
      <c r="L34" s="516"/>
      <c r="M34" s="516"/>
      <c r="N34" s="519" t="str">
        <f>Language!$E$33</f>
        <v>Penalty shootout</v>
      </c>
      <c r="O34" s="520"/>
      <c r="P34" s="521"/>
      <c r="T34" s="373" t="str">
        <v/>
      </c>
      <c r="U34" s="374" t="str">
        <v>Olympiakos Piräus</v>
      </c>
      <c r="V34" s="375" t="str">
        <v/>
      </c>
      <c r="W34" s="376" t="str">
        <v/>
      </c>
      <c r="X34" s="376" t="str">
        <v/>
      </c>
      <c r="Y34" s="377" t="str">
        <v/>
      </c>
      <c r="Z34" s="378" t="str">
        <v/>
      </c>
      <c r="AA34" s="379" t="str">
        <v xml:space="preserve"> - </v>
      </c>
      <c r="AB34" s="380" t="str">
        <v/>
      </c>
      <c r="AC34" s="381" t="str">
        <v/>
      </c>
      <c r="AD34" s="382" t="str">
        <v/>
      </c>
      <c r="AE34" s="382" t="str">
        <v/>
      </c>
      <c r="AF34" s="383" t="str">
        <v/>
      </c>
    </row>
    <row r="35" spans="2:43" ht="16.5" customHeight="1" thickBot="1" x14ac:dyDescent="0.3">
      <c r="H35" s="517" t="str">
        <f>Language!$E$31</f>
        <v>First leg</v>
      </c>
      <c r="I35" s="517"/>
      <c r="J35" s="517"/>
      <c r="K35" s="517" t="str">
        <f>Language!$E$32</f>
        <v>Second leg</v>
      </c>
      <c r="L35" s="517"/>
      <c r="M35" s="517"/>
      <c r="N35" s="522"/>
      <c r="O35" s="523"/>
      <c r="P35" s="524"/>
      <c r="T35" s="373" t="str">
        <v/>
      </c>
      <c r="U35" s="374" t="str">
        <v>Salva Prag</v>
      </c>
      <c r="V35" s="375" t="str">
        <v/>
      </c>
      <c r="W35" s="376" t="str">
        <v/>
      </c>
      <c r="X35" s="376" t="str">
        <v/>
      </c>
      <c r="Y35" s="377" t="str">
        <v/>
      </c>
      <c r="Z35" s="378" t="str">
        <v/>
      </c>
      <c r="AA35" s="379" t="str">
        <v xml:space="preserve"> - </v>
      </c>
      <c r="AB35" s="380" t="str">
        <v/>
      </c>
      <c r="AC35" s="381" t="str">
        <v/>
      </c>
      <c r="AD35" s="382" t="str">
        <v/>
      </c>
      <c r="AE35" s="382" t="str">
        <v/>
      </c>
      <c r="AF35" s="383" t="str">
        <v/>
      </c>
      <c r="AP35" s="481" t="str">
        <f>MID($B28,4,1)</f>
        <v>1</v>
      </c>
      <c r="AQ35" s="423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49" t="s">
        <v>261</v>
      </c>
      <c r="C36" s="429" t="s">
        <v>264</v>
      </c>
      <c r="D36" s="429" t="s">
        <v>263</v>
      </c>
      <c r="E36" s="432" t="str">
        <f>VLOOKUP(MID($C36,8,1),$AP$35:$AQ$38,2,0)</f>
        <v/>
      </c>
      <c r="F36" s="433" t="s">
        <v>4</v>
      </c>
      <c r="G36" s="438" t="str">
        <f>VLOOKUP(MID($D36,8,1),$AP$35:$AQ$38,2,0)</f>
        <v/>
      </c>
      <c r="H36" s="459"/>
      <c r="I36" s="471" t="str">
        <f>Language!$E$90</f>
        <v xml:space="preserve"> - </v>
      </c>
      <c r="J36" s="462"/>
      <c r="K36" s="459"/>
      <c r="L36" s="471" t="str">
        <f>Language!$E$90</f>
        <v xml:space="preserve"> - </v>
      </c>
      <c r="M36" s="462"/>
      <c r="N36" s="459"/>
      <c r="O36" s="471" t="str">
        <f>Language!$E$90</f>
        <v xml:space="preserve"> - </v>
      </c>
      <c r="P36" s="465"/>
      <c r="T36" s="373" t="str">
        <v/>
      </c>
      <c r="U36" s="374" t="str">
        <v>Union Saint-Gilloise</v>
      </c>
      <c r="V36" s="375" t="str">
        <v/>
      </c>
      <c r="W36" s="376" t="str">
        <v/>
      </c>
      <c r="X36" s="376" t="str">
        <v/>
      </c>
      <c r="Y36" s="377" t="str">
        <v/>
      </c>
      <c r="Z36" s="378" t="str">
        <v/>
      </c>
      <c r="AA36" s="379" t="str">
        <v xml:space="preserve"> - </v>
      </c>
      <c r="AB36" s="380" t="str">
        <v/>
      </c>
      <c r="AC36" s="381" t="str">
        <v/>
      </c>
      <c r="AD36" s="382" t="str">
        <v/>
      </c>
      <c r="AE36" s="382" t="str">
        <v/>
      </c>
      <c r="AF36" s="383" t="str">
        <v/>
      </c>
      <c r="AP36" s="481" t="str">
        <f t="shared" ref="AP36:AP38" si="11">MID($B29,4,1)</f>
        <v>2</v>
      </c>
      <c r="AQ36" s="423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51" t="s">
        <v>262</v>
      </c>
      <c r="C37" s="431" t="s">
        <v>265</v>
      </c>
      <c r="D37" s="431" t="s">
        <v>266</v>
      </c>
      <c r="E37" s="436" t="str">
        <f>VLOOKUP(MID($C37,8,1),$AP$35:$AQ$38,2,0)</f>
        <v/>
      </c>
      <c r="F37" s="437" t="s">
        <v>4</v>
      </c>
      <c r="G37" s="440" t="str">
        <f>VLOOKUP(MID($D37,8,1),$AP$35:$AQ$38,2,0)</f>
        <v/>
      </c>
      <c r="H37" s="461"/>
      <c r="I37" s="473" t="str">
        <f>Language!$E$90</f>
        <v xml:space="preserve"> - </v>
      </c>
      <c r="J37" s="464"/>
      <c r="K37" s="461"/>
      <c r="L37" s="473" t="str">
        <f>Language!$E$90</f>
        <v xml:space="preserve"> - </v>
      </c>
      <c r="M37" s="464"/>
      <c r="N37" s="461"/>
      <c r="O37" s="473" t="str">
        <f>Language!$E$90</f>
        <v xml:space="preserve"> - </v>
      </c>
      <c r="P37" s="467"/>
      <c r="T37" s="373" t="str">
        <v/>
      </c>
      <c r="U37" s="374" t="str">
        <v>Tottenham Hotspur</v>
      </c>
      <c r="V37" s="375" t="str">
        <v/>
      </c>
      <c r="W37" s="376" t="str">
        <v/>
      </c>
      <c r="X37" s="376" t="str">
        <v/>
      </c>
      <c r="Y37" s="377" t="str">
        <v/>
      </c>
      <c r="Z37" s="378" t="str">
        <v/>
      </c>
      <c r="AA37" s="379" t="str">
        <v xml:space="preserve"> - </v>
      </c>
      <c r="AB37" s="380" t="str">
        <v/>
      </c>
      <c r="AC37" s="381" t="str">
        <v/>
      </c>
      <c r="AD37" s="382" t="str">
        <v/>
      </c>
      <c r="AE37" s="382" t="str">
        <v/>
      </c>
      <c r="AF37" s="383" t="str">
        <v/>
      </c>
      <c r="AP37" s="481" t="str">
        <f t="shared" si="11"/>
        <v>3</v>
      </c>
      <c r="AQ37" s="423" t="str">
        <f t="shared" si="12"/>
        <v/>
      </c>
    </row>
    <row r="38" spans="2:43" ht="16.5" thickTop="1" x14ac:dyDescent="0.25">
      <c r="T38" s="373" t="str">
        <v/>
      </c>
      <c r="U38" s="374" t="str">
        <v>Juventus Turin</v>
      </c>
      <c r="V38" s="375" t="str">
        <v/>
      </c>
      <c r="W38" s="376" t="str">
        <v/>
      </c>
      <c r="X38" s="376" t="str">
        <v/>
      </c>
      <c r="Y38" s="377" t="str">
        <v/>
      </c>
      <c r="Z38" s="378" t="str">
        <v/>
      </c>
      <c r="AA38" s="379" t="str">
        <v xml:space="preserve"> - </v>
      </c>
      <c r="AB38" s="380" t="str">
        <v/>
      </c>
      <c r="AC38" s="381" t="str">
        <v/>
      </c>
      <c r="AD38" s="382" t="str">
        <v/>
      </c>
      <c r="AE38" s="382" t="str">
        <v/>
      </c>
      <c r="AF38" s="383" t="str">
        <v/>
      </c>
      <c r="AP38" s="481" t="str">
        <f t="shared" si="11"/>
        <v>4</v>
      </c>
      <c r="AQ38" s="423" t="str">
        <f t="shared" si="12"/>
        <v/>
      </c>
    </row>
    <row r="39" spans="2:43" ht="16.5" thickBot="1" x14ac:dyDescent="0.3">
      <c r="T39" s="384" t="str">
        <v/>
      </c>
      <c r="U39" s="385" t="str">
        <v>FC Villarreal</v>
      </c>
      <c r="V39" s="386" t="str">
        <v/>
      </c>
      <c r="W39" s="387" t="str">
        <v/>
      </c>
      <c r="X39" s="387" t="str">
        <v/>
      </c>
      <c r="Y39" s="388" t="str">
        <v/>
      </c>
      <c r="Z39" s="389" t="str">
        <v/>
      </c>
      <c r="AA39" s="390" t="str">
        <v xml:space="preserve"> - </v>
      </c>
      <c r="AB39" s="391" t="str">
        <v/>
      </c>
      <c r="AC39" s="392" t="str">
        <v/>
      </c>
      <c r="AD39" s="393" t="str">
        <v/>
      </c>
      <c r="AE39" s="393" t="str">
        <v/>
      </c>
      <c r="AF39" s="394" t="str">
        <v/>
      </c>
    </row>
    <row r="40" spans="2:43" ht="24" thickTop="1" x14ac:dyDescent="0.35">
      <c r="B40" s="425" t="str">
        <f>Language!$E$37</f>
        <v>Final</v>
      </c>
      <c r="H40" s="518">
        <v>46172</v>
      </c>
      <c r="I40" s="518"/>
      <c r="J40" s="518"/>
      <c r="K40" s="519" t="str">
        <f>Language!$E$33</f>
        <v>Penalty shootout</v>
      </c>
      <c r="L40" s="520"/>
      <c r="M40" s="521"/>
    </row>
    <row r="41" spans="2:43" ht="16.5" customHeight="1" thickBot="1" x14ac:dyDescent="0.3">
      <c r="H41" s="517" t="str">
        <f>Language!$E$15</f>
        <v>Result</v>
      </c>
      <c r="I41" s="517"/>
      <c r="J41" s="517"/>
      <c r="K41" s="522"/>
      <c r="L41" s="523"/>
      <c r="M41" s="524"/>
      <c r="N41" s="428"/>
      <c r="O41" s="428"/>
      <c r="P41" s="428"/>
      <c r="AP41" s="481" t="str">
        <f>MID($B36,4,1)</f>
        <v>1</v>
      </c>
      <c r="AQ41" s="423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2" t="str">
        <f>Language!$E$37</f>
        <v>Final</v>
      </c>
      <c r="C42" s="443" t="s">
        <v>273</v>
      </c>
      <c r="D42" s="443" t="s">
        <v>274</v>
      </c>
      <c r="E42" s="444" t="str">
        <f>VLOOKUP(MID($C42,8,1),$AP$41:$AQ$42,2,0)</f>
        <v/>
      </c>
      <c r="F42" s="445" t="s">
        <v>4</v>
      </c>
      <c r="G42" s="446" t="str">
        <f>VLOOKUP(MID($D42,8,1),$AP$41:$AQ$42,2,0)</f>
        <v/>
      </c>
      <c r="H42" s="468"/>
      <c r="I42" s="474" t="str">
        <f>Language!$E$90</f>
        <v xml:space="preserve"> - </v>
      </c>
      <c r="J42" s="469"/>
      <c r="K42" s="468"/>
      <c r="L42" s="474" t="str">
        <f>Language!$E$90</f>
        <v xml:space="preserve"> - </v>
      </c>
      <c r="M42" s="470"/>
      <c r="N42" s="426"/>
      <c r="O42" s="424"/>
      <c r="P42" s="427"/>
      <c r="AP42" s="481" t="str">
        <f>MID($B37,4,1)</f>
        <v>2</v>
      </c>
      <c r="AQ42" s="423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07" t="s">
        <v>288</v>
      </c>
      <c r="F45" s="508"/>
      <c r="G45" s="509"/>
    </row>
    <row r="46" spans="2:43" x14ac:dyDescent="0.25">
      <c r="E46" s="510" t="str">
        <f>IF(NOT(AND(ISNUMBER($H42),ISNUMBER($J42))),"",IF($H42&gt;$J42,$E42,IF($H42&lt;$J42,$G42,IF(OR(NOT(ISNUMBER($K42)),NOT(ISNUMBER($M42)),$K42=$M42),"",IF($K42&gt;$M42,$E42,$G42)))))</f>
        <v/>
      </c>
      <c r="F46" s="511"/>
      <c r="G46" s="512"/>
    </row>
    <row r="47" spans="2:43" ht="21" customHeight="1" thickBot="1" x14ac:dyDescent="0.3">
      <c r="E47" s="513"/>
      <c r="F47" s="514"/>
      <c r="G47" s="515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Z3:AB3"/>
    <mergeCell ref="T2:U2"/>
    <mergeCell ref="N2:P3"/>
    <mergeCell ref="N14:P15"/>
    <mergeCell ref="N26:P27"/>
    <mergeCell ref="N34:P35"/>
    <mergeCell ref="K40:M41"/>
    <mergeCell ref="H14:J14"/>
    <mergeCell ref="K14:M14"/>
    <mergeCell ref="H3:J3"/>
    <mergeCell ref="K3:M3"/>
    <mergeCell ref="H41:J41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E45:G45"/>
    <mergeCell ref="E46:G47"/>
    <mergeCell ref="H34:J34"/>
    <mergeCell ref="K34:M34"/>
    <mergeCell ref="H35:J35"/>
    <mergeCell ref="K35:M35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E7" sqref="E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Participants and schedule</v>
      </c>
      <c r="D2" s="108"/>
      <c r="E2" s="108"/>
      <c r="F2" s="108"/>
      <c r="G2" s="108"/>
      <c r="H2" s="108"/>
      <c r="I2" s="108"/>
      <c r="J2" s="193"/>
      <c r="K2" s="193"/>
      <c r="L2" s="191"/>
      <c r="Q2" s="529" t="str">
        <f>Language!$E$69</f>
        <v>Double match pairings and matches against oneself
lead to incorrect values in the overall table!</v>
      </c>
      <c r="R2" s="529"/>
      <c r="S2" s="529"/>
      <c r="T2" s="529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20"/>
      <c r="R4" s="120"/>
      <c r="S4" s="120"/>
    </row>
    <row r="5" spans="2:23" ht="19.5" customHeight="1" thickBot="1" x14ac:dyDescent="0.25">
      <c r="C5" s="526" t="str">
        <f>Language!$E$87</f>
        <v>Duplicate names</v>
      </c>
      <c r="D5" s="526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No.</v>
      </c>
      <c r="D6" s="211" t="str">
        <f>Language!$E$10</f>
        <v>Participant or Team</v>
      </c>
      <c r="E6" s="207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Matchweek</v>
      </c>
      <c r="M6" s="215" t="str">
        <f>Language!$E$47</f>
        <v>Game no.</v>
      </c>
      <c r="N6" s="527" t="str">
        <f>Language!$E$48</f>
        <v>Pairings</v>
      </c>
      <c r="O6" s="527"/>
      <c r="P6" s="527"/>
      <c r="Q6" s="527" t="str">
        <f>Language!$E$45</f>
        <v>Participants</v>
      </c>
      <c r="R6" s="527"/>
      <c r="S6" s="528"/>
      <c r="T6" s="215" t="str">
        <f>Language!$E$59</f>
        <v>Date</v>
      </c>
      <c r="U6" s="216" t="str">
        <f>Language!$E$62</f>
        <v>Time</v>
      </c>
    </row>
    <row r="7" spans="2:23" ht="15.95" customHeight="1" x14ac:dyDescent="0.2">
      <c r="B7" s="82">
        <f>COUNTIF($D$7:$D$42,$D7)</f>
        <v>1</v>
      </c>
      <c r="C7" s="212">
        <v>1</v>
      </c>
      <c r="D7" s="208" t="s">
        <v>289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1233</v>
      </c>
      <c r="H7" s="82" t="str">
        <f>IF(OR($N7="",$P7=""),"",TEXT($P7,"00")&amp;TEXT($N7,"00"))</f>
        <v>3312</v>
      </c>
      <c r="I7" s="82">
        <f>IF($G7="",0,COUNTIF($G$7:$G7,$H7))</f>
        <v>0</v>
      </c>
      <c r="J7" s="189"/>
      <c r="K7" s="217" t="str">
        <f>Language!$E$85</f>
        <v>double</v>
      </c>
      <c r="L7" s="280">
        <v>1</v>
      </c>
      <c r="M7" s="96">
        <v>1</v>
      </c>
      <c r="N7" s="247">
        <v>12</v>
      </c>
      <c r="O7" s="248" t="s">
        <v>4</v>
      </c>
      <c r="P7" s="249">
        <v>33</v>
      </c>
      <c r="Q7" s="97" t="str">
        <f>IF(ISBLANK($N7),"",IF(ISBLANK(VLOOKUP($N7,$C$7:$D$42,2,0)),"",VLOOKUP($N7,$C$7:$D$42,2,0)))</f>
        <v>PSV Eindhoven</v>
      </c>
      <c r="R7" s="98" t="s">
        <v>4</v>
      </c>
      <c r="S7" s="99" t="str">
        <f>IF(ISBLANK($P7),"",IF(ISBLANK(VLOOKUP($P7,$C$7:$D$42,2,0)),"",VLOOKUP($P7,$C$7:$D$42,2,0)))</f>
        <v>Union Saint-Gilloise</v>
      </c>
      <c r="T7" s="166">
        <v>45916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</v>
      </c>
      <c r="D8" s="209" t="s">
        <v>290</v>
      </c>
      <c r="E8" s="172"/>
      <c r="F8" s="82">
        <f t="shared" si="0"/>
        <v>1</v>
      </c>
      <c r="G8" s="82" t="str">
        <f t="shared" ref="G8:G71" si="2">IF(OR($N8="",$P8=""),"",TEXT($N8,"00")&amp;TEXT($P8,"00"))</f>
        <v>0704</v>
      </c>
      <c r="H8" s="82" t="str">
        <f t="shared" ref="H8:H71" si="3">IF(OR($N8="",$P8=""),"",TEXT($P8,"00")&amp;TEXT($N8,"00"))</f>
        <v>0407</v>
      </c>
      <c r="I8" s="82">
        <f>IF($G8="",0,COUNTIF($G$7:$G8,$H8))</f>
        <v>0</v>
      </c>
      <c r="J8" s="189"/>
      <c r="K8" s="217" t="str">
        <f>Language!$E$85</f>
        <v>double</v>
      </c>
      <c r="L8" s="194"/>
      <c r="M8" s="91">
        <v>2</v>
      </c>
      <c r="N8" s="250">
        <v>7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Athletic Bilbao</v>
      </c>
      <c r="R8" s="98" t="s">
        <v>4</v>
      </c>
      <c r="S8" s="99" t="str">
        <f t="shared" ref="S8:S71" si="5">IF(ISBLANK($P8),"",IF(ISBLANK(VLOOKUP($P8,$C$7:$D$42,2,0)),"",VLOOKUP($P8,$C$7:$D$42,2,0)))</f>
        <v>FC Arsenal</v>
      </c>
      <c r="T8" s="168">
        <v>45916</v>
      </c>
      <c r="U8" s="169">
        <v>0.78125</v>
      </c>
    </row>
    <row r="9" spans="2:23" ht="15.95" customHeight="1" x14ac:dyDescent="0.2">
      <c r="B9" s="82">
        <f t="shared" si="1"/>
        <v>1</v>
      </c>
      <c r="C9" s="213">
        <v>3</v>
      </c>
      <c r="D9" s="209" t="s">
        <v>291</v>
      </c>
      <c r="E9" s="172"/>
      <c r="F9" s="82">
        <f t="shared" si="0"/>
        <v>1</v>
      </c>
      <c r="G9" s="82" t="str">
        <f t="shared" si="2"/>
        <v>2124</v>
      </c>
      <c r="H9" s="82" t="str">
        <f t="shared" si="3"/>
        <v>2421</v>
      </c>
      <c r="I9" s="82">
        <f>IF($G9="",0,COUNTIF($G$7:$G9,$H9))</f>
        <v>0</v>
      </c>
      <c r="J9" s="189"/>
      <c r="K9" s="217" t="str">
        <f>Language!$E$85</f>
        <v>double</v>
      </c>
      <c r="L9" s="194"/>
      <c r="M9" s="91">
        <v>3</v>
      </c>
      <c r="N9" s="250">
        <v>21</v>
      </c>
      <c r="O9" s="251" t="s">
        <v>4</v>
      </c>
      <c r="P9" s="252">
        <v>24</v>
      </c>
      <c r="Q9" s="97" t="str">
        <f t="shared" si="4"/>
        <v>Real Madrid</v>
      </c>
      <c r="R9" s="98" t="s">
        <v>4</v>
      </c>
      <c r="S9" s="99" t="str">
        <f t="shared" si="5"/>
        <v>Olympique Marseille</v>
      </c>
      <c r="T9" s="168">
        <v>45916</v>
      </c>
      <c r="U9" s="169">
        <v>0.875</v>
      </c>
    </row>
    <row r="10" spans="2:23" ht="15.95" customHeight="1" x14ac:dyDescent="0.2">
      <c r="B10" s="82">
        <f t="shared" si="1"/>
        <v>1</v>
      </c>
      <c r="C10" s="213">
        <v>4</v>
      </c>
      <c r="D10" s="209" t="s">
        <v>292</v>
      </c>
      <c r="E10" s="172"/>
      <c r="F10" s="82">
        <f t="shared" si="0"/>
        <v>1</v>
      </c>
      <c r="G10" s="82" t="str">
        <f t="shared" si="2"/>
        <v>1701</v>
      </c>
      <c r="H10" s="82" t="str">
        <f t="shared" si="3"/>
        <v>0117</v>
      </c>
      <c r="I10" s="82">
        <f>IF($G10="",0,COUNTIF($G$7:$G10,$H10))</f>
        <v>0</v>
      </c>
      <c r="J10" s="189"/>
      <c r="K10" s="217" t="str">
        <f>Language!$E$85</f>
        <v>double</v>
      </c>
      <c r="L10" s="194"/>
      <c r="M10" s="91">
        <v>4</v>
      </c>
      <c r="N10" s="250">
        <v>17</v>
      </c>
      <c r="O10" s="251" t="s">
        <v>4</v>
      </c>
      <c r="P10" s="252">
        <v>1</v>
      </c>
      <c r="Q10" s="97" t="str">
        <f t="shared" si="4"/>
        <v>Benfica Lissabon</v>
      </c>
      <c r="R10" s="98" t="s">
        <v>4</v>
      </c>
      <c r="S10" s="99" t="str">
        <f t="shared" si="5"/>
        <v>Qarabag Agdam</v>
      </c>
      <c r="T10" s="168">
        <v>45916</v>
      </c>
      <c r="U10" s="169">
        <v>0.875</v>
      </c>
    </row>
    <row r="11" spans="2:23" ht="15.95" customHeight="1" x14ac:dyDescent="0.2">
      <c r="B11" s="82">
        <f t="shared" si="1"/>
        <v>1</v>
      </c>
      <c r="C11" s="213">
        <v>5</v>
      </c>
      <c r="D11" s="209" t="s">
        <v>293</v>
      </c>
      <c r="E11" s="172"/>
      <c r="F11" s="82">
        <f t="shared" si="0"/>
        <v>1</v>
      </c>
      <c r="G11" s="82" t="str">
        <f t="shared" si="2"/>
        <v>3511</v>
      </c>
      <c r="H11" s="82" t="str">
        <f t="shared" si="3"/>
        <v>1135</v>
      </c>
      <c r="I11" s="82">
        <f>IF($G11="",0,COUNTIF($G$7:$G11,$H11))</f>
        <v>0</v>
      </c>
      <c r="J11" s="189"/>
      <c r="K11" s="217" t="str">
        <f>Language!$E$85</f>
        <v>double</v>
      </c>
      <c r="L11" s="194"/>
      <c r="M11" s="91">
        <v>5</v>
      </c>
      <c r="N11" s="250">
        <v>35</v>
      </c>
      <c r="O11" s="251" t="s">
        <v>4</v>
      </c>
      <c r="P11" s="252">
        <v>11</v>
      </c>
      <c r="Q11" s="97" t="str">
        <f t="shared" si="4"/>
        <v>Juventus Turin</v>
      </c>
      <c r="R11" s="98" t="s">
        <v>4</v>
      </c>
      <c r="S11" s="99" t="str">
        <f t="shared" si="5"/>
        <v>Borussia Dortmund</v>
      </c>
      <c r="T11" s="168">
        <v>45916</v>
      </c>
      <c r="U11" s="169">
        <v>0.875</v>
      </c>
    </row>
    <row r="12" spans="2:23" ht="15.95" customHeight="1" x14ac:dyDescent="0.2">
      <c r="B12" s="82">
        <f t="shared" si="1"/>
        <v>1</v>
      </c>
      <c r="C12" s="213">
        <v>6</v>
      </c>
      <c r="D12" s="209" t="s">
        <v>294</v>
      </c>
      <c r="E12" s="172"/>
      <c r="F12" s="82">
        <f t="shared" si="0"/>
        <v>1</v>
      </c>
      <c r="G12" s="82" t="str">
        <f t="shared" si="2"/>
        <v>3436</v>
      </c>
      <c r="H12" s="82" t="str">
        <f t="shared" si="3"/>
        <v>3634</v>
      </c>
      <c r="I12" s="82">
        <f>IF($G12="",0,COUNTIF($G$7:$G12,$H12))</f>
        <v>0</v>
      </c>
      <c r="J12" s="189"/>
      <c r="K12" s="217" t="str">
        <f>Language!$E$85</f>
        <v>double</v>
      </c>
      <c r="L12" s="194"/>
      <c r="M12" s="91">
        <v>6</v>
      </c>
      <c r="N12" s="250">
        <v>34</v>
      </c>
      <c r="O12" s="251" t="s">
        <v>4</v>
      </c>
      <c r="P12" s="252">
        <v>36</v>
      </c>
      <c r="Q12" s="97" t="str">
        <f t="shared" si="4"/>
        <v>Tottenham Hotspur</v>
      </c>
      <c r="R12" s="98" t="s">
        <v>4</v>
      </c>
      <c r="S12" s="99" t="str">
        <f t="shared" si="5"/>
        <v>FC Villarreal</v>
      </c>
      <c r="T12" s="168">
        <v>45916</v>
      </c>
      <c r="U12" s="169">
        <v>0.875</v>
      </c>
    </row>
    <row r="13" spans="2:23" ht="15.95" customHeight="1" x14ac:dyDescent="0.2">
      <c r="B13" s="82">
        <f t="shared" si="1"/>
        <v>1</v>
      </c>
      <c r="C13" s="213">
        <v>7</v>
      </c>
      <c r="D13" s="209" t="s">
        <v>295</v>
      </c>
      <c r="E13" s="172"/>
      <c r="F13" s="82">
        <f t="shared" si="0"/>
        <v>1</v>
      </c>
      <c r="G13" s="82" t="str">
        <f t="shared" si="2"/>
        <v>3129</v>
      </c>
      <c r="H13" s="82" t="str">
        <f t="shared" si="3"/>
        <v>2931</v>
      </c>
      <c r="I13" s="82">
        <f>IF($G13="",0,COUNTIF($G$7:$G13,$H13))</f>
        <v>0</v>
      </c>
      <c r="J13" s="189"/>
      <c r="K13" s="217" t="str">
        <f>Language!$E$85</f>
        <v>double</v>
      </c>
      <c r="L13" s="194"/>
      <c r="M13" s="91">
        <v>7</v>
      </c>
      <c r="N13" s="250">
        <v>31</v>
      </c>
      <c r="O13" s="251" t="s">
        <v>4</v>
      </c>
      <c r="P13" s="252">
        <v>29</v>
      </c>
      <c r="Q13" s="97" t="str">
        <f t="shared" si="4"/>
        <v>Olympiakos Piräus</v>
      </c>
      <c r="R13" s="98" t="s">
        <v>4</v>
      </c>
      <c r="S13" s="99" t="str">
        <f t="shared" si="5"/>
        <v>Pafos FC</v>
      </c>
      <c r="T13" s="168">
        <v>45917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8</v>
      </c>
      <c r="D14" s="209" t="s">
        <v>296</v>
      </c>
      <c r="E14" s="172"/>
      <c r="F14" s="82">
        <f t="shared" si="0"/>
        <v>1</v>
      </c>
      <c r="G14" s="82" t="str">
        <f t="shared" si="2"/>
        <v>3208</v>
      </c>
      <c r="H14" s="82" t="str">
        <f t="shared" si="3"/>
        <v>0832</v>
      </c>
      <c r="I14" s="82">
        <f>IF($G14="",0,COUNTIF($G$7:$G14,$H14))</f>
        <v>0</v>
      </c>
      <c r="J14" s="189"/>
      <c r="K14" s="217" t="str">
        <f>Language!$E$85</f>
        <v>double</v>
      </c>
      <c r="L14" s="194"/>
      <c r="M14" s="91">
        <v>8</v>
      </c>
      <c r="N14" s="250">
        <v>32</v>
      </c>
      <c r="O14" s="251" t="s">
        <v>4</v>
      </c>
      <c r="P14" s="252">
        <v>8</v>
      </c>
      <c r="Q14" s="97" t="str">
        <f t="shared" si="4"/>
        <v>Salva Prag</v>
      </c>
      <c r="R14" s="98" t="s">
        <v>4</v>
      </c>
      <c r="S14" s="99" t="str">
        <f t="shared" si="5"/>
        <v>FK Bodö/Glimt</v>
      </c>
      <c r="T14" s="168">
        <v>45917</v>
      </c>
      <c r="U14" s="169">
        <v>0.78125</v>
      </c>
    </row>
    <row r="15" spans="2:23" ht="15.95" customHeight="1" x14ac:dyDescent="0.2">
      <c r="B15" s="82">
        <f t="shared" si="1"/>
        <v>1</v>
      </c>
      <c r="C15" s="213">
        <v>9</v>
      </c>
      <c r="D15" s="209" t="s">
        <v>297</v>
      </c>
      <c r="E15" s="172"/>
      <c r="F15" s="82">
        <f t="shared" si="0"/>
        <v>1</v>
      </c>
      <c r="G15" s="82" t="str">
        <f t="shared" si="2"/>
        <v>3006</v>
      </c>
      <c r="H15" s="82" t="str">
        <f t="shared" si="3"/>
        <v>0630</v>
      </c>
      <c r="I15" s="82">
        <f>IF($G15="",0,COUNTIF($G$7:$G15,$H15))</f>
        <v>0</v>
      </c>
      <c r="J15" s="189"/>
      <c r="K15" s="217" t="str">
        <f>Language!$E$85</f>
        <v>double</v>
      </c>
      <c r="L15" s="194"/>
      <c r="M15" s="91">
        <v>9</v>
      </c>
      <c r="N15" s="250">
        <v>30</v>
      </c>
      <c r="O15" s="251" t="s">
        <v>4</v>
      </c>
      <c r="P15" s="252">
        <v>6</v>
      </c>
      <c r="Q15" s="97" t="str">
        <f t="shared" si="4"/>
        <v>Paris St. Germain</v>
      </c>
      <c r="R15" s="98" t="s">
        <v>4</v>
      </c>
      <c r="S15" s="99" t="str">
        <f t="shared" si="5"/>
        <v>Atalanta Bergamo</v>
      </c>
      <c r="T15" s="168">
        <v>45917</v>
      </c>
      <c r="U15" s="169">
        <v>0.875</v>
      </c>
    </row>
    <row r="16" spans="2:23" ht="15.95" customHeight="1" x14ac:dyDescent="0.2">
      <c r="B16" s="82">
        <f t="shared" si="1"/>
        <v>1</v>
      </c>
      <c r="C16" s="213">
        <v>10</v>
      </c>
      <c r="D16" s="209" t="s">
        <v>298</v>
      </c>
      <c r="E16" s="172"/>
      <c r="F16" s="82">
        <f t="shared" si="0"/>
        <v>1</v>
      </c>
      <c r="G16" s="82" t="str">
        <f t="shared" si="2"/>
        <v>2610</v>
      </c>
      <c r="H16" s="82" t="str">
        <f t="shared" si="3"/>
        <v>1026</v>
      </c>
      <c r="I16" s="82">
        <f>IF($G16="",0,COUNTIF($G$7:$G16,$H16))</f>
        <v>0</v>
      </c>
      <c r="J16" s="82"/>
      <c r="K16" s="217" t="str">
        <f>Language!$E$85</f>
        <v>double</v>
      </c>
      <c r="L16" s="194"/>
      <c r="M16" s="91">
        <v>10</v>
      </c>
      <c r="N16" s="250">
        <v>26</v>
      </c>
      <c r="O16" s="251" t="s">
        <v>4</v>
      </c>
      <c r="P16" s="252">
        <v>10</v>
      </c>
      <c r="Q16" s="97" t="str">
        <f t="shared" si="4"/>
        <v>Bayern München</v>
      </c>
      <c r="R16" s="98" t="s">
        <v>4</v>
      </c>
      <c r="S16" s="99" t="str">
        <f t="shared" si="5"/>
        <v>FC Chelsea</v>
      </c>
      <c r="T16" s="168">
        <v>45917</v>
      </c>
      <c r="U16" s="169">
        <v>0.875</v>
      </c>
    </row>
    <row r="17" spans="2:21" ht="15.95" customHeight="1" x14ac:dyDescent="0.2">
      <c r="B17" s="82">
        <f t="shared" si="1"/>
        <v>1</v>
      </c>
      <c r="C17" s="213">
        <v>11</v>
      </c>
      <c r="D17" s="209" t="s">
        <v>299</v>
      </c>
      <c r="E17" s="172"/>
      <c r="F17" s="82">
        <f t="shared" si="0"/>
        <v>1</v>
      </c>
      <c r="G17" s="82" t="str">
        <f t="shared" si="2"/>
        <v>1920</v>
      </c>
      <c r="H17" s="82" t="str">
        <f t="shared" si="3"/>
        <v>2019</v>
      </c>
      <c r="I17" s="82">
        <f>IF($G17="",0,COUNTIF($G$7:$G17,$H17))</f>
        <v>0</v>
      </c>
      <c r="J17" s="82"/>
      <c r="K17" s="217" t="str">
        <f>Language!$E$85</f>
        <v>double</v>
      </c>
      <c r="L17" s="194"/>
      <c r="M17" s="91">
        <v>11</v>
      </c>
      <c r="N17" s="250">
        <v>19</v>
      </c>
      <c r="O17" s="251" t="s">
        <v>4</v>
      </c>
      <c r="P17" s="252">
        <v>20</v>
      </c>
      <c r="Q17" s="97" t="str">
        <f t="shared" si="4"/>
        <v>FC Liverpool</v>
      </c>
      <c r="R17" s="98" t="s">
        <v>4</v>
      </c>
      <c r="S17" s="99" t="str">
        <f t="shared" si="5"/>
        <v>Atletico Madrid</v>
      </c>
      <c r="T17" s="168">
        <v>45917</v>
      </c>
      <c r="U17" s="169">
        <v>0.875</v>
      </c>
    </row>
    <row r="18" spans="2:21" ht="15.95" customHeight="1" x14ac:dyDescent="0.2">
      <c r="B18" s="82">
        <f t="shared" si="1"/>
        <v>1</v>
      </c>
      <c r="C18" s="213">
        <v>12</v>
      </c>
      <c r="D18" s="209" t="s">
        <v>300</v>
      </c>
      <c r="E18" s="172"/>
      <c r="F18" s="82">
        <f t="shared" si="0"/>
        <v>1</v>
      </c>
      <c r="G18" s="82" t="str">
        <f t="shared" si="2"/>
        <v>0322</v>
      </c>
      <c r="H18" s="82" t="str">
        <f t="shared" si="3"/>
        <v>2203</v>
      </c>
      <c r="I18" s="82">
        <f>IF($G18="",0,COUNTIF($G$7:$G18,$H18))</f>
        <v>0</v>
      </c>
      <c r="J18" s="82"/>
      <c r="K18" s="217" t="str">
        <f>Language!$E$85</f>
        <v>double</v>
      </c>
      <c r="L18" s="194"/>
      <c r="M18" s="91">
        <v>12</v>
      </c>
      <c r="N18" s="250">
        <v>3</v>
      </c>
      <c r="O18" s="251" t="s">
        <v>4</v>
      </c>
      <c r="P18" s="252">
        <v>22</v>
      </c>
      <c r="Q18" s="97" t="str">
        <f t="shared" si="4"/>
        <v>Ajax Amsterdam</v>
      </c>
      <c r="R18" s="98" t="s">
        <v>4</v>
      </c>
      <c r="S18" s="99" t="str">
        <f t="shared" si="5"/>
        <v>Inter Mailand</v>
      </c>
      <c r="T18" s="168">
        <v>45917</v>
      </c>
      <c r="U18" s="169">
        <v>0.875</v>
      </c>
    </row>
    <row r="19" spans="2:21" ht="15.95" customHeight="1" x14ac:dyDescent="0.2">
      <c r="B19" s="82">
        <f t="shared" si="1"/>
        <v>1</v>
      </c>
      <c r="C19" s="213">
        <v>13</v>
      </c>
      <c r="D19" s="209" t="s">
        <v>301</v>
      </c>
      <c r="E19" s="172"/>
      <c r="F19" s="82">
        <f t="shared" si="0"/>
        <v>1</v>
      </c>
      <c r="G19" s="82" t="str">
        <f t="shared" si="2"/>
        <v>0925</v>
      </c>
      <c r="H19" s="82" t="str">
        <f t="shared" si="3"/>
        <v>2509</v>
      </c>
      <c r="I19" s="82">
        <f>IF($G19="",0,COUNTIF($G$7:$G19,$H19))</f>
        <v>0</v>
      </c>
      <c r="J19" s="82"/>
      <c r="K19" s="217" t="str">
        <f>Language!$E$85</f>
        <v>double</v>
      </c>
      <c r="L19" s="194"/>
      <c r="M19" s="91">
        <v>13</v>
      </c>
      <c r="N19" s="250">
        <v>9</v>
      </c>
      <c r="O19" s="251" t="s">
        <v>4</v>
      </c>
      <c r="P19" s="252">
        <v>25</v>
      </c>
      <c r="Q19" s="97" t="str">
        <f t="shared" si="4"/>
        <v>Club Brügge</v>
      </c>
      <c r="R19" s="98" t="s">
        <v>4</v>
      </c>
      <c r="S19" s="99" t="str">
        <f t="shared" si="5"/>
        <v>AS Monaco</v>
      </c>
      <c r="T19" s="168">
        <v>45918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14</v>
      </c>
      <c r="D20" s="209" t="s">
        <v>302</v>
      </c>
      <c r="E20" s="172"/>
      <c r="F20" s="82">
        <f t="shared" si="0"/>
        <v>1</v>
      </c>
      <c r="G20" s="82" t="str">
        <f t="shared" si="2"/>
        <v>1516</v>
      </c>
      <c r="H20" s="82" t="str">
        <f t="shared" si="3"/>
        <v>1615</v>
      </c>
      <c r="I20" s="82">
        <f>IF($G20="",0,COUNTIF($G$7:$G20,$H20))</f>
        <v>0</v>
      </c>
      <c r="J20" s="82"/>
      <c r="K20" s="217" t="str">
        <f>Language!$E$85</f>
        <v>double</v>
      </c>
      <c r="L20" s="194"/>
      <c r="M20" s="91">
        <v>14</v>
      </c>
      <c r="N20" s="250">
        <v>15</v>
      </c>
      <c r="O20" s="251" t="s">
        <v>4</v>
      </c>
      <c r="P20" s="252">
        <v>16</v>
      </c>
      <c r="Q20" s="97" t="str">
        <f t="shared" si="4"/>
        <v>FC Kopenhagen</v>
      </c>
      <c r="R20" s="98" t="s">
        <v>4</v>
      </c>
      <c r="S20" s="99" t="str">
        <f t="shared" si="5"/>
        <v>Bayer 04 Leverkusen</v>
      </c>
      <c r="T20" s="168">
        <v>45918</v>
      </c>
      <c r="U20" s="169">
        <v>0.78125</v>
      </c>
    </row>
    <row r="21" spans="2:21" ht="15.95" customHeight="1" x14ac:dyDescent="0.2">
      <c r="B21" s="82">
        <f t="shared" si="1"/>
        <v>1</v>
      </c>
      <c r="C21" s="213">
        <v>15</v>
      </c>
      <c r="D21" s="209" t="s">
        <v>303</v>
      </c>
      <c r="E21" s="172"/>
      <c r="F21" s="82">
        <f t="shared" si="0"/>
        <v>1</v>
      </c>
      <c r="G21" s="82" t="str">
        <f t="shared" si="2"/>
        <v>2327</v>
      </c>
      <c r="H21" s="82" t="str">
        <f t="shared" si="3"/>
        <v>2723</v>
      </c>
      <c r="I21" s="82">
        <f>IF($G21="",0,COUNTIF($G$7:$G21,$H21))</f>
        <v>0</v>
      </c>
      <c r="J21" s="82"/>
      <c r="K21" s="217" t="str">
        <f>Language!$E$85</f>
        <v>double</v>
      </c>
      <c r="L21" s="194"/>
      <c r="M21" s="91">
        <v>15</v>
      </c>
      <c r="N21" s="250">
        <v>23</v>
      </c>
      <c r="O21" s="251" t="s">
        <v>4</v>
      </c>
      <c r="P21" s="252">
        <v>27</v>
      </c>
      <c r="Q21" s="97" t="str">
        <f t="shared" si="4"/>
        <v>Manchester City</v>
      </c>
      <c r="R21" s="98" t="s">
        <v>4</v>
      </c>
      <c r="S21" s="99" t="str">
        <f t="shared" si="5"/>
        <v>SSC Neapel</v>
      </c>
      <c r="T21" s="168">
        <v>45918</v>
      </c>
      <c r="U21" s="169">
        <v>0.875</v>
      </c>
    </row>
    <row r="22" spans="2:21" ht="15.95" customHeight="1" x14ac:dyDescent="0.2">
      <c r="B22" s="82">
        <f t="shared" si="1"/>
        <v>1</v>
      </c>
      <c r="C22" s="213">
        <v>16</v>
      </c>
      <c r="D22" s="209" t="s">
        <v>304</v>
      </c>
      <c r="E22" s="172"/>
      <c r="F22" s="82">
        <f t="shared" si="0"/>
        <v>1</v>
      </c>
      <c r="G22" s="82" t="str">
        <f t="shared" si="2"/>
        <v>1314</v>
      </c>
      <c r="H22" s="82" t="str">
        <f t="shared" si="3"/>
        <v>1413</v>
      </c>
      <c r="I22" s="82">
        <f>IF($G22="",0,COUNTIF($G$7:$G22,$H22))</f>
        <v>0</v>
      </c>
      <c r="J22" s="82"/>
      <c r="K22" s="217" t="str">
        <f>Language!$E$85</f>
        <v>double</v>
      </c>
      <c r="L22" s="194"/>
      <c r="M22" s="91">
        <v>16</v>
      </c>
      <c r="N22" s="250">
        <v>13</v>
      </c>
      <c r="O22" s="251" t="s">
        <v>4</v>
      </c>
      <c r="P22" s="252">
        <v>14</v>
      </c>
      <c r="Q22" s="97" t="str">
        <f t="shared" si="4"/>
        <v>Eintracht Frankfurt</v>
      </c>
      <c r="R22" s="98" t="s">
        <v>4</v>
      </c>
      <c r="S22" s="99" t="str">
        <f t="shared" si="5"/>
        <v>Galatasaray SK</v>
      </c>
      <c r="T22" s="168">
        <v>45918</v>
      </c>
      <c r="U22" s="169">
        <v>0.875</v>
      </c>
    </row>
    <row r="23" spans="2:21" ht="15.95" customHeight="1" x14ac:dyDescent="0.2">
      <c r="B23" s="82">
        <f t="shared" si="1"/>
        <v>1</v>
      </c>
      <c r="C23" s="213">
        <v>17</v>
      </c>
      <c r="D23" s="209" t="s">
        <v>305</v>
      </c>
      <c r="E23" s="172"/>
      <c r="F23" s="82">
        <f t="shared" si="0"/>
        <v>1</v>
      </c>
      <c r="G23" s="82" t="str">
        <f t="shared" si="2"/>
        <v>1802</v>
      </c>
      <c r="H23" s="82" t="str">
        <f t="shared" si="3"/>
        <v>0218</v>
      </c>
      <c r="I23" s="82">
        <f>IF($G23="",0,COUNTIF($G$7:$G23,$H23))</f>
        <v>0</v>
      </c>
      <c r="J23" s="82"/>
      <c r="K23" s="217" t="str">
        <f>Language!$E$85</f>
        <v>double</v>
      </c>
      <c r="L23" s="194"/>
      <c r="M23" s="91">
        <v>17</v>
      </c>
      <c r="N23" s="250">
        <v>18</v>
      </c>
      <c r="O23" s="251" t="s">
        <v>4</v>
      </c>
      <c r="P23" s="252">
        <v>2</v>
      </c>
      <c r="Q23" s="97" t="str">
        <f t="shared" si="4"/>
        <v>Sporting Lissabon</v>
      </c>
      <c r="R23" s="98" t="s">
        <v>4</v>
      </c>
      <c r="S23" s="99" t="str">
        <f t="shared" si="5"/>
        <v>Qairat Almaty</v>
      </c>
      <c r="T23" s="168">
        <v>45918</v>
      </c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18</v>
      </c>
      <c r="D24" s="209" t="s">
        <v>306</v>
      </c>
      <c r="E24" s="172"/>
      <c r="F24" s="82">
        <f t="shared" si="0"/>
        <v>1</v>
      </c>
      <c r="G24" s="82" t="str">
        <f t="shared" si="2"/>
        <v>2805</v>
      </c>
      <c r="H24" s="82" t="str">
        <f t="shared" si="3"/>
        <v>0528</v>
      </c>
      <c r="I24" s="82">
        <f>IF($G24="",0,COUNTIF($G$7:$G24,$H24))</f>
        <v>0</v>
      </c>
      <c r="J24" s="82"/>
      <c r="K24" s="217" t="str">
        <f>Language!$E$85</f>
        <v>double</v>
      </c>
      <c r="L24" s="194"/>
      <c r="M24" s="253">
        <v>18</v>
      </c>
      <c r="N24" s="282">
        <v>28</v>
      </c>
      <c r="O24" s="254" t="s">
        <v>4</v>
      </c>
      <c r="P24" s="283">
        <v>5</v>
      </c>
      <c r="Q24" s="255" t="str">
        <f t="shared" si="4"/>
        <v>Newcastle United</v>
      </c>
      <c r="R24" s="256" t="s">
        <v>4</v>
      </c>
      <c r="S24" s="257" t="str">
        <f t="shared" si="5"/>
        <v>FC Barcelona</v>
      </c>
      <c r="T24" s="168">
        <v>45918</v>
      </c>
      <c r="U24" s="258">
        <v>0.875</v>
      </c>
    </row>
    <row r="25" spans="2:21" ht="15.95" customHeight="1" x14ac:dyDescent="0.2">
      <c r="B25" s="82">
        <f t="shared" si="1"/>
        <v>1</v>
      </c>
      <c r="C25" s="213">
        <v>19</v>
      </c>
      <c r="D25" s="209" t="s">
        <v>307</v>
      </c>
      <c r="E25" s="172"/>
      <c r="F25" s="82">
        <f t="shared" si="0"/>
        <v>1</v>
      </c>
      <c r="G25" s="82" t="str">
        <f t="shared" si="2"/>
        <v>0609</v>
      </c>
      <c r="H25" s="82" t="str">
        <f t="shared" si="3"/>
        <v>0906</v>
      </c>
      <c r="I25" s="82">
        <f>IF($G25="",0,COUNTIF($G$7:$G25,$H25))</f>
        <v>0</v>
      </c>
      <c r="J25" s="82"/>
      <c r="K25" s="217" t="str">
        <f>Language!$E$85</f>
        <v>double</v>
      </c>
      <c r="L25" s="284">
        <v>2</v>
      </c>
      <c r="M25" s="285">
        <v>19</v>
      </c>
      <c r="N25" s="286">
        <v>6</v>
      </c>
      <c r="O25" s="287" t="s">
        <v>4</v>
      </c>
      <c r="P25" s="288">
        <v>9</v>
      </c>
      <c r="Q25" s="289" t="str">
        <f t="shared" si="4"/>
        <v>Atalanta Bergamo</v>
      </c>
      <c r="R25" s="290" t="s">
        <v>4</v>
      </c>
      <c r="S25" s="291" t="str">
        <f t="shared" si="5"/>
        <v>Club Brügge</v>
      </c>
      <c r="T25" s="292">
        <v>45930</v>
      </c>
      <c r="U25" s="293">
        <v>0.78125</v>
      </c>
    </row>
    <row r="26" spans="2:21" ht="15.95" customHeight="1" x14ac:dyDescent="0.2">
      <c r="B26" s="82">
        <f t="shared" si="1"/>
        <v>1</v>
      </c>
      <c r="C26" s="213">
        <v>20</v>
      </c>
      <c r="D26" s="209" t="s">
        <v>308</v>
      </c>
      <c r="E26" s="172"/>
      <c r="F26" s="82">
        <f t="shared" si="0"/>
        <v>1</v>
      </c>
      <c r="G26" s="82" t="str">
        <f t="shared" si="2"/>
        <v>0221</v>
      </c>
      <c r="H26" s="82" t="str">
        <f t="shared" si="3"/>
        <v>2102</v>
      </c>
      <c r="I26" s="82">
        <f>IF($G26="",0,COUNTIF($G$7:$G26,$H26))</f>
        <v>0</v>
      </c>
      <c r="J26" s="82"/>
      <c r="K26" s="217" t="str">
        <f>Language!$E$85</f>
        <v>double</v>
      </c>
      <c r="L26" s="194"/>
      <c r="M26" s="91">
        <v>20</v>
      </c>
      <c r="N26" s="250">
        <v>2</v>
      </c>
      <c r="O26" s="251" t="s">
        <v>4</v>
      </c>
      <c r="P26" s="252">
        <v>21</v>
      </c>
      <c r="Q26" s="97" t="str">
        <f t="shared" si="4"/>
        <v>Qairat Almaty</v>
      </c>
      <c r="R26" s="98" t="s">
        <v>4</v>
      </c>
      <c r="S26" s="99" t="str">
        <f t="shared" si="5"/>
        <v>Real Madrid</v>
      </c>
      <c r="T26" s="168">
        <v>45930</v>
      </c>
      <c r="U26" s="169">
        <v>0.78125</v>
      </c>
    </row>
    <row r="27" spans="2:21" ht="15.95" customHeight="1" x14ac:dyDescent="0.2">
      <c r="B27" s="82">
        <f t="shared" si="1"/>
        <v>1</v>
      </c>
      <c r="C27" s="213">
        <v>21</v>
      </c>
      <c r="D27" s="209" t="s">
        <v>309</v>
      </c>
      <c r="E27" s="172"/>
      <c r="F27" s="82">
        <f t="shared" si="0"/>
        <v>1</v>
      </c>
      <c r="G27" s="82" t="str">
        <f t="shared" si="2"/>
        <v>2232</v>
      </c>
      <c r="H27" s="82" t="str">
        <f t="shared" si="3"/>
        <v>3222</v>
      </c>
      <c r="I27" s="82">
        <f>IF($G27="",0,COUNTIF($G$7:$G27,$H27))</f>
        <v>0</v>
      </c>
      <c r="J27" s="82"/>
      <c r="K27" s="217" t="str">
        <f>Language!$E$85</f>
        <v>double</v>
      </c>
      <c r="L27" s="194"/>
      <c r="M27" s="91">
        <v>21</v>
      </c>
      <c r="N27" s="250">
        <v>22</v>
      </c>
      <c r="O27" s="251" t="s">
        <v>4</v>
      </c>
      <c r="P27" s="252">
        <v>32</v>
      </c>
      <c r="Q27" s="97" t="str">
        <f t="shared" si="4"/>
        <v>Inter Mailand</v>
      </c>
      <c r="R27" s="98" t="s">
        <v>4</v>
      </c>
      <c r="S27" s="99" t="str">
        <f t="shared" si="5"/>
        <v>Salva Prag</v>
      </c>
      <c r="T27" s="168">
        <v>45930</v>
      </c>
      <c r="U27" s="169">
        <v>0.875</v>
      </c>
    </row>
    <row r="28" spans="2:21" ht="15.95" customHeight="1" x14ac:dyDescent="0.2">
      <c r="B28" s="82">
        <f t="shared" si="1"/>
        <v>1</v>
      </c>
      <c r="C28" s="213">
        <v>22</v>
      </c>
      <c r="D28" s="209" t="s">
        <v>310</v>
      </c>
      <c r="E28" s="172"/>
      <c r="F28" s="82">
        <f t="shared" si="0"/>
        <v>1</v>
      </c>
      <c r="G28" s="82" t="str">
        <f t="shared" si="2"/>
        <v>1017</v>
      </c>
      <c r="H28" s="82" t="str">
        <f t="shared" si="3"/>
        <v>1710</v>
      </c>
      <c r="I28" s="82">
        <f>IF($G28="",0,COUNTIF($G$7:$G28,$H28))</f>
        <v>0</v>
      </c>
      <c r="J28" s="82"/>
      <c r="K28" s="217" t="str">
        <f>Language!$E$85</f>
        <v>double</v>
      </c>
      <c r="L28" s="194"/>
      <c r="M28" s="91">
        <v>22</v>
      </c>
      <c r="N28" s="250">
        <v>10</v>
      </c>
      <c r="O28" s="251" t="s">
        <v>4</v>
      </c>
      <c r="P28" s="252">
        <v>17</v>
      </c>
      <c r="Q28" s="97" t="str">
        <f t="shared" si="4"/>
        <v>FC Chelsea</v>
      </c>
      <c r="R28" s="98" t="s">
        <v>4</v>
      </c>
      <c r="S28" s="99" t="str">
        <f t="shared" si="5"/>
        <v>Benfica Lissabon</v>
      </c>
      <c r="T28" s="168">
        <v>45930</v>
      </c>
      <c r="U28" s="169">
        <v>0.875</v>
      </c>
    </row>
    <row r="29" spans="2:21" ht="15.95" customHeight="1" x14ac:dyDescent="0.2">
      <c r="B29" s="82">
        <f t="shared" si="1"/>
        <v>1</v>
      </c>
      <c r="C29" s="213">
        <v>23</v>
      </c>
      <c r="D29" s="209" t="s">
        <v>311</v>
      </c>
      <c r="E29" s="172"/>
      <c r="F29" s="82">
        <f t="shared" si="0"/>
        <v>1</v>
      </c>
      <c r="G29" s="82" t="str">
        <f t="shared" si="2"/>
        <v>2013</v>
      </c>
      <c r="H29" s="82" t="str">
        <f t="shared" si="3"/>
        <v>1320</v>
      </c>
      <c r="I29" s="82">
        <f>IF($G29="",0,COUNTIF($G$7:$G29,$H29))</f>
        <v>0</v>
      </c>
      <c r="J29" s="82"/>
      <c r="K29" s="217" t="str">
        <f>Language!$E$85</f>
        <v>double</v>
      </c>
      <c r="L29" s="194"/>
      <c r="M29" s="91">
        <v>23</v>
      </c>
      <c r="N29" s="250">
        <v>20</v>
      </c>
      <c r="O29" s="251" t="s">
        <v>4</v>
      </c>
      <c r="P29" s="252">
        <v>13</v>
      </c>
      <c r="Q29" s="97" t="str">
        <f t="shared" si="4"/>
        <v>Atletico Madrid</v>
      </c>
      <c r="R29" s="98" t="s">
        <v>4</v>
      </c>
      <c r="S29" s="99" t="str">
        <f t="shared" si="5"/>
        <v>Eintracht Frankfurt</v>
      </c>
      <c r="T29" s="168">
        <v>45930</v>
      </c>
      <c r="U29" s="169">
        <v>0.875</v>
      </c>
    </row>
    <row r="30" spans="2:21" ht="15.95" customHeight="1" x14ac:dyDescent="0.2">
      <c r="B30" s="82">
        <f t="shared" si="1"/>
        <v>1</v>
      </c>
      <c r="C30" s="213">
        <v>24</v>
      </c>
      <c r="D30" s="209" t="s">
        <v>312</v>
      </c>
      <c r="E30" s="172"/>
      <c r="F30" s="82">
        <f t="shared" si="0"/>
        <v>1</v>
      </c>
      <c r="G30" s="82" t="str">
        <f t="shared" si="2"/>
        <v>0834</v>
      </c>
      <c r="H30" s="82" t="str">
        <f t="shared" si="3"/>
        <v>3408</v>
      </c>
      <c r="I30" s="82">
        <f>IF($G30="",0,COUNTIF($G$7:$G30,$H30))</f>
        <v>0</v>
      </c>
      <c r="J30" s="82"/>
      <c r="K30" s="217" t="str">
        <f>Language!$E$85</f>
        <v>double</v>
      </c>
      <c r="L30" s="194"/>
      <c r="M30" s="91">
        <v>24</v>
      </c>
      <c r="N30" s="250">
        <v>8</v>
      </c>
      <c r="O30" s="251" t="s">
        <v>4</v>
      </c>
      <c r="P30" s="252">
        <v>34</v>
      </c>
      <c r="Q30" s="97" t="str">
        <f t="shared" si="4"/>
        <v>FK Bodö/Glimt</v>
      </c>
      <c r="R30" s="98" t="s">
        <v>4</v>
      </c>
      <c r="S30" s="99" t="str">
        <f t="shared" si="5"/>
        <v>Tottenham Hotspur</v>
      </c>
      <c r="T30" s="168">
        <v>45930</v>
      </c>
      <c r="U30" s="169">
        <v>0.875</v>
      </c>
    </row>
    <row r="31" spans="2:21" ht="15.95" customHeight="1" x14ac:dyDescent="0.2">
      <c r="B31" s="82">
        <f t="shared" si="1"/>
        <v>1</v>
      </c>
      <c r="C31" s="213">
        <v>25</v>
      </c>
      <c r="D31" s="209" t="s">
        <v>313</v>
      </c>
      <c r="E31" s="172"/>
      <c r="F31" s="82">
        <f t="shared" si="0"/>
        <v>1</v>
      </c>
      <c r="G31" s="82" t="str">
        <f t="shared" si="2"/>
        <v>2403</v>
      </c>
      <c r="H31" s="82" t="str">
        <f t="shared" si="3"/>
        <v>0324</v>
      </c>
      <c r="I31" s="82">
        <f>IF($G31="",0,COUNTIF($G$7:$G31,$H31))</f>
        <v>0</v>
      </c>
      <c r="J31" s="82"/>
      <c r="K31" s="217" t="str">
        <f>Language!$E$85</f>
        <v>double</v>
      </c>
      <c r="L31" s="194"/>
      <c r="M31" s="91">
        <v>25</v>
      </c>
      <c r="N31" s="250">
        <v>24</v>
      </c>
      <c r="O31" s="251" t="s">
        <v>4</v>
      </c>
      <c r="P31" s="252">
        <v>3</v>
      </c>
      <c r="Q31" s="97" t="str">
        <f t="shared" si="4"/>
        <v>Olympique Marseille</v>
      </c>
      <c r="R31" s="98" t="s">
        <v>4</v>
      </c>
      <c r="S31" s="99" t="str">
        <f t="shared" si="5"/>
        <v>Ajax Amsterdam</v>
      </c>
      <c r="T31" s="168">
        <v>45930</v>
      </c>
      <c r="U31" s="169">
        <v>0.875</v>
      </c>
    </row>
    <row r="32" spans="2:21" ht="15.95" customHeight="1" x14ac:dyDescent="0.2">
      <c r="B32" s="82">
        <f t="shared" si="1"/>
        <v>1</v>
      </c>
      <c r="C32" s="213">
        <v>26</v>
      </c>
      <c r="D32" s="209" t="s">
        <v>314</v>
      </c>
      <c r="E32" s="172"/>
      <c r="F32" s="82">
        <f t="shared" si="0"/>
        <v>1</v>
      </c>
      <c r="G32" s="82" t="str">
        <f t="shared" si="2"/>
        <v>1419</v>
      </c>
      <c r="H32" s="82" t="str">
        <f t="shared" si="3"/>
        <v>1914</v>
      </c>
      <c r="I32" s="82">
        <f>IF($G32="",0,COUNTIF($G$7:$G32,$H32))</f>
        <v>0</v>
      </c>
      <c r="J32" s="82"/>
      <c r="K32" s="217" t="str">
        <f>Language!$E$85</f>
        <v>double</v>
      </c>
      <c r="L32" s="194"/>
      <c r="M32" s="91">
        <v>26</v>
      </c>
      <c r="N32" s="250">
        <v>14</v>
      </c>
      <c r="O32" s="251" t="s">
        <v>4</v>
      </c>
      <c r="P32" s="252">
        <v>19</v>
      </c>
      <c r="Q32" s="97" t="str">
        <f t="shared" si="4"/>
        <v>Galatasaray SK</v>
      </c>
      <c r="R32" s="98" t="s">
        <v>4</v>
      </c>
      <c r="S32" s="99" t="str">
        <f t="shared" si="5"/>
        <v>FC Liverpool</v>
      </c>
      <c r="T32" s="168">
        <v>45930</v>
      </c>
      <c r="U32" s="169">
        <v>0.875</v>
      </c>
    </row>
    <row r="33" spans="2:21" ht="15.95" customHeight="1" x14ac:dyDescent="0.2">
      <c r="B33" s="82">
        <f t="shared" si="1"/>
        <v>1</v>
      </c>
      <c r="C33" s="213">
        <v>27</v>
      </c>
      <c r="D33" s="209" t="s">
        <v>315</v>
      </c>
      <c r="E33" s="172"/>
      <c r="F33" s="82">
        <f t="shared" si="0"/>
        <v>1</v>
      </c>
      <c r="G33" s="82" t="str">
        <f t="shared" si="2"/>
        <v>2926</v>
      </c>
      <c r="H33" s="82" t="str">
        <f t="shared" si="3"/>
        <v>2629</v>
      </c>
      <c r="I33" s="82">
        <f>IF($G33="",0,COUNTIF($G$7:$G33,$H33))</f>
        <v>0</v>
      </c>
      <c r="J33" s="82"/>
      <c r="K33" s="217" t="str">
        <f>Language!$E$85</f>
        <v>double</v>
      </c>
      <c r="L33" s="194"/>
      <c r="M33" s="91">
        <v>27</v>
      </c>
      <c r="N33" s="250">
        <v>29</v>
      </c>
      <c r="O33" s="251" t="s">
        <v>4</v>
      </c>
      <c r="P33" s="252">
        <v>26</v>
      </c>
      <c r="Q33" s="97" t="str">
        <f t="shared" si="4"/>
        <v>Pafos FC</v>
      </c>
      <c r="R33" s="98" t="s">
        <v>4</v>
      </c>
      <c r="S33" s="99" t="str">
        <f t="shared" si="5"/>
        <v>Bayern München</v>
      </c>
      <c r="T33" s="168">
        <v>45930</v>
      </c>
      <c r="U33" s="169">
        <v>0.875</v>
      </c>
    </row>
    <row r="34" spans="2:21" ht="15.95" customHeight="1" x14ac:dyDescent="0.2">
      <c r="B34" s="82">
        <f t="shared" si="1"/>
        <v>1</v>
      </c>
      <c r="C34" s="213">
        <v>28</v>
      </c>
      <c r="D34" s="209" t="s">
        <v>316</v>
      </c>
      <c r="E34" s="172"/>
      <c r="F34" s="82">
        <f t="shared" si="0"/>
        <v>1</v>
      </c>
      <c r="G34" s="82" t="str">
        <f t="shared" si="2"/>
        <v>3328</v>
      </c>
      <c r="H34" s="82" t="str">
        <f t="shared" si="3"/>
        <v>2833</v>
      </c>
      <c r="I34" s="82">
        <f>IF($G34="",0,COUNTIF($G$7:$G34,$H34))</f>
        <v>0</v>
      </c>
      <c r="J34" s="82"/>
      <c r="K34" s="217" t="str">
        <f>Language!$E$85</f>
        <v>double</v>
      </c>
      <c r="L34" s="194"/>
      <c r="M34" s="91">
        <v>28</v>
      </c>
      <c r="N34" s="250">
        <v>33</v>
      </c>
      <c r="O34" s="251" t="s">
        <v>4</v>
      </c>
      <c r="P34" s="252">
        <v>28</v>
      </c>
      <c r="Q34" s="97" t="str">
        <f t="shared" si="4"/>
        <v>Union Saint-Gilloise</v>
      </c>
      <c r="R34" s="98" t="s">
        <v>4</v>
      </c>
      <c r="S34" s="99" t="str">
        <f t="shared" si="5"/>
        <v>Newcastle United</v>
      </c>
      <c r="T34" s="168">
        <v>45931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29</v>
      </c>
      <c r="D35" s="209" t="s">
        <v>317</v>
      </c>
      <c r="E35" s="172"/>
      <c r="F35" s="82">
        <f t="shared" si="0"/>
        <v>1</v>
      </c>
      <c r="G35" s="82" t="str">
        <f t="shared" si="2"/>
        <v>0115</v>
      </c>
      <c r="H35" s="82" t="str">
        <f t="shared" si="3"/>
        <v>1501</v>
      </c>
      <c r="I35" s="82">
        <f>IF($G35="",0,COUNTIF($G$7:$G35,$H35))</f>
        <v>0</v>
      </c>
      <c r="J35" s="82"/>
      <c r="K35" s="217" t="str">
        <f>Language!$E$85</f>
        <v>double</v>
      </c>
      <c r="L35" s="194"/>
      <c r="M35" s="91">
        <v>29</v>
      </c>
      <c r="N35" s="250">
        <v>1</v>
      </c>
      <c r="O35" s="251" t="s">
        <v>4</v>
      </c>
      <c r="P35" s="252">
        <v>15</v>
      </c>
      <c r="Q35" s="97" t="str">
        <f t="shared" si="4"/>
        <v>Qarabag Agdam</v>
      </c>
      <c r="R35" s="98" t="s">
        <v>4</v>
      </c>
      <c r="S35" s="99" t="str">
        <f t="shared" si="5"/>
        <v>FC Kopenhagen</v>
      </c>
      <c r="T35" s="168">
        <v>45931</v>
      </c>
      <c r="U35" s="169">
        <v>0.78125</v>
      </c>
    </row>
    <row r="36" spans="2:21" ht="15.95" customHeight="1" x14ac:dyDescent="0.2">
      <c r="B36" s="82">
        <f t="shared" si="1"/>
        <v>1</v>
      </c>
      <c r="C36" s="213">
        <v>30</v>
      </c>
      <c r="D36" s="209" t="s">
        <v>318</v>
      </c>
      <c r="E36" s="172"/>
      <c r="F36" s="82">
        <f t="shared" si="0"/>
        <v>1</v>
      </c>
      <c r="G36" s="82" t="str">
        <f t="shared" si="2"/>
        <v>1107</v>
      </c>
      <c r="H36" s="82" t="str">
        <f t="shared" si="3"/>
        <v>0711</v>
      </c>
      <c r="I36" s="82">
        <f>IF($G36="",0,COUNTIF($G$7:$G36,$H36))</f>
        <v>0</v>
      </c>
      <c r="J36" s="82"/>
      <c r="K36" s="217" t="str">
        <f>Language!$E$85</f>
        <v>double</v>
      </c>
      <c r="L36" s="194"/>
      <c r="M36" s="91">
        <v>30</v>
      </c>
      <c r="N36" s="250">
        <v>11</v>
      </c>
      <c r="O36" s="251" t="s">
        <v>4</v>
      </c>
      <c r="P36" s="252">
        <v>7</v>
      </c>
      <c r="Q36" s="97" t="str">
        <f t="shared" si="4"/>
        <v>Borussia Dortmund</v>
      </c>
      <c r="R36" s="98" t="s">
        <v>4</v>
      </c>
      <c r="S36" s="99" t="str">
        <f t="shared" si="5"/>
        <v>Athletic Bilbao</v>
      </c>
      <c r="T36" s="168">
        <v>45931</v>
      </c>
      <c r="U36" s="169">
        <v>0.875</v>
      </c>
    </row>
    <row r="37" spans="2:21" ht="15.95" customHeight="1" x14ac:dyDescent="0.2">
      <c r="B37" s="82">
        <f t="shared" si="1"/>
        <v>1</v>
      </c>
      <c r="C37" s="213">
        <v>31</v>
      </c>
      <c r="D37" s="209" t="s">
        <v>319</v>
      </c>
      <c r="E37" s="172"/>
      <c r="F37" s="82">
        <f t="shared" si="0"/>
        <v>1</v>
      </c>
      <c r="G37" s="82" t="str">
        <f t="shared" si="2"/>
        <v>0530</v>
      </c>
      <c r="H37" s="82" t="str">
        <f t="shared" si="3"/>
        <v>3005</v>
      </c>
      <c r="I37" s="82">
        <f>IF($G37="",0,COUNTIF($G$7:$G37,$H37))</f>
        <v>0</v>
      </c>
      <c r="J37" s="82"/>
      <c r="K37" s="217" t="str">
        <f>Language!$E$85</f>
        <v>double</v>
      </c>
      <c r="L37" s="194"/>
      <c r="M37" s="91">
        <v>31</v>
      </c>
      <c r="N37" s="250">
        <v>5</v>
      </c>
      <c r="O37" s="251" t="s">
        <v>4</v>
      </c>
      <c r="P37" s="252">
        <v>30</v>
      </c>
      <c r="Q37" s="97" t="str">
        <f t="shared" si="4"/>
        <v>FC Barcelona</v>
      </c>
      <c r="R37" s="98" t="s">
        <v>4</v>
      </c>
      <c r="S37" s="99" t="str">
        <f t="shared" si="5"/>
        <v>Paris St. Germain</v>
      </c>
      <c r="T37" s="168">
        <v>45931</v>
      </c>
      <c r="U37" s="169">
        <v>0.875</v>
      </c>
    </row>
    <row r="38" spans="2:21" ht="15.95" customHeight="1" x14ac:dyDescent="0.2">
      <c r="B38" s="82">
        <f t="shared" si="1"/>
        <v>1</v>
      </c>
      <c r="C38" s="213">
        <v>32</v>
      </c>
      <c r="D38" s="209" t="s">
        <v>320</v>
      </c>
      <c r="E38" s="172"/>
      <c r="F38" s="82">
        <f t="shared" si="0"/>
        <v>1</v>
      </c>
      <c r="G38" s="82" t="str">
        <f t="shared" si="2"/>
        <v>0431</v>
      </c>
      <c r="H38" s="82" t="str">
        <f t="shared" si="3"/>
        <v>3104</v>
      </c>
      <c r="I38" s="82">
        <f>IF($G38="",0,COUNTIF($G$7:$G38,$H38))</f>
        <v>0</v>
      </c>
      <c r="J38" s="82"/>
      <c r="K38" s="217" t="str">
        <f>Language!$E$85</f>
        <v>double</v>
      </c>
      <c r="L38" s="194"/>
      <c r="M38" s="91">
        <v>32</v>
      </c>
      <c r="N38" s="250">
        <v>4</v>
      </c>
      <c r="O38" s="251" t="s">
        <v>4</v>
      </c>
      <c r="P38" s="252">
        <v>31</v>
      </c>
      <c r="Q38" s="97" t="str">
        <f t="shared" si="4"/>
        <v>FC Arsenal</v>
      </c>
      <c r="R38" s="98" t="s">
        <v>4</v>
      </c>
      <c r="S38" s="99" t="str">
        <f t="shared" si="5"/>
        <v>Olympiakos Piräus</v>
      </c>
      <c r="T38" s="168">
        <v>45931</v>
      </c>
      <c r="U38" s="169">
        <v>0.875</v>
      </c>
    </row>
    <row r="39" spans="2:21" ht="15.95" customHeight="1" x14ac:dyDescent="0.2">
      <c r="B39" s="82">
        <f t="shared" si="1"/>
        <v>1</v>
      </c>
      <c r="C39" s="213">
        <v>33</v>
      </c>
      <c r="D39" s="209" t="s">
        <v>321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1612</v>
      </c>
      <c r="H39" s="82" t="str">
        <f t="shared" si="3"/>
        <v>1216</v>
      </c>
      <c r="I39" s="82">
        <f>IF($G39="",0,COUNTIF($G$7:$G39,$H39))</f>
        <v>0</v>
      </c>
      <c r="J39" s="82"/>
      <c r="K39" s="217" t="str">
        <f>Language!$E$85</f>
        <v>double</v>
      </c>
      <c r="L39" s="194"/>
      <c r="M39" s="91">
        <v>33</v>
      </c>
      <c r="N39" s="250">
        <v>16</v>
      </c>
      <c r="O39" s="251" t="s">
        <v>4</v>
      </c>
      <c r="P39" s="252">
        <v>12</v>
      </c>
      <c r="Q39" s="97" t="str">
        <f t="shared" si="4"/>
        <v>Bayer 04 Leverkusen</v>
      </c>
      <c r="R39" s="98" t="s">
        <v>4</v>
      </c>
      <c r="S39" s="99" t="str">
        <f t="shared" si="5"/>
        <v>PSV Eindhoven</v>
      </c>
      <c r="T39" s="168">
        <v>45931</v>
      </c>
      <c r="U39" s="169">
        <v>0.875</v>
      </c>
    </row>
    <row r="40" spans="2:21" ht="15.95" customHeight="1" x14ac:dyDescent="0.2">
      <c r="B40" s="82">
        <f t="shared" si="1"/>
        <v>1</v>
      </c>
      <c r="C40" s="213">
        <v>34</v>
      </c>
      <c r="D40" s="209" t="s">
        <v>322</v>
      </c>
      <c r="E40" s="172"/>
      <c r="F40" s="82">
        <f t="shared" si="6"/>
        <v>1</v>
      </c>
      <c r="G40" s="82" t="str">
        <f t="shared" si="2"/>
        <v>2718</v>
      </c>
      <c r="H40" s="82" t="str">
        <f t="shared" si="3"/>
        <v>1827</v>
      </c>
      <c r="I40" s="82">
        <f>IF($G40="",0,COUNTIF($G$7:$G40,$H40))</f>
        <v>0</v>
      </c>
      <c r="J40" s="82"/>
      <c r="K40" s="217" t="str">
        <f>Language!$E$85</f>
        <v>double</v>
      </c>
      <c r="L40" s="194"/>
      <c r="M40" s="91">
        <v>34</v>
      </c>
      <c r="N40" s="250">
        <v>27</v>
      </c>
      <c r="O40" s="251" t="s">
        <v>4</v>
      </c>
      <c r="P40" s="252">
        <v>18</v>
      </c>
      <c r="Q40" s="97" t="str">
        <f t="shared" si="4"/>
        <v>SSC Neapel</v>
      </c>
      <c r="R40" s="98" t="s">
        <v>4</v>
      </c>
      <c r="S40" s="99" t="str">
        <f t="shared" si="5"/>
        <v>Sporting Lissabon</v>
      </c>
      <c r="T40" s="168">
        <v>45931</v>
      </c>
      <c r="U40" s="169">
        <v>0.875</v>
      </c>
    </row>
    <row r="41" spans="2:21" ht="15.95" customHeight="1" x14ac:dyDescent="0.2">
      <c r="B41" s="82">
        <f t="shared" si="1"/>
        <v>1</v>
      </c>
      <c r="C41" s="213">
        <v>35</v>
      </c>
      <c r="D41" s="209" t="s">
        <v>323</v>
      </c>
      <c r="E41" s="172"/>
      <c r="F41" s="82">
        <f t="shared" si="6"/>
        <v>1</v>
      </c>
      <c r="G41" s="82" t="str">
        <f t="shared" si="2"/>
        <v>3635</v>
      </c>
      <c r="H41" s="82" t="str">
        <f t="shared" si="3"/>
        <v>3536</v>
      </c>
      <c r="I41" s="82">
        <f>IF($G41="",0,COUNTIF($G$7:$G41,$H41))</f>
        <v>0</v>
      </c>
      <c r="J41" s="82"/>
      <c r="K41" s="217" t="str">
        <f>Language!$E$85</f>
        <v>double</v>
      </c>
      <c r="L41" s="194"/>
      <c r="M41" s="91">
        <v>35</v>
      </c>
      <c r="N41" s="250">
        <v>36</v>
      </c>
      <c r="O41" s="251" t="s">
        <v>4</v>
      </c>
      <c r="P41" s="252">
        <v>35</v>
      </c>
      <c r="Q41" s="97" t="str">
        <f t="shared" si="4"/>
        <v>FC Villarreal</v>
      </c>
      <c r="R41" s="98" t="s">
        <v>4</v>
      </c>
      <c r="S41" s="99" t="str">
        <f t="shared" si="5"/>
        <v>Juventus Turin</v>
      </c>
      <c r="T41" s="168">
        <v>45931</v>
      </c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36</v>
      </c>
      <c r="D42" s="210" t="s">
        <v>324</v>
      </c>
      <c r="E42" s="173"/>
      <c r="F42" s="82">
        <f t="shared" si="6"/>
        <v>1</v>
      </c>
      <c r="G42" s="82" t="str">
        <f t="shared" si="2"/>
        <v>2523</v>
      </c>
      <c r="H42" s="82" t="str">
        <f t="shared" si="3"/>
        <v>2325</v>
      </c>
      <c r="I42" s="82">
        <f>IF($G42="",0,COUNTIF($G$7:$G42,$H42))</f>
        <v>0</v>
      </c>
      <c r="J42" s="82"/>
      <c r="K42" s="217" t="str">
        <f>Language!$E$85</f>
        <v>double</v>
      </c>
      <c r="L42" s="194"/>
      <c r="M42" s="253">
        <v>36</v>
      </c>
      <c r="N42" s="282">
        <v>25</v>
      </c>
      <c r="O42" s="254" t="s">
        <v>4</v>
      </c>
      <c r="P42" s="283">
        <v>23</v>
      </c>
      <c r="Q42" s="255" t="str">
        <f t="shared" si="4"/>
        <v>AS Monaco</v>
      </c>
      <c r="R42" s="256" t="s">
        <v>4</v>
      </c>
      <c r="S42" s="257" t="str">
        <f t="shared" si="5"/>
        <v>Manchester City</v>
      </c>
      <c r="T42" s="168">
        <v>45931</v>
      </c>
      <c r="U42" s="169">
        <v>0.875</v>
      </c>
    </row>
    <row r="43" spans="2:21" ht="18" thickTop="1" x14ac:dyDescent="0.2">
      <c r="F43" s="82">
        <f t="shared" si="6"/>
        <v>1</v>
      </c>
      <c r="G43" s="82" t="str">
        <f t="shared" si="2"/>
        <v>0531</v>
      </c>
      <c r="H43" s="82" t="str">
        <f t="shared" si="3"/>
        <v>3105</v>
      </c>
      <c r="I43" s="82">
        <f>IF($G43="",0,COUNTIF($G$7:$G43,$H43))</f>
        <v>0</v>
      </c>
      <c r="J43" s="82"/>
      <c r="K43" s="217" t="str">
        <f>Language!$E$85</f>
        <v>double</v>
      </c>
      <c r="L43" s="284">
        <v>3</v>
      </c>
      <c r="M43" s="285">
        <v>37</v>
      </c>
      <c r="N43" s="286">
        <v>5</v>
      </c>
      <c r="O43" s="287" t="s">
        <v>4</v>
      </c>
      <c r="P43" s="288">
        <v>31</v>
      </c>
      <c r="Q43" s="289" t="str">
        <f t="shared" si="4"/>
        <v>FC Barcelona</v>
      </c>
      <c r="R43" s="290" t="s">
        <v>4</v>
      </c>
      <c r="S43" s="291" t="str">
        <f t="shared" si="5"/>
        <v>Olympiakos Piräus</v>
      </c>
      <c r="T43" s="292">
        <v>45951</v>
      </c>
      <c r="U43" s="293">
        <v>0.78125</v>
      </c>
    </row>
    <row r="44" spans="2:21" ht="17.25" x14ac:dyDescent="0.2">
      <c r="F44" s="82">
        <f t="shared" si="6"/>
        <v>1</v>
      </c>
      <c r="G44" s="82" t="str">
        <f t="shared" si="2"/>
        <v>0229</v>
      </c>
      <c r="H44" s="82" t="str">
        <f t="shared" si="3"/>
        <v>2902</v>
      </c>
      <c r="I44" s="82">
        <f>IF($G44="",0,COUNTIF($G$7:$G44,$H44))</f>
        <v>0</v>
      </c>
      <c r="J44" s="82"/>
      <c r="K44" s="217" t="str">
        <f>Language!$E$85</f>
        <v>double</v>
      </c>
      <c r="L44" s="194"/>
      <c r="M44" s="91">
        <v>38</v>
      </c>
      <c r="N44" s="250">
        <v>2</v>
      </c>
      <c r="O44" s="251" t="s">
        <v>4</v>
      </c>
      <c r="P44" s="252">
        <v>29</v>
      </c>
      <c r="Q44" s="97" t="str">
        <f t="shared" si="4"/>
        <v>Qairat Almaty</v>
      </c>
      <c r="R44" s="98" t="s">
        <v>4</v>
      </c>
      <c r="S44" s="99" t="str">
        <f t="shared" si="5"/>
        <v>Pafos FC</v>
      </c>
      <c r="T44" s="168">
        <v>45951</v>
      </c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0420</v>
      </c>
      <c r="H45" s="82" t="str">
        <f t="shared" si="3"/>
        <v>2004</v>
      </c>
      <c r="I45" s="82">
        <f>IF($G45="",0,COUNTIF($G$7:$G45,$H45))</f>
        <v>0</v>
      </c>
      <c r="J45" s="82"/>
      <c r="K45" s="217" t="str">
        <f>Language!$E$85</f>
        <v>double</v>
      </c>
      <c r="L45" s="194"/>
      <c r="M45" s="91">
        <v>39</v>
      </c>
      <c r="N45" s="250">
        <v>4</v>
      </c>
      <c r="O45" s="251" t="s">
        <v>4</v>
      </c>
      <c r="P45" s="252">
        <v>20</v>
      </c>
      <c r="Q45" s="97" t="str">
        <f t="shared" si="4"/>
        <v>FC Arsenal</v>
      </c>
      <c r="R45" s="98" t="s">
        <v>4</v>
      </c>
      <c r="S45" s="99" t="str">
        <f t="shared" si="5"/>
        <v>Atletico Madrid</v>
      </c>
      <c r="T45" s="168">
        <v>45951</v>
      </c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1630</v>
      </c>
      <c r="H46" s="82" t="str">
        <f t="shared" si="3"/>
        <v>3016</v>
      </c>
      <c r="I46" s="82">
        <f>IF($G46="",0,COUNTIF($G$7:$G46,$H46))</f>
        <v>0</v>
      </c>
      <c r="J46" s="82"/>
      <c r="K46" s="217" t="str">
        <f>Language!$E$85</f>
        <v>double</v>
      </c>
      <c r="L46" s="194"/>
      <c r="M46" s="91">
        <v>40</v>
      </c>
      <c r="N46" s="250">
        <v>16</v>
      </c>
      <c r="O46" s="251" t="s">
        <v>4</v>
      </c>
      <c r="P46" s="252">
        <v>30</v>
      </c>
      <c r="Q46" s="97" t="str">
        <f t="shared" si="4"/>
        <v>Bayer 04 Leverkusen</v>
      </c>
      <c r="R46" s="98" t="s">
        <v>4</v>
      </c>
      <c r="S46" s="99" t="str">
        <f t="shared" si="5"/>
        <v>Paris St. Germain</v>
      </c>
      <c r="T46" s="168">
        <v>45951</v>
      </c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1227</v>
      </c>
      <c r="H47" s="82" t="str">
        <f t="shared" si="3"/>
        <v>2712</v>
      </c>
      <c r="I47" s="82">
        <f>IF($G47="",0,COUNTIF($G$7:$G47,$H47))</f>
        <v>0</v>
      </c>
      <c r="J47" s="82"/>
      <c r="K47" s="217" t="str">
        <f>Language!$E$85</f>
        <v>double</v>
      </c>
      <c r="L47" s="194"/>
      <c r="M47" s="91">
        <v>41</v>
      </c>
      <c r="N47" s="250">
        <v>12</v>
      </c>
      <c r="O47" s="251" t="s">
        <v>4</v>
      </c>
      <c r="P47" s="252">
        <v>27</v>
      </c>
      <c r="Q47" s="97" t="str">
        <f t="shared" si="4"/>
        <v>PSV Eindhoven</v>
      </c>
      <c r="R47" s="98" t="s">
        <v>4</v>
      </c>
      <c r="S47" s="99" t="str">
        <f t="shared" si="5"/>
        <v>SSC Neapel</v>
      </c>
      <c r="T47" s="168">
        <v>45951</v>
      </c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3623</v>
      </c>
      <c r="H48" s="82" t="str">
        <f t="shared" si="3"/>
        <v>2336</v>
      </c>
      <c r="I48" s="82">
        <f>IF($G48="",0,COUNTIF($G$7:$G48,$H48))</f>
        <v>0</v>
      </c>
      <c r="J48" s="82"/>
      <c r="K48" s="217" t="str">
        <f>Language!$E$85</f>
        <v>double</v>
      </c>
      <c r="L48" s="194"/>
      <c r="M48" s="91">
        <v>42</v>
      </c>
      <c r="N48" s="250">
        <v>36</v>
      </c>
      <c r="O48" s="251" t="s">
        <v>4</v>
      </c>
      <c r="P48" s="252">
        <v>23</v>
      </c>
      <c r="Q48" s="97" t="str">
        <f t="shared" si="4"/>
        <v>FC Villarreal</v>
      </c>
      <c r="R48" s="98" t="s">
        <v>4</v>
      </c>
      <c r="S48" s="99" t="str">
        <f t="shared" si="5"/>
        <v>Manchester City</v>
      </c>
      <c r="T48" s="168">
        <v>45951</v>
      </c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1511</v>
      </c>
      <c r="H49" s="82" t="str">
        <f t="shared" si="3"/>
        <v>1115</v>
      </c>
      <c r="I49" s="82">
        <f>IF($G49="",0,COUNTIF($G$7:$G49,$H49))</f>
        <v>0</v>
      </c>
      <c r="J49" s="82"/>
      <c r="K49" s="217" t="str">
        <f>Language!$E$85</f>
        <v>double</v>
      </c>
      <c r="L49" s="194"/>
      <c r="M49" s="91">
        <v>43</v>
      </c>
      <c r="N49" s="250">
        <v>15</v>
      </c>
      <c r="O49" s="251" t="s">
        <v>4</v>
      </c>
      <c r="P49" s="252">
        <v>11</v>
      </c>
      <c r="Q49" s="97" t="str">
        <f t="shared" si="4"/>
        <v>FC Kopenhagen</v>
      </c>
      <c r="R49" s="98" t="s">
        <v>4</v>
      </c>
      <c r="S49" s="99" t="str">
        <f t="shared" si="5"/>
        <v>Borussia Dortmund</v>
      </c>
      <c r="T49" s="168">
        <v>45951</v>
      </c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3322</v>
      </c>
      <c r="H50" s="82" t="str">
        <f t="shared" si="3"/>
        <v>2233</v>
      </c>
      <c r="I50" s="82">
        <f>IF($G50="",0,COUNTIF($G$7:$G50,$H50))</f>
        <v>0</v>
      </c>
      <c r="J50" s="82"/>
      <c r="K50" s="217" t="str">
        <f>Language!$E$85</f>
        <v>double</v>
      </c>
      <c r="L50" s="194"/>
      <c r="M50" s="91">
        <v>44</v>
      </c>
      <c r="N50" s="250">
        <v>33</v>
      </c>
      <c r="O50" s="251" t="s">
        <v>4</v>
      </c>
      <c r="P50" s="252">
        <v>22</v>
      </c>
      <c r="Q50" s="97" t="str">
        <f t="shared" si="4"/>
        <v>Union Saint-Gilloise</v>
      </c>
      <c r="R50" s="98" t="s">
        <v>4</v>
      </c>
      <c r="S50" s="99" t="str">
        <f t="shared" si="5"/>
        <v>Inter Mailand</v>
      </c>
      <c r="T50" s="168">
        <v>45951</v>
      </c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2817</v>
      </c>
      <c r="H51" s="82" t="str">
        <f t="shared" si="3"/>
        <v>1728</v>
      </c>
      <c r="I51" s="82">
        <f>IF($G51="",0,COUNTIF($G$7:$G51,$H51))</f>
        <v>0</v>
      </c>
      <c r="J51" s="82"/>
      <c r="K51" s="217" t="str">
        <f>Language!$E$85</f>
        <v>double</v>
      </c>
      <c r="L51" s="194"/>
      <c r="M51" s="91">
        <v>45</v>
      </c>
      <c r="N51" s="250">
        <v>28</v>
      </c>
      <c r="O51" s="251" t="s">
        <v>4</v>
      </c>
      <c r="P51" s="252">
        <v>17</v>
      </c>
      <c r="Q51" s="97" t="str">
        <f t="shared" si="4"/>
        <v>Newcastle United</v>
      </c>
      <c r="R51" s="98" t="s">
        <v>4</v>
      </c>
      <c r="S51" s="99" t="str">
        <f t="shared" si="5"/>
        <v>Benfica Lissabon</v>
      </c>
      <c r="T51" s="168">
        <v>45951</v>
      </c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1408</v>
      </c>
      <c r="H52" s="82" t="str">
        <f t="shared" si="3"/>
        <v>0814</v>
      </c>
      <c r="I52" s="82">
        <f>IF($G52="",0,COUNTIF($G$7:$G52,$H52))</f>
        <v>0</v>
      </c>
      <c r="J52" s="82"/>
      <c r="K52" s="217" t="str">
        <f>Language!$E$85</f>
        <v>double</v>
      </c>
      <c r="L52" s="194"/>
      <c r="M52" s="91">
        <v>46</v>
      </c>
      <c r="N52" s="250">
        <v>14</v>
      </c>
      <c r="O52" s="251" t="s">
        <v>4</v>
      </c>
      <c r="P52" s="252">
        <v>8</v>
      </c>
      <c r="Q52" s="97" t="str">
        <f t="shared" si="4"/>
        <v>Galatasaray SK</v>
      </c>
      <c r="R52" s="98" t="s">
        <v>4</v>
      </c>
      <c r="S52" s="99" t="str">
        <f t="shared" si="5"/>
        <v>FK Bodö/Glimt</v>
      </c>
      <c r="T52" s="168">
        <v>45952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0701</v>
      </c>
      <c r="H53" s="82" t="str">
        <f t="shared" si="3"/>
        <v>0107</v>
      </c>
      <c r="I53" s="82">
        <f>IF($G53="",0,COUNTIF($G$7:$G53,$H53))</f>
        <v>0</v>
      </c>
      <c r="J53" s="82"/>
      <c r="K53" s="217" t="str">
        <f>Language!$E$85</f>
        <v>double</v>
      </c>
      <c r="L53" s="194"/>
      <c r="M53" s="91">
        <v>47</v>
      </c>
      <c r="N53" s="250">
        <v>7</v>
      </c>
      <c r="O53" s="251" t="s">
        <v>4</v>
      </c>
      <c r="P53" s="252">
        <v>1</v>
      </c>
      <c r="Q53" s="97" t="str">
        <f t="shared" si="4"/>
        <v>Athletic Bilbao</v>
      </c>
      <c r="R53" s="98" t="s">
        <v>4</v>
      </c>
      <c r="S53" s="99" t="str">
        <f t="shared" si="5"/>
        <v>Qarabag Agdam</v>
      </c>
      <c r="T53" s="168">
        <v>45952</v>
      </c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2609</v>
      </c>
      <c r="H54" s="82" t="str">
        <f t="shared" si="3"/>
        <v>0926</v>
      </c>
      <c r="I54" s="82">
        <f>IF($G54="",0,COUNTIF($G$7:$G54,$H54))</f>
        <v>0</v>
      </c>
      <c r="J54" s="82"/>
      <c r="K54" s="217" t="str">
        <f>Language!$E$85</f>
        <v>double</v>
      </c>
      <c r="L54" s="194"/>
      <c r="M54" s="91">
        <v>48</v>
      </c>
      <c r="N54" s="250">
        <v>26</v>
      </c>
      <c r="O54" s="251" t="s">
        <v>4</v>
      </c>
      <c r="P54" s="252">
        <v>9</v>
      </c>
      <c r="Q54" s="97" t="str">
        <f t="shared" si="4"/>
        <v>Bayern München</v>
      </c>
      <c r="R54" s="98" t="s">
        <v>4</v>
      </c>
      <c r="S54" s="99" t="str">
        <f t="shared" si="5"/>
        <v>Club Brügge</v>
      </c>
      <c r="T54" s="168">
        <v>45952</v>
      </c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2135</v>
      </c>
      <c r="H55" s="82" t="str">
        <f t="shared" si="3"/>
        <v>3521</v>
      </c>
      <c r="I55" s="82">
        <f>IF($G55="",0,COUNTIF($G$7:$G55,$H55))</f>
        <v>0</v>
      </c>
      <c r="J55" s="82"/>
      <c r="K55" s="217" t="str">
        <f>Language!$E$85</f>
        <v>double</v>
      </c>
      <c r="L55" s="194"/>
      <c r="M55" s="91">
        <v>49</v>
      </c>
      <c r="N55" s="250">
        <v>21</v>
      </c>
      <c r="O55" s="251" t="s">
        <v>4</v>
      </c>
      <c r="P55" s="252">
        <v>35</v>
      </c>
      <c r="Q55" s="97" t="str">
        <f t="shared" si="4"/>
        <v>Real Madrid</v>
      </c>
      <c r="R55" s="98" t="s">
        <v>4</v>
      </c>
      <c r="S55" s="99" t="str">
        <f t="shared" si="5"/>
        <v>Juventus Turin</v>
      </c>
      <c r="T55" s="168">
        <v>45952</v>
      </c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1003</v>
      </c>
      <c r="H56" s="82" t="str">
        <f t="shared" si="3"/>
        <v>0310</v>
      </c>
      <c r="I56" s="82">
        <f>IF($G56="",0,COUNTIF($G$7:$G56,$H56))</f>
        <v>0</v>
      </c>
      <c r="J56" s="82"/>
      <c r="K56" s="217" t="str">
        <f>Language!$E$85</f>
        <v>double</v>
      </c>
      <c r="L56" s="194"/>
      <c r="M56" s="91">
        <v>50</v>
      </c>
      <c r="N56" s="250">
        <v>10</v>
      </c>
      <c r="O56" s="251" t="s">
        <v>4</v>
      </c>
      <c r="P56" s="252">
        <v>3</v>
      </c>
      <c r="Q56" s="97" t="str">
        <f t="shared" si="4"/>
        <v>FC Chelsea</v>
      </c>
      <c r="R56" s="98" t="s">
        <v>4</v>
      </c>
      <c r="S56" s="99" t="str">
        <f t="shared" si="5"/>
        <v>Ajax Amsterdam</v>
      </c>
      <c r="T56" s="168">
        <v>45952</v>
      </c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0632</v>
      </c>
      <c r="H57" s="82" t="str">
        <f t="shared" si="3"/>
        <v>3206</v>
      </c>
      <c r="I57" s="82">
        <f>IF($G57="",0,COUNTIF($G$7:$G57,$H57))</f>
        <v>0</v>
      </c>
      <c r="J57" s="82"/>
      <c r="K57" s="217" t="str">
        <f>Language!$E$85</f>
        <v>double</v>
      </c>
      <c r="L57" s="194"/>
      <c r="M57" s="91">
        <v>51</v>
      </c>
      <c r="N57" s="250">
        <v>6</v>
      </c>
      <c r="O57" s="251" t="s">
        <v>4</v>
      </c>
      <c r="P57" s="252">
        <v>32</v>
      </c>
      <c r="Q57" s="97" t="str">
        <f t="shared" si="4"/>
        <v>Atalanta Bergamo</v>
      </c>
      <c r="R57" s="98" t="s">
        <v>4</v>
      </c>
      <c r="S57" s="99" t="str">
        <f t="shared" si="5"/>
        <v>Salva Prag</v>
      </c>
      <c r="T57" s="168">
        <v>45952</v>
      </c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1319</v>
      </c>
      <c r="H58" s="82" t="str">
        <f t="shared" si="3"/>
        <v>1913</v>
      </c>
      <c r="I58" s="82">
        <f>IF($G58="",0,COUNTIF($G$7:$G58,$H58))</f>
        <v>0</v>
      </c>
      <c r="J58" s="82"/>
      <c r="K58" s="217" t="str">
        <f>Language!$E$85</f>
        <v>double</v>
      </c>
      <c r="L58" s="194"/>
      <c r="M58" s="91">
        <v>52</v>
      </c>
      <c r="N58" s="250">
        <v>13</v>
      </c>
      <c r="O58" s="251" t="s">
        <v>4</v>
      </c>
      <c r="P58" s="252">
        <v>19</v>
      </c>
      <c r="Q58" s="97" t="str">
        <f t="shared" si="4"/>
        <v>Eintracht Frankfurt</v>
      </c>
      <c r="R58" s="98" t="s">
        <v>4</v>
      </c>
      <c r="S58" s="99" t="str">
        <f t="shared" si="5"/>
        <v>FC Liverpool</v>
      </c>
      <c r="T58" s="168">
        <v>45952</v>
      </c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1824</v>
      </c>
      <c r="H59" s="82" t="str">
        <f t="shared" si="3"/>
        <v>2418</v>
      </c>
      <c r="I59" s="82">
        <f>IF($G59="",0,COUNTIF($G$7:$G59,$H59))</f>
        <v>0</v>
      </c>
      <c r="J59" s="82"/>
      <c r="K59" s="217" t="str">
        <f>Language!$E$85</f>
        <v>double</v>
      </c>
      <c r="L59" s="194"/>
      <c r="M59" s="91">
        <v>53</v>
      </c>
      <c r="N59" s="250">
        <v>18</v>
      </c>
      <c r="O59" s="251" t="s">
        <v>4</v>
      </c>
      <c r="P59" s="252">
        <v>24</v>
      </c>
      <c r="Q59" s="97" t="str">
        <f t="shared" si="4"/>
        <v>Sporting Lissabon</v>
      </c>
      <c r="R59" s="98" t="s">
        <v>4</v>
      </c>
      <c r="S59" s="99" t="str">
        <f t="shared" si="5"/>
        <v>Olympique Marseille</v>
      </c>
      <c r="T59" s="168">
        <v>45952</v>
      </c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2534</v>
      </c>
      <c r="H60" s="82" t="str">
        <f t="shared" si="3"/>
        <v>3425</v>
      </c>
      <c r="I60" s="82">
        <f>IF($G60="",0,COUNTIF($G$7:$G60,$H60))</f>
        <v>0</v>
      </c>
      <c r="J60" s="82"/>
      <c r="K60" s="217" t="str">
        <f>Language!$E$85</f>
        <v>double</v>
      </c>
      <c r="L60" s="194"/>
      <c r="M60" s="253">
        <v>54</v>
      </c>
      <c r="N60" s="282">
        <v>25</v>
      </c>
      <c r="O60" s="254" t="s">
        <v>4</v>
      </c>
      <c r="P60" s="283">
        <v>34</v>
      </c>
      <c r="Q60" s="255" t="str">
        <f t="shared" si="4"/>
        <v>AS Monaco</v>
      </c>
      <c r="R60" s="256" t="s">
        <v>4</v>
      </c>
      <c r="S60" s="257" t="str">
        <f t="shared" si="5"/>
        <v>Tottenham Hotspur</v>
      </c>
      <c r="T60" s="168">
        <v>45952</v>
      </c>
      <c r="U60" s="169">
        <v>0.875</v>
      </c>
    </row>
    <row r="61" spans="6:21" ht="17.25" x14ac:dyDescent="0.2">
      <c r="F61" s="82">
        <f t="shared" si="6"/>
        <v>1</v>
      </c>
      <c r="G61" s="82" t="str">
        <f t="shared" si="2"/>
        <v>2713</v>
      </c>
      <c r="H61" s="82" t="str">
        <f t="shared" si="3"/>
        <v>1327</v>
      </c>
      <c r="I61" s="82">
        <f>IF($G61="",0,COUNTIF($G$7:$G61,$H61))</f>
        <v>0</v>
      </c>
      <c r="J61" s="82"/>
      <c r="K61" s="217" t="str">
        <f>Language!$E$85</f>
        <v>double</v>
      </c>
      <c r="L61" s="284">
        <v>4</v>
      </c>
      <c r="M61" s="285">
        <v>55</v>
      </c>
      <c r="N61" s="286">
        <v>27</v>
      </c>
      <c r="O61" s="287" t="s">
        <v>4</v>
      </c>
      <c r="P61" s="288">
        <v>13</v>
      </c>
      <c r="Q61" s="289" t="str">
        <f t="shared" si="4"/>
        <v>SSC Neapel</v>
      </c>
      <c r="R61" s="290" t="s">
        <v>4</v>
      </c>
      <c r="S61" s="291" t="str">
        <f t="shared" si="5"/>
        <v>Eintracht Frankfurt</v>
      </c>
      <c r="T61" s="292">
        <v>45965</v>
      </c>
      <c r="U61" s="293">
        <v>0.78125</v>
      </c>
    </row>
    <row r="62" spans="6:21" ht="17.25" x14ac:dyDescent="0.2">
      <c r="F62" s="82">
        <f t="shared" si="6"/>
        <v>1</v>
      </c>
      <c r="G62" s="82" t="str">
        <f t="shared" si="2"/>
        <v>3204</v>
      </c>
      <c r="H62" s="82" t="str">
        <f t="shared" si="3"/>
        <v>0432</v>
      </c>
      <c r="I62" s="82">
        <f>IF($G62="",0,COUNTIF($G$7:$G62,$H62))</f>
        <v>0</v>
      </c>
      <c r="J62" s="82"/>
      <c r="K62" s="217" t="str">
        <f>Language!$E$85</f>
        <v>double</v>
      </c>
      <c r="L62" s="194"/>
      <c r="M62" s="91">
        <v>56</v>
      </c>
      <c r="N62" s="250">
        <v>32</v>
      </c>
      <c r="O62" s="251" t="s">
        <v>4</v>
      </c>
      <c r="P62" s="252">
        <v>4</v>
      </c>
      <c r="Q62" s="97" t="str">
        <f t="shared" si="4"/>
        <v>Salva Prag</v>
      </c>
      <c r="R62" s="98" t="s">
        <v>4</v>
      </c>
      <c r="S62" s="99" t="str">
        <f t="shared" si="5"/>
        <v>FC Arsenal</v>
      </c>
      <c r="T62" s="168">
        <v>45965</v>
      </c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3026</v>
      </c>
      <c r="H63" s="82" t="str">
        <f t="shared" si="3"/>
        <v>2630</v>
      </c>
      <c r="I63" s="82">
        <f>IF($G63="",0,COUNTIF($G$7:$G63,$H63))</f>
        <v>0</v>
      </c>
      <c r="J63" s="82"/>
      <c r="K63" s="217" t="str">
        <f>Language!$E$85</f>
        <v>double</v>
      </c>
      <c r="L63" s="194"/>
      <c r="M63" s="91">
        <v>57</v>
      </c>
      <c r="N63" s="250">
        <v>30</v>
      </c>
      <c r="O63" s="251" t="s">
        <v>4</v>
      </c>
      <c r="P63" s="252">
        <v>26</v>
      </c>
      <c r="Q63" s="97" t="str">
        <f t="shared" si="4"/>
        <v>Paris St. Germain</v>
      </c>
      <c r="R63" s="98" t="s">
        <v>4</v>
      </c>
      <c r="S63" s="99" t="str">
        <f t="shared" si="5"/>
        <v>Bayern München</v>
      </c>
      <c r="T63" s="168">
        <v>45965</v>
      </c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1921</v>
      </c>
      <c r="H64" s="82" t="str">
        <f t="shared" si="3"/>
        <v>2119</v>
      </c>
      <c r="I64" s="82">
        <f>IF($G64="",0,COUNTIF($G$7:$G64,$H64))</f>
        <v>0</v>
      </c>
      <c r="J64" s="82"/>
      <c r="K64" s="217" t="str">
        <f>Language!$E$85</f>
        <v>double</v>
      </c>
      <c r="L64" s="194"/>
      <c r="M64" s="91">
        <v>58</v>
      </c>
      <c r="N64" s="250">
        <v>19</v>
      </c>
      <c r="O64" s="251" t="s">
        <v>4</v>
      </c>
      <c r="P64" s="252">
        <v>21</v>
      </c>
      <c r="Q64" s="97" t="str">
        <f t="shared" si="4"/>
        <v>FC Liverpool</v>
      </c>
      <c r="R64" s="98" t="s">
        <v>4</v>
      </c>
      <c r="S64" s="99" t="str">
        <f t="shared" si="5"/>
        <v>Real Madrid</v>
      </c>
      <c r="T64" s="168">
        <v>45965</v>
      </c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3518</v>
      </c>
      <c r="H65" s="82" t="str">
        <f t="shared" si="3"/>
        <v>1835</v>
      </c>
      <c r="I65" s="82">
        <f>IF($G65="",0,COUNTIF($G$7:$G65,$H65))</f>
        <v>0</v>
      </c>
      <c r="J65" s="82"/>
      <c r="K65" s="217" t="str">
        <f>Language!$E$85</f>
        <v>double</v>
      </c>
      <c r="L65" s="194"/>
      <c r="M65" s="91">
        <v>59</v>
      </c>
      <c r="N65" s="250">
        <v>35</v>
      </c>
      <c r="O65" s="251" t="s">
        <v>4</v>
      </c>
      <c r="P65" s="252">
        <v>18</v>
      </c>
      <c r="Q65" s="97" t="str">
        <f t="shared" si="4"/>
        <v>Juventus Turin</v>
      </c>
      <c r="R65" s="98" t="s">
        <v>4</v>
      </c>
      <c r="S65" s="99" t="str">
        <f t="shared" si="5"/>
        <v>Sporting Lissabon</v>
      </c>
      <c r="T65" s="168">
        <v>45965</v>
      </c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2033</v>
      </c>
      <c r="H66" s="82" t="str">
        <f t="shared" si="3"/>
        <v>3320</v>
      </c>
      <c r="I66" s="82">
        <f>IF($G66="",0,COUNTIF($G$7:$G66,$H66))</f>
        <v>0</v>
      </c>
      <c r="J66" s="82"/>
      <c r="K66" s="217" t="str">
        <f>Language!$E$85</f>
        <v>double</v>
      </c>
      <c r="L66" s="194"/>
      <c r="M66" s="91">
        <v>60</v>
      </c>
      <c r="N66" s="250">
        <v>20</v>
      </c>
      <c r="O66" s="251" t="s">
        <v>4</v>
      </c>
      <c r="P66" s="252">
        <v>33</v>
      </c>
      <c r="Q66" s="97" t="str">
        <f t="shared" si="4"/>
        <v>Atletico Madrid</v>
      </c>
      <c r="R66" s="98" t="s">
        <v>4</v>
      </c>
      <c r="S66" s="99" t="str">
        <f t="shared" si="5"/>
        <v>Union Saint-Gilloise</v>
      </c>
      <c r="T66" s="168">
        <v>45965</v>
      </c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3415</v>
      </c>
      <c r="H67" s="82" t="str">
        <f t="shared" si="3"/>
        <v>1534</v>
      </c>
      <c r="I67" s="82">
        <f>IF($G67="",0,COUNTIF($G$7:$G67,$H67))</f>
        <v>0</v>
      </c>
      <c r="J67" s="82"/>
      <c r="K67" s="217" t="str">
        <f>Language!$E$85</f>
        <v>double</v>
      </c>
      <c r="L67" s="194"/>
      <c r="M67" s="91">
        <v>61</v>
      </c>
      <c r="N67" s="250">
        <v>34</v>
      </c>
      <c r="O67" s="251" t="s">
        <v>4</v>
      </c>
      <c r="P67" s="252">
        <v>15</v>
      </c>
      <c r="Q67" s="97" t="str">
        <f t="shared" si="4"/>
        <v>Tottenham Hotspur</v>
      </c>
      <c r="R67" s="98" t="s">
        <v>4</v>
      </c>
      <c r="S67" s="99" t="str">
        <f t="shared" si="5"/>
        <v>FC Kopenhagen</v>
      </c>
      <c r="T67" s="168">
        <v>45965</v>
      </c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0825</v>
      </c>
      <c r="H68" s="82" t="str">
        <f t="shared" si="3"/>
        <v>2508</v>
      </c>
      <c r="I68" s="82">
        <f>IF($G68="",0,COUNTIF($G$7:$G68,$H68))</f>
        <v>0</v>
      </c>
      <c r="J68" s="82"/>
      <c r="K68" s="217" t="str">
        <f>Language!$E$85</f>
        <v>double</v>
      </c>
      <c r="L68" s="194"/>
      <c r="M68" s="91">
        <v>62</v>
      </c>
      <c r="N68" s="250">
        <v>8</v>
      </c>
      <c r="O68" s="251" t="s">
        <v>4</v>
      </c>
      <c r="P68" s="252">
        <v>25</v>
      </c>
      <c r="Q68" s="97" t="str">
        <f t="shared" si="4"/>
        <v>FK Bodö/Glimt</v>
      </c>
      <c r="R68" s="98" t="s">
        <v>4</v>
      </c>
      <c r="S68" s="99" t="str">
        <f t="shared" si="5"/>
        <v>AS Monaco</v>
      </c>
      <c r="T68" s="168">
        <v>45965</v>
      </c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3112</v>
      </c>
      <c r="H69" s="82" t="str">
        <f t="shared" si="3"/>
        <v>1231</v>
      </c>
      <c r="I69" s="82">
        <f>IF($G69="",0,COUNTIF($G$7:$G69,$H69))</f>
        <v>0</v>
      </c>
      <c r="J69" s="82"/>
      <c r="K69" s="217" t="str">
        <f>Language!$E$85</f>
        <v>double</v>
      </c>
      <c r="L69" s="194"/>
      <c r="M69" s="91">
        <v>63</v>
      </c>
      <c r="N69" s="250">
        <v>31</v>
      </c>
      <c r="O69" s="251" t="s">
        <v>4</v>
      </c>
      <c r="P69" s="252">
        <v>12</v>
      </c>
      <c r="Q69" s="97" t="str">
        <f t="shared" si="4"/>
        <v>Olympiakos Piräus</v>
      </c>
      <c r="R69" s="98" t="s">
        <v>4</v>
      </c>
      <c r="S69" s="99" t="str">
        <f t="shared" si="5"/>
        <v>PSV Eindhoven</v>
      </c>
      <c r="T69" s="168">
        <v>45965</v>
      </c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0110</v>
      </c>
      <c r="H70" s="82" t="str">
        <f t="shared" si="3"/>
        <v>1001</v>
      </c>
      <c r="I70" s="82">
        <f>IF($G70="",0,COUNTIF($G$7:$G70,$H70))</f>
        <v>0</v>
      </c>
      <c r="J70" s="82"/>
      <c r="K70" s="217" t="str">
        <f>Language!$E$85</f>
        <v>double</v>
      </c>
      <c r="L70" s="194"/>
      <c r="M70" s="91">
        <v>64</v>
      </c>
      <c r="N70" s="250">
        <v>1</v>
      </c>
      <c r="O70" s="251" t="s">
        <v>4</v>
      </c>
      <c r="P70" s="252">
        <v>10</v>
      </c>
      <c r="Q70" s="97" t="str">
        <f t="shared" si="4"/>
        <v>Qarabag Agdam</v>
      </c>
      <c r="R70" s="98" t="s">
        <v>4</v>
      </c>
      <c r="S70" s="99" t="str">
        <f t="shared" si="5"/>
        <v>FC Chelsea</v>
      </c>
      <c r="T70" s="168">
        <v>45966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2936</v>
      </c>
      <c r="H71" s="82" t="str">
        <f t="shared" si="3"/>
        <v>3629</v>
      </c>
      <c r="I71" s="82">
        <f>IF($G71="",0,COUNTIF($G$7:$G71,$H71))</f>
        <v>0</v>
      </c>
      <c r="J71" s="82"/>
      <c r="K71" s="217" t="str">
        <f>Language!$E$85</f>
        <v>double</v>
      </c>
      <c r="L71" s="194"/>
      <c r="M71" s="91">
        <v>65</v>
      </c>
      <c r="N71" s="250">
        <v>29</v>
      </c>
      <c r="O71" s="251" t="s">
        <v>4</v>
      </c>
      <c r="P71" s="252">
        <v>36</v>
      </c>
      <c r="Q71" s="97" t="str">
        <f t="shared" si="4"/>
        <v>Pafos FC</v>
      </c>
      <c r="R71" s="98" t="s">
        <v>4</v>
      </c>
      <c r="S71" s="99" t="str">
        <f t="shared" si="5"/>
        <v>FC Villarreal</v>
      </c>
      <c r="T71" s="168">
        <v>45966</v>
      </c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2311</v>
      </c>
      <c r="H72" s="82" t="str">
        <f t="shared" ref="H72:H135" si="9">IF(OR($N72="",$P72=""),"",TEXT($P72,"00")&amp;TEXT($N72,"00"))</f>
        <v>1123</v>
      </c>
      <c r="I72" s="82">
        <f>IF($G72="",0,COUNTIF($G$7:$G72,$H72))</f>
        <v>0</v>
      </c>
      <c r="J72" s="82"/>
      <c r="K72" s="217" t="str">
        <f>Language!$E$85</f>
        <v>double</v>
      </c>
      <c r="L72" s="194"/>
      <c r="M72" s="91">
        <v>66</v>
      </c>
      <c r="N72" s="250">
        <v>23</v>
      </c>
      <c r="O72" s="251" t="s">
        <v>4</v>
      </c>
      <c r="P72" s="252">
        <v>11</v>
      </c>
      <c r="Q72" s="97" t="str">
        <f t="shared" ref="Q72:Q135" si="10">IF(ISBLANK($N72),"",IF(ISBLANK(VLOOKUP($N72,$C$7:$D$42,2,0)),"",VLOOKUP($N72,$C$7:$D$42,2,0)))</f>
        <v>Manchester City</v>
      </c>
      <c r="R72" s="98" t="s">
        <v>4</v>
      </c>
      <c r="S72" s="99" t="str">
        <f t="shared" ref="S72:S135" si="11">IF(ISBLANK($P72),"",IF(ISBLANK(VLOOKUP($P72,$C$7:$D$42,2,0)),"",VLOOKUP($P72,$C$7:$D$42,2,0)))</f>
        <v>Borussia Dortmund</v>
      </c>
      <c r="T72" s="168">
        <v>45966</v>
      </c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2202</v>
      </c>
      <c r="H73" s="82" t="str">
        <f t="shared" si="9"/>
        <v>0222</v>
      </c>
      <c r="I73" s="82">
        <f>IF($G73="",0,COUNTIF($G$7:$G73,$H73))</f>
        <v>0</v>
      </c>
      <c r="J73" s="82"/>
      <c r="K73" s="217" t="str">
        <f>Language!$E$85</f>
        <v>double</v>
      </c>
      <c r="L73" s="194"/>
      <c r="M73" s="91">
        <v>67</v>
      </c>
      <c r="N73" s="250">
        <v>22</v>
      </c>
      <c r="O73" s="251" t="s">
        <v>4</v>
      </c>
      <c r="P73" s="252">
        <v>2</v>
      </c>
      <c r="Q73" s="97" t="str">
        <f t="shared" si="10"/>
        <v>Inter Mailand</v>
      </c>
      <c r="R73" s="98" t="s">
        <v>4</v>
      </c>
      <c r="S73" s="99" t="str">
        <f t="shared" si="11"/>
        <v>Qairat Almaty</v>
      </c>
      <c r="T73" s="168">
        <v>45966</v>
      </c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0314</v>
      </c>
      <c r="H74" s="82" t="str">
        <f t="shared" si="9"/>
        <v>1403</v>
      </c>
      <c r="I74" s="82">
        <f>IF($G74="",0,COUNTIF($G$7:$G74,$H74))</f>
        <v>0</v>
      </c>
      <c r="J74" s="82"/>
      <c r="K74" s="217" t="str">
        <f>Language!$E$85</f>
        <v>double</v>
      </c>
      <c r="L74" s="194"/>
      <c r="M74" s="91">
        <v>68</v>
      </c>
      <c r="N74" s="250">
        <v>3</v>
      </c>
      <c r="O74" s="251" t="s">
        <v>4</v>
      </c>
      <c r="P74" s="252">
        <v>14</v>
      </c>
      <c r="Q74" s="97" t="str">
        <f t="shared" si="10"/>
        <v>Ajax Amsterdam</v>
      </c>
      <c r="R74" s="98" t="s">
        <v>4</v>
      </c>
      <c r="S74" s="99" t="str">
        <f t="shared" si="11"/>
        <v>Galatasaray SK</v>
      </c>
      <c r="T74" s="168">
        <v>45966</v>
      </c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1716</v>
      </c>
      <c r="H75" s="82" t="str">
        <f t="shared" si="9"/>
        <v>1617</v>
      </c>
      <c r="I75" s="82">
        <f>IF($G75="",0,COUNTIF($G$7:$G75,$H75))</f>
        <v>0</v>
      </c>
      <c r="J75" s="82"/>
      <c r="K75" s="217" t="str">
        <f>Language!$E$85</f>
        <v>double</v>
      </c>
      <c r="L75" s="194"/>
      <c r="M75" s="91">
        <v>69</v>
      </c>
      <c r="N75" s="250">
        <v>17</v>
      </c>
      <c r="O75" s="251" t="s">
        <v>4</v>
      </c>
      <c r="P75" s="252">
        <v>16</v>
      </c>
      <c r="Q75" s="97" t="str">
        <f t="shared" si="10"/>
        <v>Benfica Lissabon</v>
      </c>
      <c r="R75" s="98" t="s">
        <v>4</v>
      </c>
      <c r="S75" s="99" t="str">
        <f t="shared" si="11"/>
        <v>Bayer 04 Leverkusen</v>
      </c>
      <c r="T75" s="168">
        <v>45966</v>
      </c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0905</v>
      </c>
      <c r="H76" s="82" t="str">
        <f t="shared" si="9"/>
        <v>0509</v>
      </c>
      <c r="I76" s="82">
        <f>IF($G76="",0,COUNTIF($G$7:$G76,$H76))</f>
        <v>0</v>
      </c>
      <c r="J76" s="82"/>
      <c r="K76" s="217" t="str">
        <f>Language!$E$85</f>
        <v>double</v>
      </c>
      <c r="L76" s="194"/>
      <c r="M76" s="91">
        <v>70</v>
      </c>
      <c r="N76" s="250">
        <v>9</v>
      </c>
      <c r="O76" s="251" t="s">
        <v>4</v>
      </c>
      <c r="P76" s="252">
        <v>5</v>
      </c>
      <c r="Q76" s="97" t="str">
        <f t="shared" si="10"/>
        <v>Club Brügge</v>
      </c>
      <c r="R76" s="98" t="s">
        <v>4</v>
      </c>
      <c r="S76" s="99" t="str">
        <f t="shared" si="11"/>
        <v>FC Barcelona</v>
      </c>
      <c r="T76" s="168">
        <v>45966</v>
      </c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2406</v>
      </c>
      <c r="H77" s="82" t="str">
        <f t="shared" si="9"/>
        <v>0624</v>
      </c>
      <c r="I77" s="82">
        <f>IF($G77="",0,COUNTIF($G$7:$G77,$H77))</f>
        <v>0</v>
      </c>
      <c r="J77" s="82"/>
      <c r="K77" s="217" t="str">
        <f>Language!$E$85</f>
        <v>double</v>
      </c>
      <c r="L77" s="194"/>
      <c r="M77" s="91">
        <v>71</v>
      </c>
      <c r="N77" s="250">
        <v>24</v>
      </c>
      <c r="O77" s="251" t="s">
        <v>4</v>
      </c>
      <c r="P77" s="252">
        <v>6</v>
      </c>
      <c r="Q77" s="97" t="str">
        <f t="shared" si="10"/>
        <v>Olympique Marseille</v>
      </c>
      <c r="R77" s="98" t="s">
        <v>4</v>
      </c>
      <c r="S77" s="99" t="str">
        <f t="shared" si="11"/>
        <v>Atalanta Bergamo</v>
      </c>
      <c r="T77" s="168">
        <v>45966</v>
      </c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2807</v>
      </c>
      <c r="H78" s="82" t="str">
        <f t="shared" si="9"/>
        <v>0728</v>
      </c>
      <c r="I78" s="82">
        <f>IF($G78="",0,COUNTIF($G$7:$G78,$H78))</f>
        <v>0</v>
      </c>
      <c r="J78" s="82"/>
      <c r="K78" s="217" t="str">
        <f>Language!$E$85</f>
        <v>double</v>
      </c>
      <c r="L78" s="194"/>
      <c r="M78" s="253">
        <v>72</v>
      </c>
      <c r="N78" s="282">
        <v>28</v>
      </c>
      <c r="O78" s="254" t="s">
        <v>4</v>
      </c>
      <c r="P78" s="283">
        <v>7</v>
      </c>
      <c r="Q78" s="255" t="str">
        <f t="shared" si="10"/>
        <v>Newcastle United</v>
      </c>
      <c r="R78" s="256" t="s">
        <v>4</v>
      </c>
      <c r="S78" s="257" t="str">
        <f t="shared" si="11"/>
        <v>Athletic Bilbao</v>
      </c>
      <c r="T78" s="168">
        <v>45966</v>
      </c>
      <c r="U78" s="169">
        <v>0.875</v>
      </c>
    </row>
    <row r="79" spans="6:21" ht="17.25" x14ac:dyDescent="0.2">
      <c r="F79" s="82">
        <f t="shared" si="7"/>
        <v>1</v>
      </c>
      <c r="G79" s="82" t="str">
        <f t="shared" si="8"/>
        <v>0317</v>
      </c>
      <c r="H79" s="82" t="str">
        <f t="shared" si="9"/>
        <v>1703</v>
      </c>
      <c r="I79" s="82">
        <f>IF($G79="",0,COUNTIF($G$7:$G79,$H79))</f>
        <v>0</v>
      </c>
      <c r="J79" s="82"/>
      <c r="K79" s="217" t="str">
        <f>Language!$E$85</f>
        <v>double</v>
      </c>
      <c r="L79" s="284">
        <v>5</v>
      </c>
      <c r="M79" s="285">
        <v>73</v>
      </c>
      <c r="N79" s="286">
        <v>3</v>
      </c>
      <c r="O79" s="287" t="s">
        <v>4</v>
      </c>
      <c r="P79" s="288">
        <v>17</v>
      </c>
      <c r="Q79" s="289" t="str">
        <f t="shared" si="10"/>
        <v>Ajax Amsterdam</v>
      </c>
      <c r="R79" s="290" t="s">
        <v>4</v>
      </c>
      <c r="S79" s="291" t="str">
        <f t="shared" si="11"/>
        <v>Benfica Lissabon</v>
      </c>
      <c r="T79" s="292">
        <v>45986</v>
      </c>
      <c r="U79" s="293">
        <v>0.78125</v>
      </c>
    </row>
    <row r="80" spans="6:21" ht="17.25" x14ac:dyDescent="0.2">
      <c r="F80" s="82">
        <f t="shared" si="7"/>
        <v>1</v>
      </c>
      <c r="G80" s="82" t="str">
        <f t="shared" si="8"/>
        <v>1433</v>
      </c>
      <c r="H80" s="82" t="str">
        <f t="shared" si="9"/>
        <v>3314</v>
      </c>
      <c r="I80" s="82">
        <f>IF($G80="",0,COUNTIF($G$7:$G80,$H80))</f>
        <v>0</v>
      </c>
      <c r="J80" s="82"/>
      <c r="K80" s="217" t="str">
        <f>Language!$E$85</f>
        <v>double</v>
      </c>
      <c r="L80" s="194"/>
      <c r="M80" s="91">
        <v>74</v>
      </c>
      <c r="N80" s="250">
        <v>14</v>
      </c>
      <c r="O80" s="251" t="s">
        <v>4</v>
      </c>
      <c r="P80" s="252">
        <v>33</v>
      </c>
      <c r="Q80" s="97" t="str">
        <f t="shared" si="10"/>
        <v>Galatasaray SK</v>
      </c>
      <c r="R80" s="98" t="s">
        <v>4</v>
      </c>
      <c r="S80" s="99" t="str">
        <f t="shared" si="11"/>
        <v>Union Saint-Gilloise</v>
      </c>
      <c r="T80" s="168">
        <v>45986</v>
      </c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2316</v>
      </c>
      <c r="H81" s="82" t="str">
        <f t="shared" si="9"/>
        <v>1623</v>
      </c>
      <c r="I81" s="82">
        <f>IF($G81="",0,COUNTIF($G$7:$G81,$H81))</f>
        <v>0</v>
      </c>
      <c r="J81" s="82"/>
      <c r="K81" s="217" t="str">
        <f>Language!$E$85</f>
        <v>double</v>
      </c>
      <c r="L81" s="194"/>
      <c r="M81" s="91">
        <v>75</v>
      </c>
      <c r="N81" s="250">
        <v>23</v>
      </c>
      <c r="O81" s="251" t="s">
        <v>4</v>
      </c>
      <c r="P81" s="252">
        <v>16</v>
      </c>
      <c r="Q81" s="97" t="str">
        <f t="shared" si="10"/>
        <v>Manchester City</v>
      </c>
      <c r="R81" s="98" t="s">
        <v>4</v>
      </c>
      <c r="S81" s="99" t="str">
        <f t="shared" si="11"/>
        <v>Bayer 04 Leverkusen</v>
      </c>
      <c r="T81" s="168">
        <v>45986</v>
      </c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1005</v>
      </c>
      <c r="H82" s="82" t="str">
        <f t="shared" si="9"/>
        <v>0510</v>
      </c>
      <c r="I82" s="82">
        <f>IF($G82="",0,COUNTIF($G$7:$G82,$H82))</f>
        <v>0</v>
      </c>
      <c r="J82" s="82"/>
      <c r="K82" s="217" t="str">
        <f>Language!$E$85</f>
        <v>double</v>
      </c>
      <c r="L82" s="194"/>
      <c r="M82" s="91">
        <v>76</v>
      </c>
      <c r="N82" s="250">
        <v>10</v>
      </c>
      <c r="O82" s="251" t="s">
        <v>4</v>
      </c>
      <c r="P82" s="252">
        <v>5</v>
      </c>
      <c r="Q82" s="97" t="str">
        <f t="shared" si="10"/>
        <v>FC Chelsea</v>
      </c>
      <c r="R82" s="98" t="s">
        <v>4</v>
      </c>
      <c r="S82" s="99" t="str">
        <f t="shared" si="11"/>
        <v>FC Barcelona</v>
      </c>
      <c r="T82" s="168">
        <v>45986</v>
      </c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1136</v>
      </c>
      <c r="H83" s="82" t="str">
        <f t="shared" si="9"/>
        <v>3611</v>
      </c>
      <c r="I83" s="82">
        <f>IF($G83="",0,COUNTIF($G$7:$G83,$H83))</f>
        <v>0</v>
      </c>
      <c r="J83" s="82"/>
      <c r="K83" s="217" t="str">
        <f>Language!$E$85</f>
        <v>double</v>
      </c>
      <c r="L83" s="194"/>
      <c r="M83" s="91">
        <v>77</v>
      </c>
      <c r="N83" s="250">
        <v>11</v>
      </c>
      <c r="O83" s="251" t="s">
        <v>4</v>
      </c>
      <c r="P83" s="252">
        <v>36</v>
      </c>
      <c r="Q83" s="97" t="str">
        <f t="shared" si="10"/>
        <v>Borussia Dortmund</v>
      </c>
      <c r="R83" s="98" t="s">
        <v>4</v>
      </c>
      <c r="S83" s="99" t="str">
        <f t="shared" si="11"/>
        <v>FC Villarreal</v>
      </c>
      <c r="T83" s="168">
        <v>45986</v>
      </c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2701</v>
      </c>
      <c r="H84" s="82" t="str">
        <f t="shared" si="9"/>
        <v>0127</v>
      </c>
      <c r="I84" s="82">
        <f>IF($G84="",0,COUNTIF($G$7:$G84,$H84))</f>
        <v>0</v>
      </c>
      <c r="J84" s="82"/>
      <c r="K84" s="217" t="str">
        <f>Language!$E$85</f>
        <v>double</v>
      </c>
      <c r="L84" s="194"/>
      <c r="M84" s="91">
        <v>78</v>
      </c>
      <c r="N84" s="250">
        <v>27</v>
      </c>
      <c r="O84" s="251" t="s">
        <v>4</v>
      </c>
      <c r="P84" s="252">
        <v>1</v>
      </c>
      <c r="Q84" s="97" t="str">
        <f t="shared" si="10"/>
        <v>SSC Neapel</v>
      </c>
      <c r="R84" s="98" t="s">
        <v>4</v>
      </c>
      <c r="S84" s="99" t="str">
        <f t="shared" si="11"/>
        <v>Qarabag Agdam</v>
      </c>
      <c r="T84" s="168">
        <v>45986</v>
      </c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0835</v>
      </c>
      <c r="H85" s="82" t="str">
        <f t="shared" si="9"/>
        <v>3508</v>
      </c>
      <c r="I85" s="82">
        <f>IF($G85="",0,COUNTIF($G$7:$G85,$H85))</f>
        <v>0</v>
      </c>
      <c r="J85" s="82"/>
      <c r="K85" s="217" t="str">
        <f>Language!$E$85</f>
        <v>double</v>
      </c>
      <c r="L85" s="194"/>
      <c r="M85" s="91">
        <v>79</v>
      </c>
      <c r="N85" s="250">
        <v>8</v>
      </c>
      <c r="O85" s="251" t="s">
        <v>4</v>
      </c>
      <c r="P85" s="252">
        <v>35</v>
      </c>
      <c r="Q85" s="97" t="str">
        <f t="shared" si="10"/>
        <v>FK Bodö/Glimt</v>
      </c>
      <c r="R85" s="98" t="s">
        <v>4</v>
      </c>
      <c r="S85" s="99" t="str">
        <f t="shared" si="11"/>
        <v>Juventus Turin</v>
      </c>
      <c r="T85" s="168">
        <v>45986</v>
      </c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2428</v>
      </c>
      <c r="H86" s="82" t="str">
        <f t="shared" si="9"/>
        <v>2824</v>
      </c>
      <c r="I86" s="82">
        <f>IF($G86="",0,COUNTIF($G$7:$G86,$H86))</f>
        <v>0</v>
      </c>
      <c r="J86" s="82"/>
      <c r="K86" s="217" t="str">
        <f>Language!$E$85</f>
        <v>double</v>
      </c>
      <c r="L86" s="194"/>
      <c r="M86" s="91">
        <v>80</v>
      </c>
      <c r="N86" s="250">
        <v>24</v>
      </c>
      <c r="O86" s="251" t="s">
        <v>4</v>
      </c>
      <c r="P86" s="252">
        <v>28</v>
      </c>
      <c r="Q86" s="97" t="str">
        <f t="shared" si="10"/>
        <v>Olympique Marseille</v>
      </c>
      <c r="R86" s="98" t="s">
        <v>4</v>
      </c>
      <c r="S86" s="99" t="str">
        <f t="shared" si="11"/>
        <v>Newcastle United</v>
      </c>
      <c r="T86" s="168">
        <v>45986</v>
      </c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3207</v>
      </c>
      <c r="H87" s="82" t="str">
        <f t="shared" si="9"/>
        <v>0732</v>
      </c>
      <c r="I87" s="82">
        <f>IF($G87="",0,COUNTIF($G$7:$G87,$H87))</f>
        <v>0</v>
      </c>
      <c r="J87" s="82"/>
      <c r="K87" s="217" t="str">
        <f>Language!$E$85</f>
        <v>double</v>
      </c>
      <c r="L87" s="194"/>
      <c r="M87" s="91">
        <v>81</v>
      </c>
      <c r="N87" s="250">
        <v>32</v>
      </c>
      <c r="O87" s="251" t="s">
        <v>4</v>
      </c>
      <c r="P87" s="252">
        <v>7</v>
      </c>
      <c r="Q87" s="97" t="str">
        <f t="shared" si="10"/>
        <v>Salva Prag</v>
      </c>
      <c r="R87" s="98" t="s">
        <v>4</v>
      </c>
      <c r="S87" s="99" t="str">
        <f t="shared" si="11"/>
        <v>Athletic Bilbao</v>
      </c>
      <c r="T87" s="168">
        <v>45986</v>
      </c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1502</v>
      </c>
      <c r="H88" s="82" t="str">
        <f t="shared" si="9"/>
        <v>0215</v>
      </c>
      <c r="I88" s="82">
        <f>IF($G88="",0,COUNTIF($G$7:$G88,$H88))</f>
        <v>0</v>
      </c>
      <c r="J88" s="82"/>
      <c r="K88" s="217" t="str">
        <f>Language!$E$85</f>
        <v>double</v>
      </c>
      <c r="L88" s="194"/>
      <c r="M88" s="91">
        <v>82</v>
      </c>
      <c r="N88" s="250">
        <v>15</v>
      </c>
      <c r="O88" s="251" t="s">
        <v>4</v>
      </c>
      <c r="P88" s="252">
        <v>2</v>
      </c>
      <c r="Q88" s="97" t="str">
        <f t="shared" si="10"/>
        <v>FC Kopenhagen</v>
      </c>
      <c r="R88" s="98" t="s">
        <v>4</v>
      </c>
      <c r="S88" s="99" t="str">
        <f t="shared" si="11"/>
        <v>Qairat Almaty</v>
      </c>
      <c r="T88" s="168">
        <v>45987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2925</v>
      </c>
      <c r="H89" s="82" t="str">
        <f t="shared" si="9"/>
        <v>2529</v>
      </c>
      <c r="I89" s="82">
        <f>IF($G89="",0,COUNTIF($G$7:$G89,$H89))</f>
        <v>0</v>
      </c>
      <c r="J89" s="82"/>
      <c r="K89" s="217" t="str">
        <f>Language!$E$85</f>
        <v>double</v>
      </c>
      <c r="L89" s="194"/>
      <c r="M89" s="91">
        <v>83</v>
      </c>
      <c r="N89" s="250">
        <v>29</v>
      </c>
      <c r="O89" s="251" t="s">
        <v>4</v>
      </c>
      <c r="P89" s="252">
        <v>25</v>
      </c>
      <c r="Q89" s="97" t="str">
        <f t="shared" si="10"/>
        <v>Pafos FC</v>
      </c>
      <c r="R89" s="98" t="s">
        <v>4</v>
      </c>
      <c r="S89" s="99" t="str">
        <f t="shared" si="11"/>
        <v>AS Monaco</v>
      </c>
      <c r="T89" s="168">
        <v>45987</v>
      </c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3034</v>
      </c>
      <c r="H90" s="82" t="str">
        <f t="shared" si="9"/>
        <v>3430</v>
      </c>
      <c r="I90" s="82">
        <f>IF($G90="",0,COUNTIF($G$7:$G90,$H90))</f>
        <v>0</v>
      </c>
      <c r="J90" s="82"/>
      <c r="K90" s="217" t="str">
        <f>Language!$E$85</f>
        <v>double</v>
      </c>
      <c r="L90" s="194"/>
      <c r="M90" s="91">
        <v>84</v>
      </c>
      <c r="N90" s="250">
        <v>30</v>
      </c>
      <c r="O90" s="251" t="s">
        <v>4</v>
      </c>
      <c r="P90" s="252">
        <v>34</v>
      </c>
      <c r="Q90" s="97" t="str">
        <f t="shared" si="10"/>
        <v>Paris St. Germain</v>
      </c>
      <c r="R90" s="98" t="s">
        <v>4</v>
      </c>
      <c r="S90" s="99" t="str">
        <f t="shared" si="11"/>
        <v>Tottenham Hotspur</v>
      </c>
      <c r="T90" s="168">
        <v>45987</v>
      </c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1912</v>
      </c>
      <c r="H91" s="82" t="str">
        <f t="shared" si="9"/>
        <v>1219</v>
      </c>
      <c r="I91" s="82">
        <f>IF($G91="",0,COUNTIF($G$7:$G91,$H91))</f>
        <v>0</v>
      </c>
      <c r="J91" s="82"/>
      <c r="K91" s="217" t="str">
        <f>Language!$E$85</f>
        <v>double</v>
      </c>
      <c r="L91" s="194"/>
      <c r="M91" s="91">
        <v>85</v>
      </c>
      <c r="N91" s="250">
        <v>19</v>
      </c>
      <c r="O91" s="251" t="s">
        <v>4</v>
      </c>
      <c r="P91" s="252">
        <v>12</v>
      </c>
      <c r="Q91" s="97" t="str">
        <f t="shared" si="10"/>
        <v>FC Liverpool</v>
      </c>
      <c r="R91" s="98" t="s">
        <v>4</v>
      </c>
      <c r="S91" s="99" t="str">
        <f t="shared" si="11"/>
        <v>PSV Eindhoven</v>
      </c>
      <c r="T91" s="168">
        <v>45987</v>
      </c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0426</v>
      </c>
      <c r="H92" s="82" t="str">
        <f t="shared" si="9"/>
        <v>2604</v>
      </c>
      <c r="I92" s="82">
        <f>IF($G92="",0,COUNTIF($G$7:$G92,$H92))</f>
        <v>0</v>
      </c>
      <c r="J92" s="82"/>
      <c r="K92" s="217" t="str">
        <f>Language!$E$85</f>
        <v>double</v>
      </c>
      <c r="L92" s="194"/>
      <c r="M92" s="91">
        <v>86</v>
      </c>
      <c r="N92" s="250">
        <v>4</v>
      </c>
      <c r="O92" s="251" t="s">
        <v>4</v>
      </c>
      <c r="P92" s="252">
        <v>26</v>
      </c>
      <c r="Q92" s="97" t="str">
        <f t="shared" si="10"/>
        <v>FC Arsenal</v>
      </c>
      <c r="R92" s="98" t="s">
        <v>4</v>
      </c>
      <c r="S92" s="99" t="str">
        <f t="shared" si="11"/>
        <v>Bayern München</v>
      </c>
      <c r="T92" s="168">
        <v>45987</v>
      </c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2022</v>
      </c>
      <c r="H93" s="82" t="str">
        <f t="shared" si="9"/>
        <v>2220</v>
      </c>
      <c r="I93" s="82">
        <f>IF($G93="",0,COUNTIF($G$7:$G93,$H93))</f>
        <v>0</v>
      </c>
      <c r="J93" s="82"/>
      <c r="K93" s="217" t="str">
        <f>Language!$E$85</f>
        <v>double</v>
      </c>
      <c r="L93" s="194"/>
      <c r="M93" s="91">
        <v>87</v>
      </c>
      <c r="N93" s="250">
        <v>20</v>
      </c>
      <c r="O93" s="251" t="s">
        <v>4</v>
      </c>
      <c r="P93" s="252">
        <v>22</v>
      </c>
      <c r="Q93" s="97" t="str">
        <f t="shared" si="10"/>
        <v>Atletico Madrid</v>
      </c>
      <c r="R93" s="98" t="s">
        <v>4</v>
      </c>
      <c r="S93" s="99" t="str">
        <f t="shared" si="11"/>
        <v>Inter Mailand</v>
      </c>
      <c r="T93" s="168">
        <v>45987</v>
      </c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1306</v>
      </c>
      <c r="H94" s="82" t="str">
        <f t="shared" si="9"/>
        <v>0613</v>
      </c>
      <c r="I94" s="82">
        <f>IF($G94="",0,COUNTIF($G$7:$G94,$H94))</f>
        <v>0</v>
      </c>
      <c r="J94" s="82"/>
      <c r="K94" s="217" t="str">
        <f>Language!$E$85</f>
        <v>double</v>
      </c>
      <c r="L94" s="194"/>
      <c r="M94" s="91">
        <v>88</v>
      </c>
      <c r="N94" s="250">
        <v>13</v>
      </c>
      <c r="O94" s="251" t="s">
        <v>4</v>
      </c>
      <c r="P94" s="252">
        <v>6</v>
      </c>
      <c r="Q94" s="97" t="str">
        <f t="shared" si="10"/>
        <v>Eintracht Frankfurt</v>
      </c>
      <c r="R94" s="98" t="s">
        <v>4</v>
      </c>
      <c r="S94" s="99" t="str">
        <f t="shared" si="11"/>
        <v>Atalanta Bergamo</v>
      </c>
      <c r="T94" s="168">
        <v>45987</v>
      </c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1809</v>
      </c>
      <c r="H95" s="82" t="str">
        <f t="shared" si="9"/>
        <v>0918</v>
      </c>
      <c r="I95" s="82">
        <f>IF($G95="",0,COUNTIF($G$7:$G95,$H95))</f>
        <v>0</v>
      </c>
      <c r="J95" s="82"/>
      <c r="K95" s="217" t="str">
        <f>Language!$E$85</f>
        <v>double</v>
      </c>
      <c r="L95" s="194"/>
      <c r="M95" s="91">
        <v>89</v>
      </c>
      <c r="N95" s="250">
        <v>18</v>
      </c>
      <c r="O95" s="251" t="s">
        <v>4</v>
      </c>
      <c r="P95" s="252">
        <v>9</v>
      </c>
      <c r="Q95" s="97" t="str">
        <f t="shared" si="10"/>
        <v>Sporting Lissabon</v>
      </c>
      <c r="R95" s="98" t="s">
        <v>4</v>
      </c>
      <c r="S95" s="99" t="str">
        <f t="shared" si="11"/>
        <v>Club Brügge</v>
      </c>
      <c r="T95" s="168">
        <v>45987</v>
      </c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3121</v>
      </c>
      <c r="H96" s="82" t="str">
        <f t="shared" si="9"/>
        <v>2131</v>
      </c>
      <c r="I96" s="82">
        <f>IF($G96="",0,COUNTIF($G$7:$G96,$H96))</f>
        <v>0</v>
      </c>
      <c r="J96" s="82"/>
      <c r="K96" s="217" t="str">
        <f>Language!$E$85</f>
        <v>double</v>
      </c>
      <c r="L96" s="194"/>
      <c r="M96" s="253">
        <v>90</v>
      </c>
      <c r="N96" s="282">
        <v>31</v>
      </c>
      <c r="O96" s="254" t="s">
        <v>4</v>
      </c>
      <c r="P96" s="283">
        <v>21</v>
      </c>
      <c r="Q96" s="255" t="str">
        <f t="shared" si="10"/>
        <v>Olympiakos Piräus</v>
      </c>
      <c r="R96" s="256" t="s">
        <v>4</v>
      </c>
      <c r="S96" s="257" t="str">
        <f t="shared" si="11"/>
        <v>Real Madrid</v>
      </c>
      <c r="T96" s="168">
        <v>45987</v>
      </c>
      <c r="U96" s="169">
        <v>0.875</v>
      </c>
    </row>
    <row r="97" spans="6:21" ht="17.25" x14ac:dyDescent="0.2">
      <c r="F97" s="82">
        <f t="shared" si="7"/>
        <v>1</v>
      </c>
      <c r="G97" s="82" t="str">
        <f t="shared" si="8"/>
        <v>0231</v>
      </c>
      <c r="H97" s="82" t="str">
        <f t="shared" si="9"/>
        <v>3102</v>
      </c>
      <c r="I97" s="82">
        <f>IF($G97="",0,COUNTIF($G$7:$G97,$H97))</f>
        <v>0</v>
      </c>
      <c r="J97" s="82"/>
      <c r="K97" s="217" t="str">
        <f>Language!$E$85</f>
        <v>double</v>
      </c>
      <c r="L97" s="284">
        <v>6</v>
      </c>
      <c r="M97" s="285">
        <v>91</v>
      </c>
      <c r="N97" s="286">
        <v>2</v>
      </c>
      <c r="O97" s="287" t="s">
        <v>4</v>
      </c>
      <c r="P97" s="288">
        <v>31</v>
      </c>
      <c r="Q97" s="289" t="str">
        <f t="shared" si="10"/>
        <v>Qairat Almaty</v>
      </c>
      <c r="R97" s="290" t="s">
        <v>4</v>
      </c>
      <c r="S97" s="291" t="str">
        <f t="shared" si="11"/>
        <v>Olympiakos Piräus</v>
      </c>
      <c r="T97" s="292">
        <v>46000</v>
      </c>
      <c r="U97" s="293">
        <v>0.6875</v>
      </c>
    </row>
    <row r="98" spans="6:21" ht="17.25" x14ac:dyDescent="0.2">
      <c r="F98" s="82">
        <f t="shared" si="7"/>
        <v>1</v>
      </c>
      <c r="G98" s="82" t="str">
        <f t="shared" si="8"/>
        <v>2618</v>
      </c>
      <c r="H98" s="82" t="str">
        <f t="shared" si="9"/>
        <v>1826</v>
      </c>
      <c r="I98" s="82">
        <f>IF($G98="",0,COUNTIF($G$7:$G98,$H98))</f>
        <v>0</v>
      </c>
      <c r="J98" s="82"/>
      <c r="K98" s="217" t="str">
        <f>Language!$E$85</f>
        <v>double</v>
      </c>
      <c r="L98" s="194"/>
      <c r="M98" s="91">
        <v>92</v>
      </c>
      <c r="N98" s="250">
        <v>26</v>
      </c>
      <c r="O98" s="251" t="s">
        <v>4</v>
      </c>
      <c r="P98" s="252">
        <v>18</v>
      </c>
      <c r="Q98" s="97" t="str">
        <f t="shared" si="10"/>
        <v>Bayern München</v>
      </c>
      <c r="R98" s="98" t="s">
        <v>4</v>
      </c>
      <c r="S98" s="99" t="str">
        <f t="shared" si="11"/>
        <v>Sporting Lissabon</v>
      </c>
      <c r="T98" s="168">
        <v>46000</v>
      </c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2219</v>
      </c>
      <c r="H99" s="82" t="str">
        <f t="shared" si="9"/>
        <v>1922</v>
      </c>
      <c r="I99" s="82">
        <f>IF($G99="",0,COUNTIF($G$7:$G99,$H99))</f>
        <v>0</v>
      </c>
      <c r="J99" s="82"/>
      <c r="K99" s="217" t="str">
        <f>Language!$E$85</f>
        <v>double</v>
      </c>
      <c r="L99" s="194"/>
      <c r="M99" s="91">
        <v>93</v>
      </c>
      <c r="N99" s="250">
        <v>22</v>
      </c>
      <c r="O99" s="251" t="s">
        <v>4</v>
      </c>
      <c r="P99" s="252">
        <v>19</v>
      </c>
      <c r="Q99" s="97" t="str">
        <f t="shared" si="10"/>
        <v>Inter Mailand</v>
      </c>
      <c r="R99" s="98" t="s">
        <v>4</v>
      </c>
      <c r="S99" s="99" t="str">
        <f t="shared" si="11"/>
        <v>FC Liverpool</v>
      </c>
      <c r="T99" s="168">
        <v>46000</v>
      </c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0513</v>
      </c>
      <c r="H100" s="82" t="str">
        <f t="shared" si="9"/>
        <v>1305</v>
      </c>
      <c r="I100" s="82">
        <f>IF($G100="",0,COUNTIF($G$7:$G100,$H100))</f>
        <v>0</v>
      </c>
      <c r="J100" s="82"/>
      <c r="K100" s="217" t="str">
        <f>Language!$E$85</f>
        <v>double</v>
      </c>
      <c r="L100" s="194"/>
      <c r="M100" s="91">
        <v>94</v>
      </c>
      <c r="N100" s="250">
        <v>5</v>
      </c>
      <c r="O100" s="251" t="s">
        <v>4</v>
      </c>
      <c r="P100" s="252">
        <v>13</v>
      </c>
      <c r="Q100" s="97" t="str">
        <f t="shared" si="10"/>
        <v>FC Barcelona</v>
      </c>
      <c r="R100" s="98" t="s">
        <v>4</v>
      </c>
      <c r="S100" s="99" t="str">
        <f t="shared" si="11"/>
        <v>Eintracht Frankfurt</v>
      </c>
      <c r="T100" s="168">
        <v>46000</v>
      </c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0610</v>
      </c>
      <c r="H101" s="82" t="str">
        <f t="shared" si="9"/>
        <v>1006</v>
      </c>
      <c r="I101" s="82">
        <f>IF($G101="",0,COUNTIF($G$7:$G101,$H101))</f>
        <v>0</v>
      </c>
      <c r="J101" s="82"/>
      <c r="K101" s="217" t="str">
        <f>Language!$E$85</f>
        <v>double</v>
      </c>
      <c r="L101" s="194"/>
      <c r="M101" s="91">
        <v>95</v>
      </c>
      <c r="N101" s="250">
        <v>6</v>
      </c>
      <c r="O101" s="251" t="s">
        <v>4</v>
      </c>
      <c r="P101" s="252">
        <v>10</v>
      </c>
      <c r="Q101" s="97" t="str">
        <f t="shared" si="10"/>
        <v>Atalanta Bergamo</v>
      </c>
      <c r="R101" s="98" t="s">
        <v>4</v>
      </c>
      <c r="S101" s="99" t="str">
        <f t="shared" si="11"/>
        <v>FC Chelsea</v>
      </c>
      <c r="T101" s="168">
        <v>46000</v>
      </c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3432</v>
      </c>
      <c r="H102" s="82" t="str">
        <f t="shared" si="9"/>
        <v>3234</v>
      </c>
      <c r="I102" s="82">
        <f>IF($G102="",0,COUNTIF($G$7:$G102,$H102))</f>
        <v>0</v>
      </c>
      <c r="J102" s="82"/>
      <c r="K102" s="217" t="str">
        <f>Language!$E$85</f>
        <v>double</v>
      </c>
      <c r="L102" s="194"/>
      <c r="M102" s="91">
        <v>96</v>
      </c>
      <c r="N102" s="250">
        <v>34</v>
      </c>
      <c r="O102" s="251" t="s">
        <v>4</v>
      </c>
      <c r="P102" s="252">
        <v>32</v>
      </c>
      <c r="Q102" s="97" t="str">
        <f t="shared" si="10"/>
        <v>Tottenham Hotspur</v>
      </c>
      <c r="R102" s="98" t="s">
        <v>4</v>
      </c>
      <c r="S102" s="99" t="str">
        <f t="shared" si="11"/>
        <v>Salva Prag</v>
      </c>
      <c r="T102" s="168">
        <v>46000</v>
      </c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1220</v>
      </c>
      <c r="H103" s="82" t="str">
        <f t="shared" si="9"/>
        <v>2012</v>
      </c>
      <c r="I103" s="82">
        <f>IF($G103="",0,COUNTIF($G$7:$G103,$H103))</f>
        <v>0</v>
      </c>
      <c r="J103" s="82"/>
      <c r="K103" s="217" t="str">
        <f>Language!$E$85</f>
        <v>double</v>
      </c>
      <c r="L103" s="194"/>
      <c r="M103" s="91">
        <v>97</v>
      </c>
      <c r="N103" s="250">
        <v>12</v>
      </c>
      <c r="O103" s="251" t="s">
        <v>4</v>
      </c>
      <c r="P103" s="252">
        <v>20</v>
      </c>
      <c r="Q103" s="97" t="str">
        <f t="shared" si="10"/>
        <v>PSV Eindhoven</v>
      </c>
      <c r="R103" s="98" t="s">
        <v>4</v>
      </c>
      <c r="S103" s="99" t="str">
        <f t="shared" si="11"/>
        <v>Atletico Madrid</v>
      </c>
      <c r="T103" s="168">
        <v>46000</v>
      </c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2514</v>
      </c>
      <c r="H104" s="82" t="str">
        <f t="shared" si="9"/>
        <v>1425</v>
      </c>
      <c r="I104" s="82">
        <f>IF($G104="",0,COUNTIF($G$7:$G104,$H104))</f>
        <v>0</v>
      </c>
      <c r="J104" s="82"/>
      <c r="K104" s="217" t="str">
        <f>Language!$E$85</f>
        <v>double</v>
      </c>
      <c r="L104" s="194"/>
      <c r="M104" s="91">
        <v>98</v>
      </c>
      <c r="N104" s="250">
        <v>25</v>
      </c>
      <c r="O104" s="251" t="s">
        <v>4</v>
      </c>
      <c r="P104" s="252">
        <v>14</v>
      </c>
      <c r="Q104" s="97" t="str">
        <f t="shared" si="10"/>
        <v>AS Monaco</v>
      </c>
      <c r="R104" s="98" t="s">
        <v>4</v>
      </c>
      <c r="S104" s="99" t="str">
        <f t="shared" si="11"/>
        <v>Galatasaray SK</v>
      </c>
      <c r="T104" s="168">
        <v>46000</v>
      </c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3324</v>
      </c>
      <c r="H105" s="82" t="str">
        <f t="shared" si="9"/>
        <v>2433</v>
      </c>
      <c r="I105" s="82">
        <f>IF($G105="",0,COUNTIF($G$7:$G105,$H105))</f>
        <v>0</v>
      </c>
      <c r="J105" s="82"/>
      <c r="K105" s="217" t="str">
        <f>Language!$E$85</f>
        <v>double</v>
      </c>
      <c r="L105" s="194"/>
      <c r="M105" s="91">
        <v>99</v>
      </c>
      <c r="N105" s="250">
        <v>33</v>
      </c>
      <c r="O105" s="251" t="s">
        <v>4</v>
      </c>
      <c r="P105" s="252">
        <v>24</v>
      </c>
      <c r="Q105" s="97" t="str">
        <f t="shared" si="10"/>
        <v>Union Saint-Gilloise</v>
      </c>
      <c r="R105" s="98" t="s">
        <v>4</v>
      </c>
      <c r="S105" s="99" t="str">
        <f t="shared" si="11"/>
        <v>Olympique Marseille</v>
      </c>
      <c r="T105" s="168">
        <v>46000</v>
      </c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3615</v>
      </c>
      <c r="H106" s="82" t="str">
        <f t="shared" si="9"/>
        <v>1536</v>
      </c>
      <c r="I106" s="82">
        <f>IF($G106="",0,COUNTIF($G$7:$G106,$H106))</f>
        <v>0</v>
      </c>
      <c r="J106" s="82"/>
      <c r="K106" s="217" t="str">
        <f>Language!$E$85</f>
        <v>double</v>
      </c>
      <c r="L106" s="194"/>
      <c r="M106" s="91">
        <v>100</v>
      </c>
      <c r="N106" s="250">
        <v>36</v>
      </c>
      <c r="O106" s="251" t="s">
        <v>4</v>
      </c>
      <c r="P106" s="252">
        <v>15</v>
      </c>
      <c r="Q106" s="97" t="str">
        <f t="shared" si="10"/>
        <v>FC Villarreal</v>
      </c>
      <c r="R106" s="98" t="s">
        <v>4</v>
      </c>
      <c r="S106" s="99" t="str">
        <f t="shared" si="11"/>
        <v>FC Kopenhagen</v>
      </c>
      <c r="T106" s="168">
        <v>46001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0103</v>
      </c>
      <c r="H107" s="82" t="str">
        <f t="shared" si="9"/>
        <v>0301</v>
      </c>
      <c r="I107" s="82">
        <f>IF($G107="",0,COUNTIF($G$7:$G107,$H107))</f>
        <v>0</v>
      </c>
      <c r="J107" s="82"/>
      <c r="K107" s="217" t="str">
        <f>Language!$E$85</f>
        <v>double</v>
      </c>
      <c r="L107" s="194"/>
      <c r="M107" s="91">
        <v>101</v>
      </c>
      <c r="N107" s="250">
        <v>1</v>
      </c>
      <c r="O107" s="251" t="s">
        <v>4</v>
      </c>
      <c r="P107" s="252">
        <v>3</v>
      </c>
      <c r="Q107" s="97" t="str">
        <f t="shared" si="10"/>
        <v>Qarabag Agdam</v>
      </c>
      <c r="R107" s="98" t="s">
        <v>4</v>
      </c>
      <c r="S107" s="99" t="str">
        <f t="shared" si="11"/>
        <v>Ajax Amsterdam</v>
      </c>
      <c r="T107" s="168">
        <v>46001</v>
      </c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2123</v>
      </c>
      <c r="H108" s="82" t="str">
        <f t="shared" si="9"/>
        <v>2321</v>
      </c>
      <c r="I108" s="82">
        <f>IF($G108="",0,COUNTIF($G$7:$G108,$H108))</f>
        <v>0</v>
      </c>
      <c r="J108" s="82"/>
      <c r="K108" s="217" t="str">
        <f>Language!$E$85</f>
        <v>double</v>
      </c>
      <c r="L108" s="194"/>
      <c r="M108" s="91">
        <v>102</v>
      </c>
      <c r="N108" s="250">
        <v>21</v>
      </c>
      <c r="O108" s="251" t="s">
        <v>4</v>
      </c>
      <c r="P108" s="252">
        <v>23</v>
      </c>
      <c r="Q108" s="97" t="str">
        <f t="shared" si="10"/>
        <v>Real Madrid</v>
      </c>
      <c r="R108" s="98" t="s">
        <v>4</v>
      </c>
      <c r="S108" s="99" t="str">
        <f t="shared" si="11"/>
        <v>Manchester City</v>
      </c>
      <c r="T108" s="168">
        <v>46001</v>
      </c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1108</v>
      </c>
      <c r="H109" s="82" t="str">
        <f t="shared" si="9"/>
        <v>0811</v>
      </c>
      <c r="I109" s="82">
        <f>IF($G109="",0,COUNTIF($G$7:$G109,$H109))</f>
        <v>0</v>
      </c>
      <c r="J109" s="82"/>
      <c r="K109" s="217" t="str">
        <f>Language!$E$85</f>
        <v>double</v>
      </c>
      <c r="L109" s="194"/>
      <c r="M109" s="91">
        <v>103</v>
      </c>
      <c r="N109" s="250">
        <v>11</v>
      </c>
      <c r="O109" s="251" t="s">
        <v>4</v>
      </c>
      <c r="P109" s="252">
        <v>8</v>
      </c>
      <c r="Q109" s="97" t="str">
        <f t="shared" si="10"/>
        <v>Borussia Dortmund</v>
      </c>
      <c r="R109" s="98" t="s">
        <v>4</v>
      </c>
      <c r="S109" s="99" t="str">
        <f t="shared" si="11"/>
        <v>FK Bodö/Glimt</v>
      </c>
      <c r="T109" s="168">
        <v>46001</v>
      </c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3529</v>
      </c>
      <c r="H110" s="82" t="str">
        <f t="shared" si="9"/>
        <v>2935</v>
      </c>
      <c r="I110" s="82">
        <f>IF($G110="",0,COUNTIF($G$7:$G110,$H110))</f>
        <v>0</v>
      </c>
      <c r="J110" s="82"/>
      <c r="K110" s="217" t="str">
        <f>Language!$E$85</f>
        <v>double</v>
      </c>
      <c r="L110" s="194"/>
      <c r="M110" s="91">
        <v>104</v>
      </c>
      <c r="N110" s="250">
        <v>35</v>
      </c>
      <c r="O110" s="251" t="s">
        <v>4</v>
      </c>
      <c r="P110" s="252">
        <v>29</v>
      </c>
      <c r="Q110" s="97" t="str">
        <f t="shared" si="10"/>
        <v>Juventus Turin</v>
      </c>
      <c r="R110" s="98" t="s">
        <v>4</v>
      </c>
      <c r="S110" s="99" t="str">
        <f t="shared" si="11"/>
        <v>Pafos FC</v>
      </c>
      <c r="T110" s="168">
        <v>46001</v>
      </c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1628</v>
      </c>
      <c r="H111" s="82" t="str">
        <f t="shared" si="9"/>
        <v>2816</v>
      </c>
      <c r="I111" s="82">
        <f>IF($G111="",0,COUNTIF($G$7:$G111,$H111))</f>
        <v>0</v>
      </c>
      <c r="J111" s="82"/>
      <c r="K111" s="217" t="str">
        <f>Language!$E$85</f>
        <v>double</v>
      </c>
      <c r="L111" s="194"/>
      <c r="M111" s="91">
        <v>105</v>
      </c>
      <c r="N111" s="250">
        <v>16</v>
      </c>
      <c r="O111" s="251" t="s">
        <v>4</v>
      </c>
      <c r="P111" s="252">
        <v>28</v>
      </c>
      <c r="Q111" s="97" t="str">
        <f t="shared" si="10"/>
        <v>Bayer 04 Leverkusen</v>
      </c>
      <c r="R111" s="98" t="s">
        <v>4</v>
      </c>
      <c r="S111" s="99" t="str">
        <f t="shared" si="11"/>
        <v>Newcastle United</v>
      </c>
      <c r="T111" s="168">
        <v>46001</v>
      </c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1727</v>
      </c>
      <c r="H112" s="82" t="str">
        <f t="shared" si="9"/>
        <v>2717</v>
      </c>
      <c r="I112" s="82">
        <f>IF($G112="",0,COUNTIF($G$7:$G112,$H112))</f>
        <v>0</v>
      </c>
      <c r="J112" s="82"/>
      <c r="K112" s="217" t="str">
        <f>Language!$E$85</f>
        <v>double</v>
      </c>
      <c r="L112" s="194"/>
      <c r="M112" s="91">
        <v>106</v>
      </c>
      <c r="N112" s="250">
        <v>17</v>
      </c>
      <c r="O112" s="251" t="s">
        <v>4</v>
      </c>
      <c r="P112" s="252">
        <v>27</v>
      </c>
      <c r="Q112" s="97" t="str">
        <f t="shared" si="10"/>
        <v>Benfica Lissabon</v>
      </c>
      <c r="R112" s="98" t="s">
        <v>4</v>
      </c>
      <c r="S112" s="99" t="str">
        <f t="shared" si="11"/>
        <v>SSC Neapel</v>
      </c>
      <c r="T112" s="168">
        <v>46001</v>
      </c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0904</v>
      </c>
      <c r="H113" s="82" t="str">
        <f t="shared" si="9"/>
        <v>0409</v>
      </c>
      <c r="I113" s="82">
        <f>IF($G113="",0,COUNTIF($G$7:$G113,$H113))</f>
        <v>0</v>
      </c>
      <c r="J113" s="82"/>
      <c r="K113" s="217" t="str">
        <f>Language!$E$85</f>
        <v>double</v>
      </c>
      <c r="L113" s="194"/>
      <c r="M113" s="91">
        <v>107</v>
      </c>
      <c r="N113" s="250">
        <v>9</v>
      </c>
      <c r="O113" s="251" t="s">
        <v>4</v>
      </c>
      <c r="P113" s="252">
        <v>4</v>
      </c>
      <c r="Q113" s="97" t="str">
        <f t="shared" si="10"/>
        <v>Club Brügge</v>
      </c>
      <c r="R113" s="98" t="s">
        <v>4</v>
      </c>
      <c r="S113" s="99" t="str">
        <f t="shared" si="11"/>
        <v>FC Arsenal</v>
      </c>
      <c r="T113" s="168">
        <v>46001</v>
      </c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0730</v>
      </c>
      <c r="H114" s="82" t="str">
        <f t="shared" si="9"/>
        <v>3007</v>
      </c>
      <c r="I114" s="82">
        <f>IF($G114="",0,COUNTIF($G$7:$G114,$H114))</f>
        <v>0</v>
      </c>
      <c r="J114" s="82"/>
      <c r="K114" s="217" t="str">
        <f>Language!$E$85</f>
        <v>double</v>
      </c>
      <c r="L114" s="194"/>
      <c r="M114" s="253">
        <v>108</v>
      </c>
      <c r="N114" s="282">
        <v>7</v>
      </c>
      <c r="O114" s="254" t="s">
        <v>4</v>
      </c>
      <c r="P114" s="283">
        <v>30</v>
      </c>
      <c r="Q114" s="255" t="str">
        <f t="shared" si="10"/>
        <v>Athletic Bilbao</v>
      </c>
      <c r="R114" s="256" t="s">
        <v>4</v>
      </c>
      <c r="S114" s="257" t="str">
        <f t="shared" si="11"/>
        <v>Paris St. Germain</v>
      </c>
      <c r="T114" s="168">
        <v>46001</v>
      </c>
      <c r="U114" s="169">
        <v>0.875</v>
      </c>
    </row>
    <row r="115" spans="6:21" ht="17.25" x14ac:dyDescent="0.2">
      <c r="F115" s="82">
        <f t="shared" si="12"/>
        <v>1</v>
      </c>
      <c r="G115" s="82" t="str">
        <f t="shared" si="8"/>
        <v>0209</v>
      </c>
      <c r="H115" s="82" t="str">
        <f t="shared" si="9"/>
        <v>0902</v>
      </c>
      <c r="I115" s="82">
        <f>IF($G115="",0,COUNTIF($G$7:$G115,$H115))</f>
        <v>0</v>
      </c>
      <c r="J115" s="82"/>
      <c r="K115" s="217" t="str">
        <f>Language!$E$85</f>
        <v>double</v>
      </c>
      <c r="L115" s="284">
        <v>7</v>
      </c>
      <c r="M115" s="285">
        <v>109</v>
      </c>
      <c r="N115" s="286">
        <v>2</v>
      </c>
      <c r="O115" s="287" t="s">
        <v>4</v>
      </c>
      <c r="P115" s="288">
        <v>9</v>
      </c>
      <c r="Q115" s="289" t="str">
        <f t="shared" si="10"/>
        <v>Qairat Almaty</v>
      </c>
      <c r="R115" s="290" t="s">
        <v>4</v>
      </c>
      <c r="S115" s="291" t="str">
        <f t="shared" si="11"/>
        <v>Club Brügge</v>
      </c>
      <c r="T115" s="292">
        <v>45677</v>
      </c>
      <c r="U115" s="293">
        <v>0.6875</v>
      </c>
    </row>
    <row r="116" spans="6:21" ht="17.25" x14ac:dyDescent="0.2">
      <c r="F116" s="82">
        <f t="shared" si="12"/>
        <v>1</v>
      </c>
      <c r="G116" s="82" t="str">
        <f t="shared" si="8"/>
        <v>0823</v>
      </c>
      <c r="H116" s="82" t="str">
        <f t="shared" si="9"/>
        <v>2308</v>
      </c>
      <c r="I116" s="82">
        <f>IF($G116="",0,COUNTIF($G$7:$G116,$H116))</f>
        <v>0</v>
      </c>
      <c r="J116" s="82"/>
      <c r="K116" s="217" t="str">
        <f>Language!$E$85</f>
        <v>double</v>
      </c>
      <c r="L116" s="194"/>
      <c r="M116" s="91">
        <v>110</v>
      </c>
      <c r="N116" s="250">
        <v>8</v>
      </c>
      <c r="O116" s="251" t="s">
        <v>4</v>
      </c>
      <c r="P116" s="252">
        <v>23</v>
      </c>
      <c r="Q116" s="97" t="str">
        <f t="shared" si="10"/>
        <v>FK Bodö/Glimt</v>
      </c>
      <c r="R116" s="98" t="s">
        <v>4</v>
      </c>
      <c r="S116" s="99" t="str">
        <f t="shared" si="11"/>
        <v>Manchester City</v>
      </c>
      <c r="T116" s="168">
        <v>45677</v>
      </c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2125</v>
      </c>
      <c r="H117" s="82" t="str">
        <f t="shared" si="9"/>
        <v>2521</v>
      </c>
      <c r="I117" s="82">
        <f>IF($G117="",0,COUNTIF($G$7:$G117,$H117))</f>
        <v>0</v>
      </c>
      <c r="J117" s="82"/>
      <c r="K117" s="217" t="str">
        <f>Language!$E$85</f>
        <v>double</v>
      </c>
      <c r="L117" s="194"/>
      <c r="M117" s="91">
        <v>111</v>
      </c>
      <c r="N117" s="250">
        <v>21</v>
      </c>
      <c r="O117" s="251" t="s">
        <v>4</v>
      </c>
      <c r="P117" s="252">
        <v>25</v>
      </c>
      <c r="Q117" s="97" t="str">
        <f t="shared" si="10"/>
        <v>Real Madrid</v>
      </c>
      <c r="R117" s="98" t="s">
        <v>4</v>
      </c>
      <c r="S117" s="99" t="str">
        <f t="shared" si="11"/>
        <v>AS Monaco</v>
      </c>
      <c r="T117" s="168">
        <v>45677</v>
      </c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2204</v>
      </c>
      <c r="H118" s="82" t="str">
        <f t="shared" si="9"/>
        <v>0422</v>
      </c>
      <c r="I118" s="82">
        <f>IF($G118="",0,COUNTIF($G$7:$G118,$H118))</f>
        <v>0</v>
      </c>
      <c r="J118" s="82"/>
      <c r="K118" s="217" t="str">
        <f>Language!$E$85</f>
        <v>double</v>
      </c>
      <c r="L118" s="194"/>
      <c r="M118" s="91">
        <v>112</v>
      </c>
      <c r="N118" s="250">
        <v>22</v>
      </c>
      <c r="O118" s="251" t="s">
        <v>4</v>
      </c>
      <c r="P118" s="252">
        <v>4</v>
      </c>
      <c r="Q118" s="97" t="str">
        <f t="shared" si="10"/>
        <v>Inter Mailand</v>
      </c>
      <c r="R118" s="98" t="s">
        <v>4</v>
      </c>
      <c r="S118" s="99" t="str">
        <f t="shared" si="11"/>
        <v>FC Arsenal</v>
      </c>
      <c r="T118" s="168">
        <v>45677</v>
      </c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3411</v>
      </c>
      <c r="H119" s="82" t="str">
        <f t="shared" si="9"/>
        <v>1134</v>
      </c>
      <c r="I119" s="82">
        <f>IF($G119="",0,COUNTIF($G$7:$G119,$H119))</f>
        <v>0</v>
      </c>
      <c r="J119" s="82"/>
      <c r="K119" s="217" t="str">
        <f>Language!$E$85</f>
        <v>double</v>
      </c>
      <c r="L119" s="194"/>
      <c r="M119" s="91">
        <v>113</v>
      </c>
      <c r="N119" s="250">
        <v>34</v>
      </c>
      <c r="O119" s="251" t="s">
        <v>4</v>
      </c>
      <c r="P119" s="252">
        <v>11</v>
      </c>
      <c r="Q119" s="97" t="str">
        <f t="shared" si="10"/>
        <v>Tottenham Hotspur</v>
      </c>
      <c r="R119" s="98" t="s">
        <v>4</v>
      </c>
      <c r="S119" s="99" t="str">
        <f t="shared" si="11"/>
        <v>Borussia Dortmund</v>
      </c>
      <c r="T119" s="168">
        <v>45677</v>
      </c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1830</v>
      </c>
      <c r="H120" s="82" t="str">
        <f t="shared" si="9"/>
        <v>3018</v>
      </c>
      <c r="I120" s="82">
        <f>IF($G120="",0,COUNTIF($G$7:$G120,$H120))</f>
        <v>0</v>
      </c>
      <c r="J120" s="82"/>
      <c r="K120" s="217" t="str">
        <f>Language!$E$85</f>
        <v>double</v>
      </c>
      <c r="L120" s="194"/>
      <c r="M120" s="91">
        <v>114</v>
      </c>
      <c r="N120" s="250">
        <v>18</v>
      </c>
      <c r="O120" s="251" t="s">
        <v>4</v>
      </c>
      <c r="P120" s="252">
        <v>30</v>
      </c>
      <c r="Q120" s="97" t="str">
        <f t="shared" si="10"/>
        <v>Sporting Lissabon</v>
      </c>
      <c r="R120" s="98" t="s">
        <v>4</v>
      </c>
      <c r="S120" s="99" t="str">
        <f t="shared" si="11"/>
        <v>Paris St. Germain</v>
      </c>
      <c r="T120" s="168">
        <v>45677</v>
      </c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3116</v>
      </c>
      <c r="H121" s="82" t="str">
        <f t="shared" si="9"/>
        <v>1631</v>
      </c>
      <c r="I121" s="82">
        <f>IF($G121="",0,COUNTIF($G$7:$G121,$H121))</f>
        <v>0</v>
      </c>
      <c r="J121" s="82"/>
      <c r="K121" s="217" t="str">
        <f>Language!$E$85</f>
        <v>double</v>
      </c>
      <c r="L121" s="194"/>
      <c r="M121" s="91">
        <v>115</v>
      </c>
      <c r="N121" s="250">
        <v>31</v>
      </c>
      <c r="O121" s="251" t="s">
        <v>4</v>
      </c>
      <c r="P121" s="252">
        <v>16</v>
      </c>
      <c r="Q121" s="97" t="str">
        <f t="shared" si="10"/>
        <v>Olympiakos Piräus</v>
      </c>
      <c r="R121" s="98" t="s">
        <v>4</v>
      </c>
      <c r="S121" s="99" t="str">
        <f t="shared" si="11"/>
        <v>Bayer 04 Leverkusen</v>
      </c>
      <c r="T121" s="168">
        <v>45677</v>
      </c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3603</v>
      </c>
      <c r="H122" s="82" t="str">
        <f t="shared" si="9"/>
        <v>0336</v>
      </c>
      <c r="I122" s="82">
        <f>IF($G122="",0,COUNTIF($G$7:$G122,$H122))</f>
        <v>0</v>
      </c>
      <c r="J122" s="82"/>
      <c r="K122" s="217" t="str">
        <f>Language!$E$85</f>
        <v>double</v>
      </c>
      <c r="L122" s="194"/>
      <c r="M122" s="91">
        <v>116</v>
      </c>
      <c r="N122" s="250">
        <v>36</v>
      </c>
      <c r="O122" s="251" t="s">
        <v>4</v>
      </c>
      <c r="P122" s="252">
        <v>3</v>
      </c>
      <c r="Q122" s="97" t="str">
        <f t="shared" si="10"/>
        <v>FC Villarreal</v>
      </c>
      <c r="R122" s="98" t="s">
        <v>4</v>
      </c>
      <c r="S122" s="99" t="str">
        <f t="shared" si="11"/>
        <v>Ajax Amsterdam</v>
      </c>
      <c r="T122" s="168">
        <v>45677</v>
      </c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1527</v>
      </c>
      <c r="H123" s="82" t="str">
        <f t="shared" si="9"/>
        <v>2715</v>
      </c>
      <c r="I123" s="82">
        <f>IF($G123="",0,COUNTIF($G$7:$G123,$H123))</f>
        <v>0</v>
      </c>
      <c r="J123" s="82"/>
      <c r="K123" s="217" t="str">
        <f>Language!$E$85</f>
        <v>double</v>
      </c>
      <c r="L123" s="194"/>
      <c r="M123" s="91">
        <v>117</v>
      </c>
      <c r="N123" s="250">
        <v>15</v>
      </c>
      <c r="O123" s="251" t="s">
        <v>4</v>
      </c>
      <c r="P123" s="252">
        <v>27</v>
      </c>
      <c r="Q123" s="97" t="str">
        <f t="shared" si="10"/>
        <v>FC Kopenhagen</v>
      </c>
      <c r="R123" s="98" t="s">
        <v>4</v>
      </c>
      <c r="S123" s="99" t="str">
        <f t="shared" si="11"/>
        <v>SSC Neapel</v>
      </c>
      <c r="T123" s="168">
        <v>45677</v>
      </c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1420</v>
      </c>
      <c r="H124" s="82" t="str">
        <f t="shared" si="9"/>
        <v>2014</v>
      </c>
      <c r="I124" s="82">
        <f>IF($G124="",0,COUNTIF($G$7:$G124,$H124))</f>
        <v>0</v>
      </c>
      <c r="J124" s="82"/>
      <c r="K124" s="217" t="str">
        <f>Language!$E$85</f>
        <v>double</v>
      </c>
      <c r="L124" s="194"/>
      <c r="M124" s="91">
        <v>118</v>
      </c>
      <c r="N124" s="250">
        <v>14</v>
      </c>
      <c r="O124" s="251" t="s">
        <v>4</v>
      </c>
      <c r="P124" s="252">
        <v>20</v>
      </c>
      <c r="Q124" s="97" t="str">
        <f t="shared" si="10"/>
        <v>Galatasaray SK</v>
      </c>
      <c r="R124" s="98" t="s">
        <v>4</v>
      </c>
      <c r="S124" s="99" t="str">
        <f t="shared" si="11"/>
        <v>Atletico Madrid</v>
      </c>
      <c r="T124" s="168">
        <v>45678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0113</v>
      </c>
      <c r="H125" s="82" t="str">
        <f t="shared" si="9"/>
        <v>1301</v>
      </c>
      <c r="I125" s="82">
        <f>IF($G125="",0,COUNTIF($G$7:$G125,$H125))</f>
        <v>0</v>
      </c>
      <c r="J125" s="82"/>
      <c r="K125" s="217" t="str">
        <f>Language!$E$85</f>
        <v>double</v>
      </c>
      <c r="L125" s="194"/>
      <c r="M125" s="91">
        <v>119</v>
      </c>
      <c r="N125" s="250">
        <v>1</v>
      </c>
      <c r="O125" s="251" t="s">
        <v>4</v>
      </c>
      <c r="P125" s="252">
        <v>13</v>
      </c>
      <c r="Q125" s="97" t="str">
        <f t="shared" si="10"/>
        <v>Qarabag Agdam</v>
      </c>
      <c r="R125" s="98" t="s">
        <v>4</v>
      </c>
      <c r="S125" s="99" t="str">
        <f t="shared" si="11"/>
        <v>Eintracht Frankfurt</v>
      </c>
      <c r="T125" s="168">
        <v>45678</v>
      </c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2633</v>
      </c>
      <c r="H126" s="82" t="str">
        <f t="shared" si="9"/>
        <v>3326</v>
      </c>
      <c r="I126" s="82">
        <f>IF($G126="",0,COUNTIF($G$7:$G126,$H126))</f>
        <v>0</v>
      </c>
      <c r="J126" s="82"/>
      <c r="K126" s="217" t="str">
        <f>Language!$E$85</f>
        <v>double</v>
      </c>
      <c r="L126" s="194"/>
      <c r="M126" s="91">
        <v>120</v>
      </c>
      <c r="N126" s="250">
        <v>26</v>
      </c>
      <c r="O126" s="251" t="s">
        <v>4</v>
      </c>
      <c r="P126" s="252">
        <v>33</v>
      </c>
      <c r="Q126" s="97" t="str">
        <f t="shared" si="10"/>
        <v>Bayern München</v>
      </c>
      <c r="R126" s="98" t="s">
        <v>4</v>
      </c>
      <c r="S126" s="99" t="str">
        <f t="shared" si="11"/>
        <v>Union Saint-Gilloise</v>
      </c>
      <c r="T126" s="168">
        <v>45678</v>
      </c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1029</v>
      </c>
      <c r="H127" s="82" t="str">
        <f t="shared" si="9"/>
        <v>2910</v>
      </c>
      <c r="I127" s="82">
        <f>IF($G127="",0,COUNTIF($G$7:$G127,$H127))</f>
        <v>0</v>
      </c>
      <c r="J127" s="82"/>
      <c r="K127" s="217" t="str">
        <f>Language!$E$85</f>
        <v>double</v>
      </c>
      <c r="L127" s="194"/>
      <c r="M127" s="91">
        <v>121</v>
      </c>
      <c r="N127" s="250">
        <v>10</v>
      </c>
      <c r="O127" s="251" t="s">
        <v>4</v>
      </c>
      <c r="P127" s="252">
        <v>29</v>
      </c>
      <c r="Q127" s="97" t="str">
        <f t="shared" si="10"/>
        <v>FC Chelsea</v>
      </c>
      <c r="R127" s="98" t="s">
        <v>4</v>
      </c>
      <c r="S127" s="99" t="str">
        <f t="shared" si="11"/>
        <v>Pafos FC</v>
      </c>
      <c r="T127" s="168">
        <v>45678</v>
      </c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0607</v>
      </c>
      <c r="H128" s="82" t="str">
        <f t="shared" si="9"/>
        <v>0706</v>
      </c>
      <c r="I128" s="82">
        <f>IF($G128="",0,COUNTIF($G$7:$G128,$H128))</f>
        <v>0</v>
      </c>
      <c r="J128" s="82"/>
      <c r="K128" s="217" t="str">
        <f>Language!$E$85</f>
        <v>double</v>
      </c>
      <c r="L128" s="194"/>
      <c r="M128" s="91">
        <v>122</v>
      </c>
      <c r="N128" s="250">
        <v>6</v>
      </c>
      <c r="O128" s="251" t="s">
        <v>4</v>
      </c>
      <c r="P128" s="252">
        <v>7</v>
      </c>
      <c r="Q128" s="97" t="str">
        <f t="shared" si="10"/>
        <v>Atalanta Bergamo</v>
      </c>
      <c r="R128" s="98" t="s">
        <v>4</v>
      </c>
      <c r="S128" s="99" t="str">
        <f t="shared" si="11"/>
        <v>Athletic Bilbao</v>
      </c>
      <c r="T128" s="168">
        <v>45678</v>
      </c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3517</v>
      </c>
      <c r="H129" s="82" t="str">
        <f t="shared" si="9"/>
        <v>1735</v>
      </c>
      <c r="I129" s="82">
        <f>IF($G129="",0,COUNTIF($G$7:$G129,$H129))</f>
        <v>0</v>
      </c>
      <c r="J129" s="82"/>
      <c r="K129" s="217" t="str">
        <f>Language!$E$85</f>
        <v>double</v>
      </c>
      <c r="L129" s="194"/>
      <c r="M129" s="91">
        <v>123</v>
      </c>
      <c r="N129" s="250">
        <v>35</v>
      </c>
      <c r="O129" s="251" t="s">
        <v>4</v>
      </c>
      <c r="P129" s="252">
        <v>17</v>
      </c>
      <c r="Q129" s="97" t="str">
        <f t="shared" si="10"/>
        <v>Juventus Turin</v>
      </c>
      <c r="R129" s="98" t="s">
        <v>4</v>
      </c>
      <c r="S129" s="99" t="str">
        <f t="shared" si="11"/>
        <v>Benfica Lissabon</v>
      </c>
      <c r="T129" s="168">
        <v>45678</v>
      </c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2419</v>
      </c>
      <c r="H130" s="82" t="str">
        <f t="shared" si="9"/>
        <v>1924</v>
      </c>
      <c r="I130" s="82">
        <f>IF($G130="",0,COUNTIF($G$7:$G130,$H130))</f>
        <v>0</v>
      </c>
      <c r="J130" s="82"/>
      <c r="K130" s="217" t="str">
        <f>Language!$E$85</f>
        <v>double</v>
      </c>
      <c r="L130" s="194"/>
      <c r="M130" s="91">
        <v>124</v>
      </c>
      <c r="N130" s="250">
        <v>24</v>
      </c>
      <c r="O130" s="251" t="s">
        <v>4</v>
      </c>
      <c r="P130" s="252">
        <v>19</v>
      </c>
      <c r="Q130" s="97" t="str">
        <f t="shared" si="10"/>
        <v>Olympique Marseille</v>
      </c>
      <c r="R130" s="98" t="s">
        <v>4</v>
      </c>
      <c r="S130" s="99" t="str">
        <f t="shared" si="11"/>
        <v>FC Liverpool</v>
      </c>
      <c r="T130" s="168">
        <v>45678</v>
      </c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3205</v>
      </c>
      <c r="H131" s="82" t="str">
        <f t="shared" si="9"/>
        <v>0532</v>
      </c>
      <c r="I131" s="82">
        <f>IF($G131="",0,COUNTIF($G$7:$G131,$H131))</f>
        <v>0</v>
      </c>
      <c r="J131" s="82"/>
      <c r="K131" s="217" t="str">
        <f>Language!$E$85</f>
        <v>double</v>
      </c>
      <c r="L131" s="194"/>
      <c r="M131" s="91">
        <v>125</v>
      </c>
      <c r="N131" s="250">
        <v>32</v>
      </c>
      <c r="O131" s="251" t="s">
        <v>4</v>
      </c>
      <c r="P131" s="252">
        <v>5</v>
      </c>
      <c r="Q131" s="97" t="str">
        <f t="shared" si="10"/>
        <v>Salva Prag</v>
      </c>
      <c r="R131" s="98" t="s">
        <v>4</v>
      </c>
      <c r="S131" s="99" t="str">
        <f t="shared" si="11"/>
        <v>FC Barcelona</v>
      </c>
      <c r="T131" s="168">
        <v>45678</v>
      </c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2812</v>
      </c>
      <c r="H132" s="82" t="str">
        <f t="shared" si="9"/>
        <v>1228</v>
      </c>
      <c r="I132" s="82">
        <f>IF($G132="",0,COUNTIF($G$7:$G132,$H132))</f>
        <v>0</v>
      </c>
      <c r="J132" s="82"/>
      <c r="K132" s="217" t="str">
        <f>Language!$E$85</f>
        <v>double</v>
      </c>
      <c r="L132" s="194"/>
      <c r="M132" s="253">
        <v>126</v>
      </c>
      <c r="N132" s="282">
        <v>28</v>
      </c>
      <c r="O132" s="254" t="s">
        <v>4</v>
      </c>
      <c r="P132" s="283">
        <v>12</v>
      </c>
      <c r="Q132" s="255" t="str">
        <f t="shared" si="10"/>
        <v>Newcastle United</v>
      </c>
      <c r="R132" s="256" t="s">
        <v>4</v>
      </c>
      <c r="S132" s="257" t="str">
        <f t="shared" si="11"/>
        <v>PSV Eindhoven</v>
      </c>
      <c r="T132" s="168">
        <v>45678</v>
      </c>
      <c r="U132" s="169">
        <v>0.875</v>
      </c>
    </row>
    <row r="133" spans="6:21" ht="17.25" x14ac:dyDescent="0.2">
      <c r="F133" s="82">
        <f t="shared" si="12"/>
        <v>1</v>
      </c>
      <c r="G133" s="82" t="str">
        <f t="shared" si="8"/>
        <v>3028</v>
      </c>
      <c r="H133" s="82" t="str">
        <f t="shared" si="9"/>
        <v>2830</v>
      </c>
      <c r="I133" s="82">
        <f>IF($G133="",0,COUNTIF($G$7:$G133,$H133))</f>
        <v>0</v>
      </c>
      <c r="J133" s="82"/>
      <c r="K133" s="217" t="str">
        <f>Language!$E$85</f>
        <v>double</v>
      </c>
      <c r="L133" s="284">
        <v>8</v>
      </c>
      <c r="M133" s="285">
        <v>127</v>
      </c>
      <c r="N133" s="286">
        <v>30</v>
      </c>
      <c r="O133" s="287" t="s">
        <v>4</v>
      </c>
      <c r="P133" s="288">
        <v>28</v>
      </c>
      <c r="Q133" s="289" t="str">
        <f t="shared" si="10"/>
        <v>Paris St. Germain</v>
      </c>
      <c r="R133" s="290" t="s">
        <v>4</v>
      </c>
      <c r="S133" s="291" t="str">
        <f t="shared" si="11"/>
        <v>Newcastle United</v>
      </c>
      <c r="T133" s="292">
        <v>46050</v>
      </c>
      <c r="U133" s="293">
        <v>0.875</v>
      </c>
    </row>
    <row r="134" spans="6:21" ht="17.25" x14ac:dyDescent="0.2">
      <c r="F134" s="82">
        <f t="shared" si="12"/>
        <v>1</v>
      </c>
      <c r="G134" s="82" t="str">
        <f t="shared" si="8"/>
        <v>2314</v>
      </c>
      <c r="H134" s="82" t="str">
        <f t="shared" si="9"/>
        <v>1423</v>
      </c>
      <c r="I134" s="82">
        <f>IF($G134="",0,COUNTIF($G$7:$G134,$H134))</f>
        <v>0</v>
      </c>
      <c r="J134" s="82"/>
      <c r="K134" s="217" t="str">
        <f>Language!$E$85</f>
        <v>double</v>
      </c>
      <c r="L134" s="194"/>
      <c r="M134" s="91">
        <v>128</v>
      </c>
      <c r="N134" s="250">
        <v>23</v>
      </c>
      <c r="O134" s="251" t="s">
        <v>4</v>
      </c>
      <c r="P134" s="252">
        <v>14</v>
      </c>
      <c r="Q134" s="97" t="str">
        <f t="shared" si="10"/>
        <v>Manchester City</v>
      </c>
      <c r="R134" s="98" t="s">
        <v>4</v>
      </c>
      <c r="S134" s="99" t="str">
        <f t="shared" si="11"/>
        <v>Galatasaray SK</v>
      </c>
      <c r="T134" s="168">
        <v>46050</v>
      </c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1901</v>
      </c>
      <c r="H135" s="82" t="str">
        <f t="shared" si="9"/>
        <v>0119</v>
      </c>
      <c r="I135" s="82">
        <f>IF($G135="",0,COUNTIF($G$7:$G135,$H135))</f>
        <v>0</v>
      </c>
      <c r="J135" s="82"/>
      <c r="K135" s="217" t="str">
        <f>Language!$E$85</f>
        <v>double</v>
      </c>
      <c r="L135" s="194"/>
      <c r="M135" s="91">
        <v>129</v>
      </c>
      <c r="N135" s="250">
        <v>19</v>
      </c>
      <c r="O135" s="251" t="s">
        <v>4</v>
      </c>
      <c r="P135" s="252">
        <v>1</v>
      </c>
      <c r="Q135" s="97" t="str">
        <f t="shared" si="10"/>
        <v>FC Liverpool</v>
      </c>
      <c r="R135" s="98" t="s">
        <v>4</v>
      </c>
      <c r="S135" s="99" t="str">
        <f t="shared" si="11"/>
        <v>Qarabag Agdam</v>
      </c>
      <c r="T135" s="168">
        <v>46050</v>
      </c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1122</v>
      </c>
      <c r="H136" s="82" t="str">
        <f t="shared" ref="H136:H150" si="15">IF(OR($N136="",$P136=""),"",TEXT($P136,"00")&amp;TEXT($N136,"00"))</f>
        <v>2211</v>
      </c>
      <c r="I136" s="82">
        <f>IF($G136="",0,COUNTIF($G$7:$G136,$H136))</f>
        <v>0</v>
      </c>
      <c r="J136" s="82"/>
      <c r="K136" s="217" t="str">
        <f>Language!$E$85</f>
        <v>double</v>
      </c>
      <c r="L136" s="194"/>
      <c r="M136" s="91">
        <v>130</v>
      </c>
      <c r="N136" s="250">
        <v>11</v>
      </c>
      <c r="O136" s="251" t="s">
        <v>4</v>
      </c>
      <c r="P136" s="252">
        <v>22</v>
      </c>
      <c r="Q136" s="97" t="str">
        <f t="shared" ref="Q136:Q150" si="16">IF(ISBLANK($N136),"",IF(ISBLANK(VLOOKUP($N136,$C$7:$D$42,2,0)),"",VLOOKUP($N136,$C$7:$D$42,2,0)))</f>
        <v>Borussia Dortmund</v>
      </c>
      <c r="R136" s="98" t="s">
        <v>4</v>
      </c>
      <c r="S136" s="99" t="str">
        <f t="shared" ref="S136:S150" si="17">IF(ISBLANK($P136),"",IF(ISBLANK(VLOOKUP($P136,$C$7:$D$42,2,0)),"",VLOOKUP($P136,$C$7:$D$42,2,0)))</f>
        <v>Inter Mailand</v>
      </c>
      <c r="T136" s="168">
        <v>46050</v>
      </c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0515</v>
      </c>
      <c r="H137" s="82" t="str">
        <f t="shared" si="15"/>
        <v>1505</v>
      </c>
      <c r="I137" s="82">
        <f>IF($G137="",0,COUNTIF($G$7:$G137,$H137))</f>
        <v>0</v>
      </c>
      <c r="J137" s="82"/>
      <c r="K137" s="217" t="str">
        <f>Language!$E$85</f>
        <v>double</v>
      </c>
      <c r="L137" s="194"/>
      <c r="M137" s="91">
        <v>131</v>
      </c>
      <c r="N137" s="250">
        <v>5</v>
      </c>
      <c r="O137" s="251" t="s">
        <v>4</v>
      </c>
      <c r="P137" s="252">
        <v>15</v>
      </c>
      <c r="Q137" s="97" t="str">
        <f t="shared" si="16"/>
        <v>FC Barcelona</v>
      </c>
      <c r="R137" s="98" t="s">
        <v>4</v>
      </c>
      <c r="S137" s="99" t="str">
        <f t="shared" si="17"/>
        <v>FC Kopenhagen</v>
      </c>
      <c r="T137" s="168">
        <v>46050</v>
      </c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0331</v>
      </c>
      <c r="H138" s="82" t="str">
        <f t="shared" si="15"/>
        <v>3103</v>
      </c>
      <c r="I138" s="82">
        <f>IF($G138="",0,COUNTIF($G$7:$G138,$H138))</f>
        <v>0</v>
      </c>
      <c r="J138" s="82"/>
      <c r="K138" s="217" t="str">
        <f>Language!$E$85</f>
        <v>double</v>
      </c>
      <c r="L138" s="194"/>
      <c r="M138" s="91">
        <v>132</v>
      </c>
      <c r="N138" s="250">
        <v>3</v>
      </c>
      <c r="O138" s="251" t="s">
        <v>4</v>
      </c>
      <c r="P138" s="252">
        <v>31</v>
      </c>
      <c r="Q138" s="97" t="str">
        <f t="shared" si="16"/>
        <v>Ajax Amsterdam</v>
      </c>
      <c r="R138" s="98" t="s">
        <v>4</v>
      </c>
      <c r="S138" s="99" t="str">
        <f t="shared" si="17"/>
        <v>Olympiakos Piräus</v>
      </c>
      <c r="T138" s="168">
        <v>46050</v>
      </c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0402</v>
      </c>
      <c r="H139" s="82" t="str">
        <f t="shared" si="15"/>
        <v>0204</v>
      </c>
      <c r="I139" s="82">
        <f>IF($G139="",0,COUNTIF($G$7:$G139,$H139))</f>
        <v>0</v>
      </c>
      <c r="J139" s="82"/>
      <c r="K139" s="217" t="str">
        <f>Language!$E$85</f>
        <v>double</v>
      </c>
      <c r="L139" s="194"/>
      <c r="M139" s="91">
        <v>133</v>
      </c>
      <c r="N139" s="250">
        <v>4</v>
      </c>
      <c r="O139" s="251" t="s">
        <v>4</v>
      </c>
      <c r="P139" s="252">
        <v>2</v>
      </c>
      <c r="Q139" s="97" t="str">
        <f t="shared" si="16"/>
        <v>FC Arsenal</v>
      </c>
      <c r="R139" s="98" t="s">
        <v>4</v>
      </c>
      <c r="S139" s="99" t="str">
        <f t="shared" si="17"/>
        <v>Qairat Almaty</v>
      </c>
      <c r="T139" s="168">
        <v>46050</v>
      </c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2008</v>
      </c>
      <c r="H140" s="82" t="str">
        <f t="shared" si="15"/>
        <v>0820</v>
      </c>
      <c r="I140" s="82">
        <f>IF($G140="",0,COUNTIF($G$7:$G140,$H140))</f>
        <v>0</v>
      </c>
      <c r="J140" s="82"/>
      <c r="K140" s="217" t="str">
        <f>Language!$E$85</f>
        <v>double</v>
      </c>
      <c r="L140" s="194"/>
      <c r="M140" s="91">
        <v>134</v>
      </c>
      <c r="N140" s="250">
        <v>20</v>
      </c>
      <c r="O140" s="251" t="s">
        <v>4</v>
      </c>
      <c r="P140" s="252">
        <v>8</v>
      </c>
      <c r="Q140" s="97" t="str">
        <f t="shared" si="16"/>
        <v>Atletico Madrid</v>
      </c>
      <c r="R140" s="98" t="s">
        <v>4</v>
      </c>
      <c r="S140" s="99" t="str">
        <f t="shared" si="17"/>
        <v>FK Bodö/Glimt</v>
      </c>
      <c r="T140" s="168">
        <v>46050</v>
      </c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1636</v>
      </c>
      <c r="H141" s="82" t="str">
        <f t="shared" si="15"/>
        <v>3616</v>
      </c>
      <c r="I141" s="82">
        <f>IF($G141="",0,COUNTIF($G$7:$G141,$H141))</f>
        <v>0</v>
      </c>
      <c r="J141" s="82"/>
      <c r="K141" s="217" t="str">
        <f>Language!$E$85</f>
        <v>double</v>
      </c>
      <c r="L141" s="194"/>
      <c r="M141" s="91">
        <v>135</v>
      </c>
      <c r="N141" s="250">
        <v>16</v>
      </c>
      <c r="O141" s="251" t="s">
        <v>4</v>
      </c>
      <c r="P141" s="252">
        <v>36</v>
      </c>
      <c r="Q141" s="97" t="str">
        <f t="shared" si="16"/>
        <v>Bayer 04 Leverkusen</v>
      </c>
      <c r="R141" s="98" t="s">
        <v>4</v>
      </c>
      <c r="S141" s="99" t="str">
        <f t="shared" si="17"/>
        <v>FC Villarreal</v>
      </c>
      <c r="T141" s="168">
        <v>46050</v>
      </c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1721</v>
      </c>
      <c r="H142" s="82" t="str">
        <f t="shared" si="15"/>
        <v>2117</v>
      </c>
      <c r="I142" s="82">
        <f>IF($G142="",0,COUNTIF($G$7:$G142,$H142))</f>
        <v>0</v>
      </c>
      <c r="J142" s="82"/>
      <c r="K142" s="217" t="str">
        <f>Language!$E$85</f>
        <v>double</v>
      </c>
      <c r="L142" s="194"/>
      <c r="M142" s="91">
        <v>136</v>
      </c>
      <c r="N142" s="250">
        <v>17</v>
      </c>
      <c r="O142" s="251" t="s">
        <v>4</v>
      </c>
      <c r="P142" s="252">
        <v>21</v>
      </c>
      <c r="Q142" s="97" t="str">
        <f t="shared" si="16"/>
        <v>Benfica Lissabon</v>
      </c>
      <c r="R142" s="98" t="s">
        <v>4</v>
      </c>
      <c r="S142" s="99" t="str">
        <f t="shared" si="17"/>
        <v>Real Madrid</v>
      </c>
      <c r="T142" s="168">
        <v>46050</v>
      </c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0924</v>
      </c>
      <c r="H143" s="82" t="str">
        <f t="shared" si="15"/>
        <v>2409</v>
      </c>
      <c r="I143" s="82">
        <f>IF($G143="",0,COUNTIF($G$7:$G143,$H143))</f>
        <v>0</v>
      </c>
      <c r="J143" s="82"/>
      <c r="K143" s="217" t="str">
        <f>Language!$E$85</f>
        <v>double</v>
      </c>
      <c r="L143" s="194"/>
      <c r="M143" s="91">
        <v>137</v>
      </c>
      <c r="N143" s="250">
        <v>9</v>
      </c>
      <c r="O143" s="251" t="s">
        <v>4</v>
      </c>
      <c r="P143" s="252">
        <v>24</v>
      </c>
      <c r="Q143" s="97" t="str">
        <f t="shared" si="16"/>
        <v>Club Brügge</v>
      </c>
      <c r="R143" s="98" t="s">
        <v>4</v>
      </c>
      <c r="S143" s="99" t="str">
        <f t="shared" si="17"/>
        <v>Olympique Marseille</v>
      </c>
      <c r="T143" s="168">
        <v>46050</v>
      </c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1334</v>
      </c>
      <c r="H144" s="82" t="str">
        <f t="shared" si="15"/>
        <v>3413</v>
      </c>
      <c r="I144" s="82">
        <f>IF($G144="",0,COUNTIF($G$7:$G144,$H144))</f>
        <v>0</v>
      </c>
      <c r="J144" s="82"/>
      <c r="K144" s="217" t="str">
        <f>Language!$E$85</f>
        <v>double</v>
      </c>
      <c r="L144" s="194"/>
      <c r="M144" s="91">
        <v>138</v>
      </c>
      <c r="N144" s="250">
        <v>13</v>
      </c>
      <c r="O144" s="251" t="s">
        <v>4</v>
      </c>
      <c r="P144" s="252">
        <v>34</v>
      </c>
      <c r="Q144" s="97" t="str">
        <f t="shared" si="16"/>
        <v>Eintracht Frankfurt</v>
      </c>
      <c r="R144" s="98" t="s">
        <v>4</v>
      </c>
      <c r="S144" s="99" t="str">
        <f t="shared" si="17"/>
        <v>Tottenham Hotspur</v>
      </c>
      <c r="T144" s="168">
        <v>46050</v>
      </c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1226</v>
      </c>
      <c r="H145" s="82" t="str">
        <f t="shared" si="15"/>
        <v>2612</v>
      </c>
      <c r="I145" s="82">
        <f>IF($G145="",0,COUNTIF($G$7:$G145,$H145))</f>
        <v>0</v>
      </c>
      <c r="J145" s="82"/>
      <c r="K145" s="217" t="str">
        <f>Language!$E$85</f>
        <v>double</v>
      </c>
      <c r="L145" s="194"/>
      <c r="M145" s="91">
        <v>139</v>
      </c>
      <c r="N145" s="250">
        <v>12</v>
      </c>
      <c r="O145" s="251" t="s">
        <v>4</v>
      </c>
      <c r="P145" s="252">
        <v>26</v>
      </c>
      <c r="Q145" s="270" t="str">
        <f t="shared" si="16"/>
        <v>PSV Eindhoven</v>
      </c>
      <c r="R145" s="271" t="s">
        <v>4</v>
      </c>
      <c r="S145" s="272" t="str">
        <f t="shared" si="17"/>
        <v>Bayern München</v>
      </c>
      <c r="T145" s="168">
        <v>46050</v>
      </c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2710</v>
      </c>
      <c r="H146" s="82" t="str">
        <f t="shared" si="15"/>
        <v>1027</v>
      </c>
      <c r="I146" s="82">
        <f>IF($G146="",0,COUNTIF($G$7:$G146,$H146))</f>
        <v>0</v>
      </c>
      <c r="J146" s="82"/>
      <c r="K146" s="217" t="str">
        <f>Language!$E$85</f>
        <v>double</v>
      </c>
      <c r="L146" s="194"/>
      <c r="M146" s="91">
        <v>140</v>
      </c>
      <c r="N146" s="250">
        <v>27</v>
      </c>
      <c r="O146" s="251" t="s">
        <v>4</v>
      </c>
      <c r="P146" s="252">
        <v>10</v>
      </c>
      <c r="Q146" s="97" t="str">
        <f t="shared" si="16"/>
        <v>SSC Neapel</v>
      </c>
      <c r="R146" s="98" t="s">
        <v>4</v>
      </c>
      <c r="S146" s="99" t="str">
        <f t="shared" si="17"/>
        <v>FC Chelsea</v>
      </c>
      <c r="T146" s="168">
        <v>46050</v>
      </c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2535</v>
      </c>
      <c r="H147" s="82" t="str">
        <f t="shared" si="15"/>
        <v>3525</v>
      </c>
      <c r="I147" s="82">
        <f>IF($G147="",0,COUNTIF($G$7:$G147,$H147))</f>
        <v>0</v>
      </c>
      <c r="J147" s="82"/>
      <c r="K147" s="217" t="str">
        <f>Language!$E$85</f>
        <v>double</v>
      </c>
      <c r="L147" s="194"/>
      <c r="M147" s="91">
        <v>141</v>
      </c>
      <c r="N147" s="250">
        <v>25</v>
      </c>
      <c r="O147" s="251" t="s">
        <v>4</v>
      </c>
      <c r="P147" s="252">
        <v>35</v>
      </c>
      <c r="Q147" s="97" t="str">
        <f t="shared" si="16"/>
        <v>AS Monaco</v>
      </c>
      <c r="R147" s="98" t="s">
        <v>4</v>
      </c>
      <c r="S147" s="99" t="str">
        <f t="shared" si="17"/>
        <v>Juventus Turin</v>
      </c>
      <c r="T147" s="168">
        <v>46050</v>
      </c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3306</v>
      </c>
      <c r="H148" s="82" t="str">
        <f t="shared" si="15"/>
        <v>0633</v>
      </c>
      <c r="I148" s="82">
        <f>IF($G148="",0,COUNTIF($G$7:$G148,$H148))</f>
        <v>0</v>
      </c>
      <c r="J148" s="82"/>
      <c r="K148" s="217" t="str">
        <f>Language!$E$85</f>
        <v>double</v>
      </c>
      <c r="L148" s="194"/>
      <c r="M148" s="91">
        <v>142</v>
      </c>
      <c r="N148" s="250">
        <v>33</v>
      </c>
      <c r="O148" s="251" t="s">
        <v>4</v>
      </c>
      <c r="P148" s="252">
        <v>6</v>
      </c>
      <c r="Q148" s="97" t="str">
        <f t="shared" si="16"/>
        <v>Union Saint-Gilloise</v>
      </c>
      <c r="R148" s="98" t="s">
        <v>4</v>
      </c>
      <c r="S148" s="99" t="str">
        <f t="shared" si="17"/>
        <v>Atalanta Bergamo</v>
      </c>
      <c r="T148" s="168">
        <v>46050</v>
      </c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0718</v>
      </c>
      <c r="H149" s="82" t="str">
        <f t="shared" si="15"/>
        <v>1807</v>
      </c>
      <c r="I149" s="82">
        <f>IF($G149="",0,COUNTIF($G$7:$G149,$H149))</f>
        <v>0</v>
      </c>
      <c r="J149" s="82"/>
      <c r="K149" s="217" t="str">
        <f>Language!$E$85</f>
        <v>double</v>
      </c>
      <c r="L149" s="194"/>
      <c r="M149" s="91">
        <v>143</v>
      </c>
      <c r="N149" s="250">
        <v>7</v>
      </c>
      <c r="O149" s="251" t="s">
        <v>4</v>
      </c>
      <c r="P149" s="252">
        <v>18</v>
      </c>
      <c r="Q149" s="97" t="str">
        <f t="shared" si="16"/>
        <v>Athletic Bilbao</v>
      </c>
      <c r="R149" s="98" t="s">
        <v>4</v>
      </c>
      <c r="S149" s="99" t="str">
        <f t="shared" si="17"/>
        <v>Sporting Lissabon</v>
      </c>
      <c r="T149" s="168">
        <v>46050</v>
      </c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2932</v>
      </c>
      <c r="H150" s="82" t="str">
        <f t="shared" si="15"/>
        <v>3229</v>
      </c>
      <c r="I150" s="82">
        <f>IF($G150="",0,COUNTIF($G$7:$G150,$H150))</f>
        <v>0</v>
      </c>
      <c r="J150" s="82"/>
      <c r="K150" s="217" t="str">
        <f>Language!$E$85</f>
        <v>double</v>
      </c>
      <c r="L150" s="281"/>
      <c r="M150" s="92">
        <v>144</v>
      </c>
      <c r="N150" s="273">
        <v>29</v>
      </c>
      <c r="O150" s="274" t="s">
        <v>4</v>
      </c>
      <c r="P150" s="275">
        <v>32</v>
      </c>
      <c r="Q150" s="276" t="str">
        <f t="shared" si="16"/>
        <v>Pafos FC</v>
      </c>
      <c r="R150" s="277" t="s">
        <v>4</v>
      </c>
      <c r="S150" s="278" t="str">
        <f t="shared" si="17"/>
        <v>Salva Prag</v>
      </c>
      <c r="T150" s="279">
        <v>46050</v>
      </c>
      <c r="U150" s="170">
        <v>0.875</v>
      </c>
    </row>
    <row r="151" spans="6:21" x14ac:dyDescent="0.2"/>
    <row r="152" spans="6:21" x14ac:dyDescent="0.2"/>
    <row r="153" spans="6:21" x14ac:dyDescent="0.2"/>
  </sheetData>
  <sheetProtection sheet="1" objects="1" scenarios="1" selectLockedCells="1"/>
  <sortState ref="C7:E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>
      <selection activeCell="X1" sqref="X1:XFD1048576"/>
    </sheetView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1" t="s">
        <v>157</v>
      </c>
      <c r="P2" s="531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1</v>
      </c>
      <c r="D4" s="3">
        <f>E4+ROW()/1000</f>
        <v>1.004</v>
      </c>
      <c r="E4" s="3">
        <f>RANK(V4,V$4:V$39,1)</f>
        <v>1</v>
      </c>
      <c r="F4" s="136" t="str">
        <f>Calc2!$C4</f>
        <v>Qarabag Agdam</v>
      </c>
      <c r="G4" s="1">
        <f>SUMIFS(Calc2!$H$4:$H$147,Calc2!$F$4:$F$147,$F4)+SUMIFS(Calc2!$I$4:$I$147,Calc2!$G$4:$G$147,$F4)</f>
        <v>0</v>
      </c>
      <c r="H4" s="1">
        <f>SUMIFS(Calc2!$I$4:$I$147,Calc2!$F$4:$F$147,$F4)+SUMIFS(Calc2!$H$4:$H$147,Calc2!$G$4:$G$147,$F4)</f>
        <v>0</v>
      </c>
      <c r="I4" s="3">
        <f t="shared" ref="I4:I11" si="0">G4-H4</f>
        <v>0</v>
      </c>
      <c r="J4" s="12">
        <f>L4*3+M4+$Q4</f>
        <v>0</v>
      </c>
      <c r="K4" s="1">
        <f t="array" ref="K4">SUMPRODUCT((Calc2!$F$4:$F$147=F4)*(Calc2!$H$4:$H$147&lt;&gt;""))+SUMPRODUCT((Calc2!$G$4:$G$147=F4)*(Calc2!$I$4:$I$147&lt;&gt;""))</f>
        <v>0</v>
      </c>
      <c r="L4" s="1">
        <f t="array" ref="L4">SUMPRODUCT((Calc2!$F$4:$F$147=F4)*(Calc2!$H$4:$H$147&gt;Calc2!$I$4:$I$147))+SUMPRODUCT((Calc2!$G$4:$G$147=F4)*(Calc2!$H$4:$H$147&lt;Calc2!$I$4:$I$147))</f>
        <v>0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0</v>
      </c>
      <c r="P4" s="1">
        <f t="array" ref="P4">SUMPRODUCT((Calc2!$G$4:$G$147=F4)*(Calc2!$H$4:$H$147&lt;Calc2!$I$4:$I$147))</f>
        <v>0</v>
      </c>
      <c r="Q4" s="109">
        <f>SUMPRODUCT((F4=Calc2!$F$4:$F$147)*Calc2!$M$4:$M$147)+SUMPRODUCT((F4=Calc2!$G$4:$G$147)*Calc2!$N$4:$N$147)</f>
        <v>0</v>
      </c>
      <c r="S4" s="2" t="str">
        <f>Calc2!$C4</f>
        <v>Qarabag Agdam</v>
      </c>
      <c r="T4" s="327">
        <f>J4*Factors!$B$4+(I4+Factors!$D$5)*Factors!$B$5+G4*Factors!$B$6+O4*Factors!$B$7+L4*Factors!$B$8+P4*Factors!$B$9</f>
        <v>500000</v>
      </c>
      <c r="U4" s="7">
        <f>Tie_Break!$D6</f>
        <v>0</v>
      </c>
      <c r="V4" s="8">
        <f>RANK($T4,$T$4:$T$39)+(9-$U4)/10000+(F4="")*1000</f>
        <v>1.0008999999999999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2</v>
      </c>
      <c r="D5" s="111">
        <f t="shared" ref="D5:D34" si="2">E5+ROW()/1000</f>
        <v>1.0049999999999999</v>
      </c>
      <c r="E5" s="111">
        <f t="shared" ref="E5:E39" si="3">RANK(V5,V$4:V$39,1)</f>
        <v>1</v>
      </c>
      <c r="F5" s="136" t="str">
        <f>Calc2!$C5</f>
        <v>Qairat Almaty</v>
      </c>
      <c r="G5" s="1">
        <f>SUMIFS(Calc2!$H$4:$H$147,Calc2!$F$4:$F$147,$F5)+SUMIFS(Calc2!$I$4:$I$147,Calc2!$G$4:$G$147,$F5)</f>
        <v>0</v>
      </c>
      <c r="H5" s="1">
        <f>SUMIFS(Calc2!$I$4:$I$147,Calc2!$F$4:$F$147,$F5)+SUMIFS(Calc2!$H$4:$H$147,Calc2!$G$4:$G$147,$F5)</f>
        <v>0</v>
      </c>
      <c r="I5" s="3">
        <f t="shared" si="0"/>
        <v>0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0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0</v>
      </c>
      <c r="O5" s="1">
        <f>SUMIFS(Calc2!$I$4:$I$147,Calc2!$G$4:$G$147,$F5)</f>
        <v>0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Qairat Almaty</v>
      </c>
      <c r="T5" s="327">
        <f>J5*Factors!$B$4+(I5+Factors!$D$5)*Factors!$B$5+G5*Factors!$B$6+O5*Factors!$B$7+L5*Factors!$B$8+P5*Factors!$B$9</f>
        <v>500000</v>
      </c>
      <c r="U5" s="7">
        <f>Tie_Break!$D7</f>
        <v>0</v>
      </c>
      <c r="V5" s="9">
        <f t="shared" ref="V5:V39" si="5">RANK($T5,$T$4:$T$39)+(9-$U5)/10000+(F5="")*1000</f>
        <v>1.0008999999999999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3</v>
      </c>
      <c r="D6" s="111">
        <f t="shared" si="2"/>
        <v>1.006</v>
      </c>
      <c r="E6" s="111">
        <f t="shared" si="3"/>
        <v>1</v>
      </c>
      <c r="F6" s="136" t="str">
        <f>Calc2!$C6</f>
        <v>Ajax Amsterdam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0</v>
      </c>
      <c r="I6" s="3">
        <f t="shared" si="0"/>
        <v>0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0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0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Ajax Amsterdam</v>
      </c>
      <c r="T6" s="327">
        <f>J6*Factors!$B$4+(I6+Factors!$D$5)*Factors!$B$5+G6*Factors!$B$6+O6*Factors!$B$7+L6*Factors!$B$8+P6*Factors!$B$9</f>
        <v>500000</v>
      </c>
      <c r="U6" s="7">
        <f>Tie_Break!$D8</f>
        <v>0</v>
      </c>
      <c r="V6" s="9">
        <f t="shared" si="5"/>
        <v>1.0008999999999999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4</v>
      </c>
      <c r="D7" s="111">
        <f t="shared" si="2"/>
        <v>1.0069999999999999</v>
      </c>
      <c r="E7" s="111">
        <f t="shared" si="3"/>
        <v>1</v>
      </c>
      <c r="F7" s="136" t="str">
        <f>Calc2!$C7</f>
        <v>FC Arsenal</v>
      </c>
      <c r="G7" s="1">
        <f>SUMIFS(Calc2!$H$4:$H$147,Calc2!$F$4:$F$147,$F7)+SUMIFS(Calc2!$I$4:$I$147,Calc2!$G$4:$G$147,$F7)</f>
        <v>0</v>
      </c>
      <c r="H7" s="1">
        <f>SUMIFS(Calc2!$I$4:$I$147,Calc2!$F$4:$F$147,$F7)+SUMIFS(Calc2!$H$4:$H$147,Calc2!$G$4:$G$147,$F7)</f>
        <v>0</v>
      </c>
      <c r="I7" s="3">
        <f t="shared" si="0"/>
        <v>0</v>
      </c>
      <c r="J7" s="12">
        <f t="shared" si="4"/>
        <v>0</v>
      </c>
      <c r="K7" s="1">
        <f t="array" ref="K7">SUMPRODUCT((Calc2!$F$4:$F$147=F7)*(Calc2!$H$4:$H$147&lt;&gt;""))+SUMPRODUCT((Calc2!$G$4:$G$147=F7)*(Calc2!$I$4:$I$147&lt;&gt;""))</f>
        <v>0</v>
      </c>
      <c r="L7" s="1">
        <f t="array" ref="L7">SUMPRODUCT((Calc2!$F$4:$F$147=F7)*(Calc2!$H$4:$H$147&gt;Calc2!$I$4:$I$147))+SUMPRODUCT((Calc2!$G$4:$G$147=F7)*(Calc2!$H$4:$H$147&lt;Calc2!$I$4:$I$147))</f>
        <v>0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0</v>
      </c>
      <c r="P7" s="1">
        <f t="array" ref="P7">SUMPRODUCT((Calc2!$G$4:$G$147=F7)*(Calc2!$H$4:$H$147&lt;Calc2!$I$4:$I$147))</f>
        <v>0</v>
      </c>
      <c r="Q7" s="109">
        <f>SUMPRODUCT((F7=Calc2!$F$4:$F$147)*Calc2!$M$4:$M$147)+SUMPRODUCT((F7=Calc2!$G$4:$G$147)*Calc2!$N$4:$N$147)</f>
        <v>0</v>
      </c>
      <c r="S7" s="2" t="str">
        <f>Calc2!$C7</f>
        <v>FC Arsenal</v>
      </c>
      <c r="T7" s="327">
        <f>J7*Factors!$B$4+(I7+Factors!$D$5)*Factors!$B$5+G7*Factors!$B$6+O7*Factors!$B$7+L7*Factors!$B$8+P7*Factors!$B$9</f>
        <v>500000</v>
      </c>
      <c r="U7" s="7">
        <f>Tie_Break!$D9</f>
        <v>0</v>
      </c>
      <c r="V7" s="9">
        <f t="shared" si="5"/>
        <v>1.0008999999999999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5</v>
      </c>
      <c r="D8" s="111">
        <f t="shared" si="2"/>
        <v>1.008</v>
      </c>
      <c r="E8" s="111">
        <f t="shared" si="3"/>
        <v>1</v>
      </c>
      <c r="F8" s="136" t="str">
        <f>Calc2!$C8</f>
        <v>FC Barcelona</v>
      </c>
      <c r="G8" s="1">
        <f>SUMIFS(Calc2!$H$4:$H$147,Calc2!$F$4:$F$147,$F8)+SUMIFS(Calc2!$I$4:$I$147,Calc2!$G$4:$G$147,$F8)</f>
        <v>0</v>
      </c>
      <c r="H8" s="1">
        <f>SUMIFS(Calc2!$I$4:$I$147,Calc2!$F$4:$F$147,$F8)+SUMIFS(Calc2!$H$4:$H$147,Calc2!$G$4:$G$147,$F8)</f>
        <v>0</v>
      </c>
      <c r="I8" s="3">
        <f t="shared" si="0"/>
        <v>0</v>
      </c>
      <c r="J8" s="12">
        <f t="shared" si="4"/>
        <v>0</v>
      </c>
      <c r="K8" s="1">
        <f t="array" ref="K8">SUMPRODUCT((Calc2!$F$4:$F$147=F8)*(Calc2!$H$4:$H$147&lt;&gt;""))+SUMPRODUCT((Calc2!$G$4:$G$147=F8)*(Calc2!$I$4:$I$147&lt;&gt;""))</f>
        <v>0</v>
      </c>
      <c r="L8" s="1">
        <f t="array" ref="L8">SUMPRODUCT((Calc2!$F$4:$F$147=F8)*(Calc2!$H$4:$H$147&gt;Calc2!$I$4:$I$147))+SUMPRODUCT((Calc2!$G$4:$G$147=F8)*(Calc2!$H$4:$H$147&lt;Calc2!$I$4:$I$147))</f>
        <v>0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0</v>
      </c>
      <c r="O8" s="1">
        <f>SUMIFS(Calc2!$I$4:$I$147,Calc2!$G$4:$G$147,$F8)</f>
        <v>0</v>
      </c>
      <c r="P8" s="1">
        <f t="array" ref="P8">SUMPRODUCT((Calc2!$G$4:$G$147=F8)*(Calc2!$H$4:$H$147&lt;Calc2!$I$4:$I$147))</f>
        <v>0</v>
      </c>
      <c r="Q8" s="109">
        <f>SUMPRODUCT((F8=Calc2!$F$4:$F$147)*Calc2!$M$4:$M$147)+SUMPRODUCT((F8=Calc2!$G$4:$G$147)*Calc2!$N$4:$N$147)</f>
        <v>0</v>
      </c>
      <c r="S8" s="2" t="str">
        <f>Calc2!$C8</f>
        <v>FC Barcelona</v>
      </c>
      <c r="T8" s="327">
        <f>J8*Factors!$B$4+(I8+Factors!$D$5)*Factors!$B$5+G8*Factors!$B$6+O8*Factors!$B$7+L8*Factors!$B$8+P8*Factors!$B$9</f>
        <v>500000</v>
      </c>
      <c r="U8" s="7">
        <f>Tie_Break!$D10</f>
        <v>0</v>
      </c>
      <c r="V8" s="9">
        <f t="shared" si="5"/>
        <v>1.0008999999999999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6</v>
      </c>
      <c r="D9" s="111">
        <f t="shared" si="2"/>
        <v>1.0089999999999999</v>
      </c>
      <c r="E9" s="111">
        <f t="shared" si="3"/>
        <v>1</v>
      </c>
      <c r="F9" s="136" t="str">
        <f>Calc2!$C9</f>
        <v>Atalanta Bergamo</v>
      </c>
      <c r="G9" s="1">
        <f>SUMIFS(Calc2!$H$4:$H$147,Calc2!$F$4:$F$147,$F9)+SUMIFS(Calc2!$I$4:$I$147,Calc2!$G$4:$G$147,$F9)</f>
        <v>0</v>
      </c>
      <c r="H9" s="1">
        <f>SUMIFS(Calc2!$I$4:$I$147,Calc2!$F$4:$F$147,$F9)+SUMIFS(Calc2!$H$4:$H$147,Calc2!$G$4:$G$147,$F9)</f>
        <v>0</v>
      </c>
      <c r="I9" s="3">
        <f t="shared" si="0"/>
        <v>0</v>
      </c>
      <c r="J9" s="12">
        <f t="shared" si="4"/>
        <v>0</v>
      </c>
      <c r="K9" s="1">
        <f t="array" ref="K9">SUMPRODUCT((Calc2!$F$4:$F$147=F9)*(Calc2!$H$4:$H$147&lt;&gt;""))+SUMPRODUCT((Calc2!$G$4:$G$147=F9)*(Calc2!$I$4:$I$147&lt;&gt;""))</f>
        <v>0</v>
      </c>
      <c r="L9" s="1">
        <f t="array" ref="L9">SUMPRODUCT((Calc2!$F$4:$F$147=F9)*(Calc2!$H$4:$H$147&gt;Calc2!$I$4:$I$147))+SUMPRODUCT((Calc2!$G$4:$G$147=F9)*(Calc2!$H$4:$H$147&lt;Calc2!$I$4:$I$147))</f>
        <v>0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0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Atalanta Bergamo</v>
      </c>
      <c r="T9" s="327">
        <f>J9*Factors!$B$4+(I9+Factors!$D$5)*Factors!$B$5+G9*Factors!$B$6+O9*Factors!$B$7+L9*Factors!$B$8+P9*Factors!$B$9</f>
        <v>500000</v>
      </c>
      <c r="U9" s="7">
        <f>Tie_Break!$D11</f>
        <v>0</v>
      </c>
      <c r="V9" s="9">
        <f t="shared" si="5"/>
        <v>1.0008999999999999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7</v>
      </c>
      <c r="D10" s="111">
        <f t="shared" si="2"/>
        <v>1.01</v>
      </c>
      <c r="E10" s="111">
        <f t="shared" si="3"/>
        <v>1</v>
      </c>
      <c r="F10" s="136" t="str">
        <f>Calc2!$C10</f>
        <v>Athletic Bilbao</v>
      </c>
      <c r="G10" s="1">
        <f>SUMIFS(Calc2!$H$4:$H$147,Calc2!$F$4:$F$147,$F10)+SUMIFS(Calc2!$I$4:$I$147,Calc2!$G$4:$G$147,$F10)</f>
        <v>0</v>
      </c>
      <c r="H10" s="1">
        <f>SUMIFS(Calc2!$I$4:$I$147,Calc2!$F$4:$F$147,$F10)+SUMIFS(Calc2!$H$4:$H$147,Calc2!$G$4:$G$147,$F10)</f>
        <v>0</v>
      </c>
      <c r="I10" s="3">
        <f t="shared" si="0"/>
        <v>0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0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0</v>
      </c>
      <c r="O10" s="1">
        <f>SUMIFS(Calc2!$I$4:$I$147,Calc2!$G$4:$G$147,$F10)</f>
        <v>0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Athletic Bilbao</v>
      </c>
      <c r="T10" s="327">
        <f>J10*Factors!$B$4+(I10+Factors!$D$5)*Factors!$B$5+G10*Factors!$B$6+O10*Factors!$B$7+L10*Factors!$B$8+P10*Factors!$B$9</f>
        <v>500000</v>
      </c>
      <c r="U10" s="7">
        <f>Tie_Break!$D12</f>
        <v>0</v>
      </c>
      <c r="V10" s="9">
        <f t="shared" si="5"/>
        <v>1.0008999999999999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8</v>
      </c>
      <c r="D11" s="111">
        <f t="shared" si="2"/>
        <v>1.0109999999999999</v>
      </c>
      <c r="E11" s="111">
        <f t="shared" si="3"/>
        <v>1</v>
      </c>
      <c r="F11" s="136" t="str">
        <f>Calc2!$C11</f>
        <v>FK Bodö/Glimt</v>
      </c>
      <c r="G11" s="1">
        <f>SUMIFS(Calc2!$H$4:$H$147,Calc2!$F$4:$F$147,$F11)+SUMIFS(Calc2!$I$4:$I$147,Calc2!$G$4:$G$147,$F11)</f>
        <v>0</v>
      </c>
      <c r="H11" s="1">
        <f>SUMIFS(Calc2!$I$4:$I$147,Calc2!$F$4:$F$147,$F11)+SUMIFS(Calc2!$H$4:$H$147,Calc2!$G$4:$G$147,$F11)</f>
        <v>0</v>
      </c>
      <c r="I11" s="3">
        <f t="shared" si="0"/>
        <v>0</v>
      </c>
      <c r="J11" s="12">
        <f t="shared" si="4"/>
        <v>0</v>
      </c>
      <c r="K11" s="1">
        <f t="array" ref="K11">SUMPRODUCT((Calc2!$F$4:$F$147=F11)*(Calc2!$H$4:$H$147&lt;&gt;""))+SUMPRODUCT((Calc2!$G$4:$G$147=F11)*(Calc2!$I$4:$I$147&lt;&gt;""))</f>
        <v>0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0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0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FK Bodö/Glimt</v>
      </c>
      <c r="T11" s="327">
        <f>J11*Factors!$B$4+(I11+Factors!$D$5)*Factors!$B$5+G11*Factors!$B$6+O11*Factors!$B$7+L11*Factors!$B$8+P11*Factors!$B$9</f>
        <v>500000</v>
      </c>
      <c r="U11" s="7">
        <f>Tie_Break!$D13</f>
        <v>0</v>
      </c>
      <c r="V11" s="9">
        <f t="shared" si="5"/>
        <v>1.0008999999999999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9</v>
      </c>
      <c r="D12" s="111">
        <f t="shared" si="2"/>
        <v>1.012</v>
      </c>
      <c r="E12" s="111">
        <f t="shared" si="3"/>
        <v>1</v>
      </c>
      <c r="F12" s="136" t="str">
        <f>Calc2!$C12</f>
        <v>Club Brügge</v>
      </c>
      <c r="G12" s="1">
        <f>SUMIFS(Calc2!$H$4:$H$147,Calc2!$F$4:$F$147,$F12)+SUMIFS(Calc2!$I$4:$I$147,Calc2!$G$4:$G$147,$F12)</f>
        <v>0</v>
      </c>
      <c r="H12" s="1">
        <f>SUMIFS(Calc2!$I$4:$I$147,Calc2!$F$4:$F$147,$F12)+SUMIFS(Calc2!$H$4:$H$147,Calc2!$G$4:$G$147,$F12)</f>
        <v>0</v>
      </c>
      <c r="I12" s="111">
        <f t="shared" ref="I12:I22" si="6">G12-H12</f>
        <v>0</v>
      </c>
      <c r="J12" s="12">
        <f t="shared" si="4"/>
        <v>0</v>
      </c>
      <c r="K12" s="1">
        <f t="array" ref="K12">SUMPRODUCT((Calc2!$F$4:$F$147=F12)*(Calc2!$H$4:$H$147&lt;&gt;""))+SUMPRODUCT((Calc2!$G$4:$G$147=F12)*(Calc2!$I$4:$I$147&lt;&gt;""))</f>
        <v>0</v>
      </c>
      <c r="L12" s="1">
        <f t="array" ref="L12">SUMPRODUCT((Calc2!$F$4:$F$147=F12)*(Calc2!$H$4:$H$147&gt;Calc2!$I$4:$I$147))+SUMPRODUCT((Calc2!$G$4:$G$147=F12)*(Calc2!$H$4:$H$147&lt;Calc2!$I$4:$I$147))</f>
        <v>0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0</v>
      </c>
      <c r="O12" s="1">
        <f>SUMIFS(Calc2!$I$4:$I$147,Calc2!$G$4:$G$147,$F12)</f>
        <v>0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Club Brügge</v>
      </c>
      <c r="T12" s="327">
        <f>J12*Factors!$B$4+(I12+Factors!$D$5)*Factors!$B$5+G12*Factors!$B$6+O12*Factors!$B$7+L12*Factors!$B$8+P12*Factors!$B$9</f>
        <v>500000</v>
      </c>
      <c r="U12" s="111">
        <f>Tie_Break!$D14</f>
        <v>0</v>
      </c>
      <c r="V12" s="9">
        <f t="shared" si="5"/>
        <v>1.0008999999999999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10</v>
      </c>
      <c r="D13" s="111">
        <f t="shared" si="2"/>
        <v>1.0129999999999999</v>
      </c>
      <c r="E13" s="111">
        <f t="shared" si="3"/>
        <v>1</v>
      </c>
      <c r="F13" s="136" t="str">
        <f>Calc2!$C13</f>
        <v>FC Chelsea</v>
      </c>
      <c r="G13" s="1">
        <f>SUMIFS(Calc2!$H$4:$H$147,Calc2!$F$4:$F$147,$F13)+SUMIFS(Calc2!$I$4:$I$147,Calc2!$G$4:$G$147,$F13)</f>
        <v>0</v>
      </c>
      <c r="H13" s="1">
        <f>SUMIFS(Calc2!$I$4:$I$147,Calc2!$F$4:$F$147,$F13)+SUMIFS(Calc2!$H$4:$H$147,Calc2!$G$4:$G$147,$F13)</f>
        <v>0</v>
      </c>
      <c r="I13" s="111">
        <f t="shared" si="6"/>
        <v>0</v>
      </c>
      <c r="J13" s="12">
        <f t="shared" si="4"/>
        <v>0</v>
      </c>
      <c r="K13" s="1">
        <f t="array" ref="K13">SUMPRODUCT((Calc2!$F$4:$F$147=F13)*(Calc2!$H$4:$H$147&lt;&gt;""))+SUMPRODUCT((Calc2!$G$4:$G$147=F13)*(Calc2!$I$4:$I$147&lt;&gt;""))</f>
        <v>0</v>
      </c>
      <c r="L13" s="1">
        <f t="array" ref="L13">SUMPRODUCT((Calc2!$F$4:$F$147=F13)*(Calc2!$H$4:$H$147&gt;Calc2!$I$4:$I$147))+SUMPRODUCT((Calc2!$G$4:$G$147=F13)*(Calc2!$H$4:$H$147&lt;Calc2!$I$4:$I$147))</f>
        <v>0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0</v>
      </c>
      <c r="O13" s="1">
        <f>SUMIFS(Calc2!$I$4:$I$147,Calc2!$G$4:$G$147,$F13)</f>
        <v>0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FC Chelsea</v>
      </c>
      <c r="T13" s="327">
        <f>J13*Factors!$B$4+(I13+Factors!$D$5)*Factors!$B$5+G13*Factors!$B$6+O13*Factors!$B$7+L13*Factors!$B$8+P13*Factors!$B$9</f>
        <v>500000</v>
      </c>
      <c r="U13" s="111">
        <f>Tie_Break!$D15</f>
        <v>0</v>
      </c>
      <c r="V13" s="9">
        <f t="shared" si="5"/>
        <v>1.0008999999999999</v>
      </c>
      <c r="X13" s="111"/>
    </row>
    <row r="14" spans="2:25" s="2" customFormat="1" x14ac:dyDescent="0.2">
      <c r="B14" s="1">
        <v>11</v>
      </c>
      <c r="C14" s="9">
        <f t="shared" si="1"/>
        <v>11</v>
      </c>
      <c r="D14" s="111">
        <f t="shared" si="2"/>
        <v>1.014</v>
      </c>
      <c r="E14" s="111">
        <f t="shared" si="3"/>
        <v>1</v>
      </c>
      <c r="F14" s="136" t="str">
        <f>Calc2!$C14</f>
        <v>Borussia Dortmund</v>
      </c>
      <c r="G14" s="1">
        <f>SUMIFS(Calc2!$H$4:$H$147,Calc2!$F$4:$F$147,$F14)+SUMIFS(Calc2!$I$4:$I$147,Calc2!$G$4:$G$147,$F14)</f>
        <v>0</v>
      </c>
      <c r="H14" s="1">
        <f>SUMIFS(Calc2!$I$4:$I$147,Calc2!$F$4:$F$147,$F14)+SUMIFS(Calc2!$H$4:$H$147,Calc2!$G$4:$G$147,$F14)</f>
        <v>0</v>
      </c>
      <c r="I14" s="111">
        <f t="shared" si="6"/>
        <v>0</v>
      </c>
      <c r="J14" s="12">
        <f t="shared" si="4"/>
        <v>0</v>
      </c>
      <c r="K14" s="1">
        <f t="array" ref="K14">SUMPRODUCT((Calc2!$F$4:$F$147=F14)*(Calc2!$H$4:$H$147&lt;&gt;""))+SUMPRODUCT((Calc2!$G$4:$G$147=F14)*(Calc2!$I$4:$I$147&lt;&gt;""))</f>
        <v>0</v>
      </c>
      <c r="L14" s="1">
        <f t="array" ref="L14">SUMPRODUCT((Calc2!$F$4:$F$147=F14)*(Calc2!$H$4:$H$147&gt;Calc2!$I$4:$I$147))+SUMPRODUCT((Calc2!$G$4:$G$147=F14)*(Calc2!$H$4:$H$147&lt;Calc2!$I$4:$I$147))</f>
        <v>0</v>
      </c>
      <c r="M14" s="1">
        <f t="array" ref="M14">SUMPRODUCT((Calc2!$F$4:$G$147=F14)*(Calc2!$H$4:$H$147=Calc2!$I$4:$I$147)*(Calc2!$H$4:$H$147&lt;&gt;"")*(Calc2!$I$4:$I$147&lt;&gt;""))</f>
        <v>0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0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Borussia Dortmund</v>
      </c>
      <c r="T14" s="327">
        <f>J14*Factors!$B$4+(I14+Factors!$D$5)*Factors!$B$5+G14*Factors!$B$6+O14*Factors!$B$7+L14*Factors!$B$8+P14*Factors!$B$9</f>
        <v>500000</v>
      </c>
      <c r="U14" s="111">
        <f>Tie_Break!$D16</f>
        <v>0</v>
      </c>
      <c r="V14" s="9">
        <f t="shared" si="5"/>
        <v>1.0008999999999999</v>
      </c>
      <c r="X14" s="111"/>
    </row>
    <row r="15" spans="2:25" s="2" customFormat="1" x14ac:dyDescent="0.2">
      <c r="B15" s="1">
        <v>12</v>
      </c>
      <c r="C15" s="9">
        <f t="shared" si="1"/>
        <v>12</v>
      </c>
      <c r="D15" s="111">
        <f t="shared" si="2"/>
        <v>1.0149999999999999</v>
      </c>
      <c r="E15" s="111">
        <f t="shared" si="3"/>
        <v>1</v>
      </c>
      <c r="F15" s="136" t="str">
        <f>Calc2!$C15</f>
        <v>PSV Eindhoven</v>
      </c>
      <c r="G15" s="1">
        <f>SUMIFS(Calc2!$H$4:$H$147,Calc2!$F$4:$F$147,$F15)+SUMIFS(Calc2!$I$4:$I$147,Calc2!$G$4:$G$147,$F15)</f>
        <v>0</v>
      </c>
      <c r="H15" s="1">
        <f>SUMIFS(Calc2!$I$4:$I$147,Calc2!$F$4:$F$147,$F15)+SUMIFS(Calc2!$H$4:$H$147,Calc2!$G$4:$G$147,$F15)</f>
        <v>0</v>
      </c>
      <c r="I15" s="111">
        <f t="shared" si="6"/>
        <v>0</v>
      </c>
      <c r="J15" s="12">
        <f t="shared" si="4"/>
        <v>0</v>
      </c>
      <c r="K15" s="1">
        <f t="array" ref="K15">SUMPRODUCT((Calc2!$F$4:$F$147=F15)*(Calc2!$H$4:$H$147&lt;&gt;""))+SUMPRODUCT((Calc2!$G$4:$G$147=F15)*(Calc2!$I$4:$I$147&lt;&gt;""))</f>
        <v>0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0</v>
      </c>
      <c r="N15" s="1">
        <f t="array" ref="N15">SUMPRODUCT((Calc2!$F$4:$F$147=F15)*(Calc2!$H$4:$H$147&lt;Calc2!$I$4:$I$147))+SUMPRODUCT((Calc2!$G$4:$G$147=F15)*(Calc2!$H$4:$H$147&gt;Calc2!$I$4:$I$147))</f>
        <v>0</v>
      </c>
      <c r="O15" s="1">
        <f>SUMIFS(Calc2!$I$4:$I$147,Calc2!$G$4:$G$147,$F15)</f>
        <v>0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PSV Eindhoven</v>
      </c>
      <c r="T15" s="327">
        <f>J15*Factors!$B$4+(I15+Factors!$D$5)*Factors!$B$5+G15*Factors!$B$6+O15*Factors!$B$7+L15*Factors!$B$8+P15*Factors!$B$9</f>
        <v>500000</v>
      </c>
      <c r="U15" s="111">
        <f>Tie_Break!$D17</f>
        <v>0</v>
      </c>
      <c r="V15" s="9">
        <f t="shared" si="5"/>
        <v>1.0008999999999999</v>
      </c>
      <c r="X15" s="111"/>
    </row>
    <row r="16" spans="2:25" s="2" customFormat="1" x14ac:dyDescent="0.2">
      <c r="B16" s="1">
        <v>13</v>
      </c>
      <c r="C16" s="9">
        <f t="shared" si="1"/>
        <v>13</v>
      </c>
      <c r="D16" s="111">
        <f t="shared" si="2"/>
        <v>1.016</v>
      </c>
      <c r="E16" s="111">
        <f t="shared" si="3"/>
        <v>1</v>
      </c>
      <c r="F16" s="136" t="str">
        <f>Calc2!$C16</f>
        <v>Eintracht Frankfurt</v>
      </c>
      <c r="G16" s="1">
        <f>SUMIFS(Calc2!$H$4:$H$147,Calc2!$F$4:$F$147,$F16)+SUMIFS(Calc2!$I$4:$I$147,Calc2!$G$4:$G$147,$F16)</f>
        <v>0</v>
      </c>
      <c r="H16" s="1">
        <f>SUMIFS(Calc2!$I$4:$I$147,Calc2!$F$4:$F$147,$F16)+SUMIFS(Calc2!$H$4:$H$147,Calc2!$G$4:$G$147,$F16)</f>
        <v>0</v>
      </c>
      <c r="I16" s="111">
        <f t="shared" si="6"/>
        <v>0</v>
      </c>
      <c r="J16" s="12">
        <f t="shared" si="4"/>
        <v>0</v>
      </c>
      <c r="K16" s="1">
        <f t="array" ref="K16">SUMPRODUCT((Calc2!$F$4:$F$147=F16)*(Calc2!$H$4:$H$147&lt;&gt;""))+SUMPRODUCT((Calc2!$G$4:$G$147=F16)*(Calc2!$I$4:$I$147&lt;&gt;""))</f>
        <v>0</v>
      </c>
      <c r="L16" s="1">
        <f t="array" ref="L16">SUMPRODUCT((Calc2!$F$4:$F$147=F16)*(Calc2!$H$4:$H$147&gt;Calc2!$I$4:$I$147))+SUMPRODUCT((Calc2!$G$4:$G$147=F16)*(Calc2!$H$4:$H$147&lt;Calc2!$I$4:$I$147))</f>
        <v>0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0</v>
      </c>
      <c r="O16" s="1">
        <f>SUMIFS(Calc2!$I$4:$I$147,Calc2!$G$4:$G$147,$F16)</f>
        <v>0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Eintracht Frankfurt</v>
      </c>
      <c r="T16" s="327">
        <f>J16*Factors!$B$4+(I16+Factors!$D$5)*Factors!$B$5+G16*Factors!$B$6+O16*Factors!$B$7+L16*Factors!$B$8+P16*Factors!$B$9</f>
        <v>500000</v>
      </c>
      <c r="U16" s="111">
        <f>Tie_Break!$D18</f>
        <v>0</v>
      </c>
      <c r="V16" s="9">
        <f t="shared" si="5"/>
        <v>1.0008999999999999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14</v>
      </c>
      <c r="D17" s="111">
        <f t="shared" si="2"/>
        <v>1.0169999999999999</v>
      </c>
      <c r="E17" s="111">
        <f t="shared" si="3"/>
        <v>1</v>
      </c>
      <c r="F17" s="136" t="str">
        <f>Calc2!$C17</f>
        <v>Galatasaray SK</v>
      </c>
      <c r="G17" s="1">
        <f>SUMIFS(Calc2!$H$4:$H$147,Calc2!$F$4:$F$147,$F17)+SUMIFS(Calc2!$I$4:$I$147,Calc2!$G$4:$G$147,$F17)</f>
        <v>0</v>
      </c>
      <c r="H17" s="1">
        <f>SUMIFS(Calc2!$I$4:$I$147,Calc2!$F$4:$F$147,$F17)+SUMIFS(Calc2!$H$4:$H$147,Calc2!$G$4:$G$147,$F17)</f>
        <v>0</v>
      </c>
      <c r="I17" s="111">
        <f t="shared" si="6"/>
        <v>0</v>
      </c>
      <c r="J17" s="12">
        <f t="shared" si="4"/>
        <v>0</v>
      </c>
      <c r="K17" s="1">
        <f t="array" ref="K17">SUMPRODUCT((Calc2!$F$4:$F$147=F17)*(Calc2!$H$4:$H$147&lt;&gt;""))+SUMPRODUCT((Calc2!$G$4:$G$147=F17)*(Calc2!$I$4:$I$147&lt;&gt;""))</f>
        <v>0</v>
      </c>
      <c r="L17" s="1">
        <f t="array" ref="L17">SUMPRODUCT((Calc2!$F$4:$F$147=F17)*(Calc2!$H$4:$H$147&gt;Calc2!$I$4:$I$147))+SUMPRODUCT((Calc2!$G$4:$G$147=F17)*(Calc2!$H$4:$H$147&lt;Calc2!$I$4:$I$147))</f>
        <v>0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0</v>
      </c>
      <c r="O17" s="1">
        <f>SUMIFS(Calc2!$I$4:$I$147,Calc2!$G$4:$G$147,$F17)</f>
        <v>0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Galatasaray SK</v>
      </c>
      <c r="T17" s="327">
        <f>J17*Factors!$B$4+(I17+Factors!$D$5)*Factors!$B$5+G17*Factors!$B$6+O17*Factors!$B$7+L17*Factors!$B$8+P17*Factors!$B$9</f>
        <v>500000</v>
      </c>
      <c r="U17" s="111">
        <f>Tie_Break!$D19</f>
        <v>0</v>
      </c>
      <c r="V17" s="9">
        <f t="shared" si="5"/>
        <v>1.0008999999999999</v>
      </c>
      <c r="X17" s="111"/>
    </row>
    <row r="18" spans="2:24" s="2" customFormat="1" x14ac:dyDescent="0.2">
      <c r="B18" s="1">
        <v>15</v>
      </c>
      <c r="C18" s="9">
        <f t="shared" si="1"/>
        <v>15</v>
      </c>
      <c r="D18" s="111">
        <f t="shared" si="2"/>
        <v>1.018</v>
      </c>
      <c r="E18" s="111">
        <f t="shared" si="3"/>
        <v>1</v>
      </c>
      <c r="F18" s="136" t="str">
        <f>Calc2!$C18</f>
        <v>FC Kopenhagen</v>
      </c>
      <c r="G18" s="1">
        <f>SUMIFS(Calc2!$H$4:$H$147,Calc2!$F$4:$F$147,$F18)+SUMIFS(Calc2!$I$4:$I$147,Calc2!$G$4:$G$147,$F18)</f>
        <v>0</v>
      </c>
      <c r="H18" s="1">
        <f>SUMIFS(Calc2!$I$4:$I$147,Calc2!$F$4:$F$147,$F18)+SUMIFS(Calc2!$H$4:$H$147,Calc2!$G$4:$G$147,$F18)</f>
        <v>0</v>
      </c>
      <c r="I18" s="111">
        <f t="shared" si="6"/>
        <v>0</v>
      </c>
      <c r="J18" s="12">
        <f t="shared" si="4"/>
        <v>0</v>
      </c>
      <c r="K18" s="1">
        <f t="array" ref="K18">SUMPRODUCT((Calc2!$F$4:$F$147=F18)*(Calc2!$H$4:$H$147&lt;&gt;""))+SUMPRODUCT((Calc2!$G$4:$G$147=F18)*(Calc2!$I$4:$I$147&lt;&gt;""))</f>
        <v>0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0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Kopenhagen</v>
      </c>
      <c r="T18" s="327">
        <f>J18*Factors!$B$4+(I18+Factors!$D$5)*Factors!$B$5+G18*Factors!$B$6+O18*Factors!$B$7+L18*Factors!$B$8+P18*Factors!$B$9</f>
        <v>500000</v>
      </c>
      <c r="U18" s="111">
        <f>Tie_Break!$D20</f>
        <v>0</v>
      </c>
      <c r="V18" s="9">
        <f t="shared" si="5"/>
        <v>1.0008999999999999</v>
      </c>
      <c r="X18" s="111"/>
    </row>
    <row r="19" spans="2:24" s="2" customFormat="1" x14ac:dyDescent="0.2">
      <c r="B19" s="1">
        <v>16</v>
      </c>
      <c r="C19" s="9">
        <f t="shared" si="1"/>
        <v>16</v>
      </c>
      <c r="D19" s="111">
        <f t="shared" si="2"/>
        <v>1.0189999999999999</v>
      </c>
      <c r="E19" s="111">
        <f t="shared" si="3"/>
        <v>1</v>
      </c>
      <c r="F19" s="136" t="str">
        <f>Calc2!$C19</f>
        <v>Bayer 04 Leverkusen</v>
      </c>
      <c r="G19" s="1">
        <f>SUMIFS(Calc2!$H$4:$H$147,Calc2!$F$4:$F$147,$F19)+SUMIFS(Calc2!$I$4:$I$147,Calc2!$G$4:$G$147,$F19)</f>
        <v>0</v>
      </c>
      <c r="H19" s="1">
        <f>SUMIFS(Calc2!$I$4:$I$147,Calc2!$F$4:$F$147,$F19)+SUMIFS(Calc2!$H$4:$H$147,Calc2!$G$4:$G$147,$F19)</f>
        <v>0</v>
      </c>
      <c r="I19" s="111">
        <f t="shared" si="6"/>
        <v>0</v>
      </c>
      <c r="J19" s="12">
        <f t="shared" si="4"/>
        <v>0</v>
      </c>
      <c r="K19" s="1">
        <f t="array" ref="K19">SUMPRODUCT((Calc2!$F$4:$F$147=F19)*(Calc2!$H$4:$H$147&lt;&gt;""))+SUMPRODUCT((Calc2!$G$4:$G$147=F19)*(Calc2!$I$4:$I$147&lt;&gt;""))</f>
        <v>0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0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0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Bayer 04 Leverkusen</v>
      </c>
      <c r="T19" s="327">
        <f>J19*Factors!$B$4+(I19+Factors!$D$5)*Factors!$B$5+G19*Factors!$B$6+O19*Factors!$B$7+L19*Factors!$B$8+P19*Factors!$B$9</f>
        <v>500000</v>
      </c>
      <c r="U19" s="111">
        <f>Tie_Break!$D21</f>
        <v>0</v>
      </c>
      <c r="V19" s="9">
        <f t="shared" si="5"/>
        <v>1.0008999999999999</v>
      </c>
      <c r="X19" s="111"/>
    </row>
    <row r="20" spans="2:24" s="2" customFormat="1" x14ac:dyDescent="0.2">
      <c r="B20" s="1">
        <v>17</v>
      </c>
      <c r="C20" s="9">
        <f t="shared" si="1"/>
        <v>17</v>
      </c>
      <c r="D20" s="111">
        <f t="shared" si="2"/>
        <v>1.02</v>
      </c>
      <c r="E20" s="111">
        <f t="shared" si="3"/>
        <v>1</v>
      </c>
      <c r="F20" s="136" t="str">
        <f>Calc2!$C20</f>
        <v>Benfica Lissabon</v>
      </c>
      <c r="G20" s="1">
        <f>SUMIFS(Calc2!$H$4:$H$147,Calc2!$F$4:$F$147,$F20)+SUMIFS(Calc2!$I$4:$I$147,Calc2!$G$4:$G$147,$F20)</f>
        <v>0</v>
      </c>
      <c r="H20" s="1">
        <f>SUMIFS(Calc2!$I$4:$I$147,Calc2!$F$4:$F$147,$F20)+SUMIFS(Calc2!$H$4:$H$147,Calc2!$G$4:$G$147,$F20)</f>
        <v>0</v>
      </c>
      <c r="I20" s="111">
        <f t="shared" si="6"/>
        <v>0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0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0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Benfica Lissabon</v>
      </c>
      <c r="T20" s="327">
        <f>J20*Factors!$B$4+(I20+Factors!$D$5)*Factors!$B$5+G20*Factors!$B$6+O20*Factors!$B$7+L20*Factors!$B$8+P20*Factors!$B$9</f>
        <v>500000</v>
      </c>
      <c r="U20" s="111">
        <f>Tie_Break!$D22</f>
        <v>0</v>
      </c>
      <c r="V20" s="9">
        <f t="shared" si="5"/>
        <v>1.0008999999999999</v>
      </c>
      <c r="X20" s="111"/>
    </row>
    <row r="21" spans="2:24" s="2" customFormat="1" x14ac:dyDescent="0.2">
      <c r="B21" s="1">
        <v>18</v>
      </c>
      <c r="C21" s="9">
        <f t="shared" si="1"/>
        <v>18</v>
      </c>
      <c r="D21" s="111">
        <f t="shared" si="2"/>
        <v>1.0209999999999999</v>
      </c>
      <c r="E21" s="111">
        <f t="shared" si="3"/>
        <v>1</v>
      </c>
      <c r="F21" s="136" t="str">
        <f>Calc2!$C21</f>
        <v>Sporting Lissabon</v>
      </c>
      <c r="G21" s="1">
        <f>SUMIFS(Calc2!$H$4:$H$147,Calc2!$F$4:$F$147,$F21)+SUMIFS(Calc2!$I$4:$I$147,Calc2!$G$4:$G$147,$F21)</f>
        <v>0</v>
      </c>
      <c r="H21" s="1">
        <f>SUMIFS(Calc2!$I$4:$I$147,Calc2!$F$4:$F$147,$F21)+SUMIFS(Calc2!$H$4:$H$147,Calc2!$G$4:$G$147,$F21)</f>
        <v>0</v>
      </c>
      <c r="I21" s="111">
        <f t="shared" si="6"/>
        <v>0</v>
      </c>
      <c r="J21" s="12">
        <f t="shared" si="4"/>
        <v>0</v>
      </c>
      <c r="K21" s="1">
        <f t="array" ref="K21">SUMPRODUCT((Calc2!$F$4:$F$147=F21)*(Calc2!$H$4:$H$147&lt;&gt;""))+SUMPRODUCT((Calc2!$G$4:$G$147=F21)*(Calc2!$I$4:$I$147&lt;&gt;""))</f>
        <v>0</v>
      </c>
      <c r="L21" s="1">
        <f t="array" ref="L21">SUMPRODUCT((Calc2!$F$4:$F$147=F21)*(Calc2!$H$4:$H$147&gt;Calc2!$I$4:$I$147))+SUMPRODUCT((Calc2!$G$4:$G$147=F21)*(Calc2!$H$4:$H$147&lt;Calc2!$I$4:$I$147))</f>
        <v>0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0</v>
      </c>
      <c r="O21" s="1">
        <f>SUMIFS(Calc2!$I$4:$I$147,Calc2!$G$4:$G$147,$F21)</f>
        <v>0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Sporting Lissabon</v>
      </c>
      <c r="T21" s="327">
        <f>J21*Factors!$B$4+(I21+Factors!$D$5)*Factors!$B$5+G21*Factors!$B$6+O21*Factors!$B$7+L21*Factors!$B$8+P21*Factors!$B$9</f>
        <v>500000</v>
      </c>
      <c r="U21" s="111">
        <f>Tie_Break!$D23</f>
        <v>0</v>
      </c>
      <c r="V21" s="9">
        <f t="shared" si="5"/>
        <v>1.0008999999999999</v>
      </c>
      <c r="X21" s="111"/>
    </row>
    <row r="22" spans="2:24" s="2" customFormat="1" x14ac:dyDescent="0.2">
      <c r="B22" s="1">
        <v>19</v>
      </c>
      <c r="C22" s="9">
        <f t="shared" si="1"/>
        <v>19</v>
      </c>
      <c r="D22" s="111">
        <f t="shared" si="2"/>
        <v>1.022</v>
      </c>
      <c r="E22" s="111">
        <f t="shared" si="3"/>
        <v>1</v>
      </c>
      <c r="F22" s="136" t="str">
        <f>Calc2!$C22</f>
        <v>FC Liverpool</v>
      </c>
      <c r="G22" s="1">
        <f>SUMIFS(Calc2!$H$4:$H$147,Calc2!$F$4:$F$147,$F22)+SUMIFS(Calc2!$I$4:$I$147,Calc2!$G$4:$G$147,$F22)</f>
        <v>0</v>
      </c>
      <c r="H22" s="1">
        <f>SUMIFS(Calc2!$I$4:$I$147,Calc2!$F$4:$F$147,$F22)+SUMIFS(Calc2!$H$4:$H$147,Calc2!$G$4:$G$147,$F22)</f>
        <v>0</v>
      </c>
      <c r="I22" s="111">
        <f t="shared" si="6"/>
        <v>0</v>
      </c>
      <c r="J22" s="12">
        <f t="shared" si="4"/>
        <v>0</v>
      </c>
      <c r="K22" s="1">
        <f t="array" ref="K22">SUMPRODUCT((Calc2!$F$4:$F$147=F22)*(Calc2!$H$4:$H$147&lt;&gt;""))+SUMPRODUCT((Calc2!$G$4:$G$147=F22)*(Calc2!$I$4:$I$147&lt;&gt;""))</f>
        <v>0</v>
      </c>
      <c r="L22" s="1">
        <f t="array" ref="L22">SUMPRODUCT((Calc2!$F$4:$F$147=F22)*(Calc2!$H$4:$H$147&gt;Calc2!$I$4:$I$147))+SUMPRODUCT((Calc2!$G$4:$G$147=F22)*(Calc2!$H$4:$H$147&lt;Calc2!$I$4:$I$147))</f>
        <v>0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0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FC Liverpool</v>
      </c>
      <c r="T22" s="327">
        <f>J22*Factors!$B$4+(I22+Factors!$D$5)*Factors!$B$5+G22*Factors!$B$6+O22*Factors!$B$7+L22*Factors!$B$8+P22*Factors!$B$9</f>
        <v>500000</v>
      </c>
      <c r="U22" s="111">
        <f>Tie_Break!$D24</f>
        <v>0</v>
      </c>
      <c r="V22" s="9">
        <f t="shared" si="5"/>
        <v>1.0008999999999999</v>
      </c>
      <c r="X22" s="111"/>
    </row>
    <row r="23" spans="2:24" s="2" customFormat="1" x14ac:dyDescent="0.2">
      <c r="B23" s="1">
        <v>20</v>
      </c>
      <c r="C23" s="9">
        <f t="shared" si="1"/>
        <v>20</v>
      </c>
      <c r="D23" s="111">
        <f t="shared" si="2"/>
        <v>1.0229999999999999</v>
      </c>
      <c r="E23" s="111">
        <f t="shared" si="3"/>
        <v>1</v>
      </c>
      <c r="F23" s="136" t="str">
        <f>Calc2!$C23</f>
        <v>Atletico Madrid</v>
      </c>
      <c r="G23" s="1">
        <f>SUMIFS(Calc2!$H$4:$H$147,Calc2!$F$4:$F$147,$F23)+SUMIFS(Calc2!$I$4:$I$147,Calc2!$G$4:$G$147,$F23)</f>
        <v>0</v>
      </c>
      <c r="H23" s="1">
        <f>SUMIFS(Calc2!$I$4:$I$147,Calc2!$F$4:$F$147,$F23)+SUMIFS(Calc2!$H$4:$H$147,Calc2!$G$4:$G$147,$F23)</f>
        <v>0</v>
      </c>
      <c r="I23" s="111">
        <f t="shared" ref="I23:I34" si="7">G23-H23</f>
        <v>0</v>
      </c>
      <c r="J23" s="12">
        <f t="shared" si="4"/>
        <v>0</v>
      </c>
      <c r="K23" s="1">
        <f t="array" ref="K23">SUMPRODUCT((Calc2!$F$4:$F$147=F23)*(Calc2!$H$4:$H$147&lt;&gt;""))+SUMPRODUCT((Calc2!$G$4:$G$147=F23)*(Calc2!$I$4:$I$147&lt;&gt;""))</f>
        <v>0</v>
      </c>
      <c r="L23" s="1">
        <f t="array" ref="L23">SUMPRODUCT((Calc2!$F$4:$F$147=F23)*(Calc2!$H$4:$H$147&gt;Calc2!$I$4:$I$147))+SUMPRODUCT((Calc2!$G$4:$G$147=F23)*(Calc2!$H$4:$H$147&lt;Calc2!$I$4:$I$147))</f>
        <v>0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0</v>
      </c>
      <c r="O23" s="1">
        <f>SUMIFS(Calc2!$I$4:$I$147,Calc2!$G$4:$G$147,$F23)</f>
        <v>0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Atletico Madrid</v>
      </c>
      <c r="T23" s="327">
        <f>J23*Factors!$B$4+(I23+Factors!$D$5)*Factors!$B$5+G23*Factors!$B$6+O23*Factors!$B$7+L23*Factors!$B$8+P23*Factors!$B$9</f>
        <v>500000</v>
      </c>
      <c r="U23" s="111">
        <f>Tie_Break!$D25</f>
        <v>0</v>
      </c>
      <c r="V23" s="9">
        <f t="shared" si="5"/>
        <v>1.0008999999999999</v>
      </c>
      <c r="X23" s="111"/>
    </row>
    <row r="24" spans="2:24" s="2" customFormat="1" x14ac:dyDescent="0.2">
      <c r="B24" s="1">
        <v>21</v>
      </c>
      <c r="C24" s="9">
        <f t="shared" si="1"/>
        <v>21</v>
      </c>
      <c r="D24" s="111">
        <f t="shared" si="2"/>
        <v>1.024</v>
      </c>
      <c r="E24" s="111">
        <f t="shared" si="3"/>
        <v>1</v>
      </c>
      <c r="F24" s="136" t="str">
        <f>Calc2!$C24</f>
        <v>Real Madrid</v>
      </c>
      <c r="G24" s="1">
        <f>SUMIFS(Calc2!$H$4:$H$147,Calc2!$F$4:$F$147,$F24)+SUMIFS(Calc2!$I$4:$I$147,Calc2!$G$4:$G$147,$F24)</f>
        <v>0</v>
      </c>
      <c r="H24" s="1">
        <f>SUMIFS(Calc2!$I$4:$I$147,Calc2!$F$4:$F$147,$F24)+SUMIFS(Calc2!$H$4:$H$147,Calc2!$G$4:$G$147,$F24)</f>
        <v>0</v>
      </c>
      <c r="I24" s="111">
        <f t="shared" si="7"/>
        <v>0</v>
      </c>
      <c r="J24" s="12">
        <f t="shared" si="4"/>
        <v>0</v>
      </c>
      <c r="K24" s="1">
        <f t="array" ref="K24">SUMPRODUCT((Calc2!$F$4:$F$147=F24)*(Calc2!$H$4:$H$147&lt;&gt;""))+SUMPRODUCT((Calc2!$G$4:$G$147=F24)*(Calc2!$I$4:$I$147&lt;&gt;""))</f>
        <v>0</v>
      </c>
      <c r="L24" s="1">
        <f t="array" ref="L24">SUMPRODUCT((Calc2!$F$4:$F$147=F24)*(Calc2!$H$4:$H$147&gt;Calc2!$I$4:$I$147))+SUMPRODUCT((Calc2!$G$4:$G$147=F24)*(Calc2!$H$4:$H$147&lt;Calc2!$I$4:$I$147))</f>
        <v>0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0</v>
      </c>
      <c r="P24" s="1">
        <f t="array" ref="P24">SUMPRODUCT((Calc2!$G$4:$G$147=F24)*(Calc2!$H$4:$H$147&lt;Calc2!$I$4:$I$147))</f>
        <v>0</v>
      </c>
      <c r="Q24" s="109">
        <f>SUMPRODUCT((F24=Calc2!$F$4:$F$147)*Calc2!$M$4:$M$147)+SUMPRODUCT((F24=Calc2!$G$4:$G$147)*Calc2!$N$4:$N$147)</f>
        <v>0</v>
      </c>
      <c r="S24" s="2" t="str">
        <f>Calc2!$C24</f>
        <v>Real Madrid</v>
      </c>
      <c r="T24" s="327">
        <f>J24*Factors!$B$4+(I24+Factors!$D$5)*Factors!$B$5+G24*Factors!$B$6+O24*Factors!$B$7+L24*Factors!$B$8+P24*Factors!$B$9</f>
        <v>500000</v>
      </c>
      <c r="U24" s="111">
        <f>Tie_Break!$D26</f>
        <v>0</v>
      </c>
      <c r="V24" s="9">
        <f t="shared" si="5"/>
        <v>1.0008999999999999</v>
      </c>
      <c r="X24" s="111"/>
    </row>
    <row r="25" spans="2:24" s="2" customFormat="1" x14ac:dyDescent="0.2">
      <c r="B25" s="1">
        <v>22</v>
      </c>
      <c r="C25" s="9">
        <f t="shared" si="1"/>
        <v>22</v>
      </c>
      <c r="D25" s="111">
        <f t="shared" si="2"/>
        <v>1.0249999999999999</v>
      </c>
      <c r="E25" s="111">
        <f t="shared" si="3"/>
        <v>1</v>
      </c>
      <c r="F25" s="136" t="str">
        <f>Calc2!$C25</f>
        <v>Inter Mailand</v>
      </c>
      <c r="G25" s="1">
        <f>SUMIFS(Calc2!$H$4:$H$147,Calc2!$F$4:$F$147,$F25)+SUMIFS(Calc2!$I$4:$I$147,Calc2!$G$4:$G$147,$F25)</f>
        <v>0</v>
      </c>
      <c r="H25" s="1">
        <f>SUMIFS(Calc2!$I$4:$I$147,Calc2!$F$4:$F$147,$F25)+SUMIFS(Calc2!$H$4:$H$147,Calc2!$G$4:$G$147,$F25)</f>
        <v>0</v>
      </c>
      <c r="I25" s="111">
        <f t="shared" si="7"/>
        <v>0</v>
      </c>
      <c r="J25" s="12">
        <f t="shared" si="4"/>
        <v>0</v>
      </c>
      <c r="K25" s="1">
        <f t="array" ref="K25">SUMPRODUCT((Calc2!$F$4:$F$147=F25)*(Calc2!$H$4:$H$147&lt;&gt;""))+SUMPRODUCT((Calc2!$G$4:$G$147=F25)*(Calc2!$I$4:$I$147&lt;&gt;""))</f>
        <v>0</v>
      </c>
      <c r="L25" s="1">
        <f t="array" ref="L25">SUMPRODUCT((Calc2!$F$4:$F$147=F25)*(Calc2!$H$4:$H$147&gt;Calc2!$I$4:$I$147))+SUMPRODUCT((Calc2!$G$4:$G$147=F25)*(Calc2!$H$4:$H$147&lt;Calc2!$I$4:$I$147))</f>
        <v>0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0</v>
      </c>
      <c r="P25" s="1">
        <f t="array" ref="P25">SUMPRODUCT((Calc2!$G$4:$G$147=F25)*(Calc2!$H$4:$H$147&lt;Calc2!$I$4:$I$147))</f>
        <v>0</v>
      </c>
      <c r="Q25" s="109">
        <f>SUMPRODUCT((F25=Calc2!$F$4:$F$147)*Calc2!$M$4:$M$147)+SUMPRODUCT((F25=Calc2!$G$4:$G$147)*Calc2!$N$4:$N$147)</f>
        <v>0</v>
      </c>
      <c r="S25" s="2" t="str">
        <f>Calc2!$C25</f>
        <v>Inter Mailand</v>
      </c>
      <c r="T25" s="327">
        <f>J25*Factors!$B$4+(I25+Factors!$D$5)*Factors!$B$5+G25*Factors!$B$6+O25*Factors!$B$7+L25*Factors!$B$8+P25*Factors!$B$9</f>
        <v>500000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23</v>
      </c>
      <c r="D26" s="111">
        <f t="shared" si="2"/>
        <v>1.026</v>
      </c>
      <c r="E26" s="111">
        <f t="shared" si="3"/>
        <v>1</v>
      </c>
      <c r="F26" s="136" t="str">
        <f>Calc2!$C26</f>
        <v>Manchester City</v>
      </c>
      <c r="G26" s="1">
        <f>SUMIFS(Calc2!$H$4:$H$147,Calc2!$F$4:$F$147,$F26)+SUMIFS(Calc2!$I$4:$I$147,Calc2!$G$4:$G$147,$F26)</f>
        <v>0</v>
      </c>
      <c r="H26" s="1">
        <f>SUMIFS(Calc2!$I$4:$I$147,Calc2!$F$4:$F$147,$F26)+SUMIFS(Calc2!$H$4:$H$147,Calc2!$G$4:$G$147,$F26)</f>
        <v>0</v>
      </c>
      <c r="I26" s="111">
        <f t="shared" si="7"/>
        <v>0</v>
      </c>
      <c r="J26" s="12">
        <f t="shared" si="4"/>
        <v>0</v>
      </c>
      <c r="K26" s="1">
        <f t="array" ref="K26">SUMPRODUCT((Calc2!$F$4:$F$147=F26)*(Calc2!$H$4:$H$147&lt;&gt;""))+SUMPRODUCT((Calc2!$G$4:$G$147=F26)*(Calc2!$I$4:$I$147&lt;&gt;""))</f>
        <v>0</v>
      </c>
      <c r="L26" s="1">
        <f t="array" ref="L26">SUMPRODUCT((Calc2!$F$4:$F$147=F26)*(Calc2!$H$4:$H$147&gt;Calc2!$I$4:$I$147))+SUMPRODUCT((Calc2!$G$4:$G$147=F26)*(Calc2!$H$4:$H$147&lt;Calc2!$I$4:$I$147))</f>
        <v>0</v>
      </c>
      <c r="M26" s="1">
        <f t="array" ref="M26">SUMPRODUCT((Calc2!$F$4:$G$147=F26)*(Calc2!$H$4:$H$147=Calc2!$I$4:$I$147)*(Calc2!$H$4:$H$147&lt;&gt;"")*(Calc2!$I$4:$I$147&lt;&gt;""))</f>
        <v>0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0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7">
        <f>J26*Factors!$B$4+(I26+Factors!$D$5)*Factors!$B$5+G26*Factors!$B$6+O26*Factors!$B$7+L26*Factors!$B$8+P26*Factors!$B$9</f>
        <v>500000</v>
      </c>
      <c r="U26" s="111">
        <f>Tie_Break!$D28</f>
        <v>0</v>
      </c>
      <c r="V26" s="9">
        <f t="shared" si="5"/>
        <v>1.0008999999999999</v>
      </c>
      <c r="X26" s="111"/>
    </row>
    <row r="27" spans="2:24" s="2" customFormat="1" x14ac:dyDescent="0.2">
      <c r="B27" s="1">
        <v>24</v>
      </c>
      <c r="C27" s="9">
        <f t="shared" si="1"/>
        <v>24</v>
      </c>
      <c r="D27" s="111">
        <f t="shared" si="2"/>
        <v>1.0269999999999999</v>
      </c>
      <c r="E27" s="111">
        <f t="shared" si="3"/>
        <v>1</v>
      </c>
      <c r="F27" s="136" t="str">
        <f>Calc2!$C27</f>
        <v>Olympique Marseille</v>
      </c>
      <c r="G27" s="1">
        <f>SUMIFS(Calc2!$H$4:$H$147,Calc2!$F$4:$F$147,$F27)+SUMIFS(Calc2!$I$4:$I$147,Calc2!$G$4:$G$147,$F27)</f>
        <v>0</v>
      </c>
      <c r="H27" s="1">
        <f>SUMIFS(Calc2!$I$4:$I$147,Calc2!$F$4:$F$147,$F27)+SUMIFS(Calc2!$H$4:$H$147,Calc2!$G$4:$G$147,$F27)</f>
        <v>0</v>
      </c>
      <c r="I27" s="111">
        <f t="shared" si="7"/>
        <v>0</v>
      </c>
      <c r="J27" s="12">
        <f t="shared" si="4"/>
        <v>0</v>
      </c>
      <c r="K27" s="1">
        <f t="array" ref="K27">SUMPRODUCT((Calc2!$F$4:$F$147=F27)*(Calc2!$H$4:$H$147&lt;&gt;""))+SUMPRODUCT((Calc2!$G$4:$G$147=F27)*(Calc2!$I$4:$I$147&lt;&gt;""))</f>
        <v>0</v>
      </c>
      <c r="L27" s="1">
        <f t="array" ref="L27">SUMPRODUCT((Calc2!$F$4:$F$147=F27)*(Calc2!$H$4:$H$147&gt;Calc2!$I$4:$I$147))+SUMPRODUCT((Calc2!$G$4:$G$147=F27)*(Calc2!$H$4:$H$147&lt;Calc2!$I$4:$I$147))</f>
        <v>0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0</v>
      </c>
      <c r="O27" s="1">
        <f>SUMIFS(Calc2!$I$4:$I$147,Calc2!$G$4:$G$147,$F27)</f>
        <v>0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Olympique Marseille</v>
      </c>
      <c r="T27" s="327">
        <f>J27*Factors!$B$4+(I27+Factors!$D$5)*Factors!$B$5+G27*Factors!$B$6+O27*Factors!$B$7+L27*Factors!$B$8+P27*Factors!$B$9</f>
        <v>500000</v>
      </c>
      <c r="U27" s="111">
        <f>Tie_Break!$D29</f>
        <v>0</v>
      </c>
      <c r="V27" s="9">
        <f t="shared" si="5"/>
        <v>1.0008999999999999</v>
      </c>
      <c r="X27" s="111"/>
    </row>
    <row r="28" spans="2:24" s="2" customFormat="1" x14ac:dyDescent="0.2">
      <c r="B28" s="1">
        <v>25</v>
      </c>
      <c r="C28" s="9">
        <f t="shared" si="1"/>
        <v>25</v>
      </c>
      <c r="D28" s="111">
        <f t="shared" si="2"/>
        <v>1.028</v>
      </c>
      <c r="E28" s="111">
        <f t="shared" si="3"/>
        <v>1</v>
      </c>
      <c r="F28" s="136" t="str">
        <f>Calc2!$C28</f>
        <v>AS Monaco</v>
      </c>
      <c r="G28" s="1">
        <f>SUMIFS(Calc2!$H$4:$H$147,Calc2!$F$4:$F$147,$F28)+SUMIFS(Calc2!$I$4:$I$147,Calc2!$G$4:$G$147,$F28)</f>
        <v>0</v>
      </c>
      <c r="H28" s="1">
        <f>SUMIFS(Calc2!$I$4:$I$147,Calc2!$F$4:$F$147,$F28)+SUMIFS(Calc2!$H$4:$H$147,Calc2!$G$4:$G$147,$F28)</f>
        <v>0</v>
      </c>
      <c r="I28" s="111">
        <f t="shared" si="7"/>
        <v>0</v>
      </c>
      <c r="J28" s="12">
        <f t="shared" si="4"/>
        <v>0</v>
      </c>
      <c r="K28" s="1">
        <f t="array" ref="K28">SUMPRODUCT((Calc2!$F$4:$F$147=F28)*(Calc2!$H$4:$H$147&lt;&gt;""))+SUMPRODUCT((Calc2!$G$4:$G$147=F28)*(Calc2!$I$4:$I$147&lt;&gt;""))</f>
        <v>0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0</v>
      </c>
      <c r="N28" s="1">
        <f t="array" ref="N28">SUMPRODUCT((Calc2!$F$4:$F$147=F28)*(Calc2!$H$4:$H$147&lt;Calc2!$I$4:$I$147))+SUMPRODUCT((Calc2!$G$4:$G$147=F28)*(Calc2!$H$4:$H$147&gt;Calc2!$I$4:$I$147))</f>
        <v>0</v>
      </c>
      <c r="O28" s="1">
        <f>SUMIFS(Calc2!$I$4:$I$147,Calc2!$G$4:$G$147,$F28)</f>
        <v>0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7">
        <f>J28*Factors!$B$4+(I28+Factors!$D$5)*Factors!$B$5+G28*Factors!$B$6+O28*Factors!$B$7+L28*Factors!$B$8+P28*Factors!$B$9</f>
        <v>500000</v>
      </c>
      <c r="U28" s="111">
        <f>Tie_Break!$D30</f>
        <v>0</v>
      </c>
      <c r="V28" s="9">
        <f t="shared" si="5"/>
        <v>1.0008999999999999</v>
      </c>
      <c r="X28" s="111"/>
    </row>
    <row r="29" spans="2:24" s="2" customFormat="1" x14ac:dyDescent="0.2">
      <c r="B29" s="1">
        <v>26</v>
      </c>
      <c r="C29" s="9">
        <f t="shared" si="1"/>
        <v>26</v>
      </c>
      <c r="D29" s="111">
        <f t="shared" si="2"/>
        <v>1.0289999999999999</v>
      </c>
      <c r="E29" s="111">
        <f t="shared" si="3"/>
        <v>1</v>
      </c>
      <c r="F29" s="136" t="str">
        <f>Calc2!$C29</f>
        <v>Bayern München</v>
      </c>
      <c r="G29" s="1">
        <f>SUMIFS(Calc2!$H$4:$H$147,Calc2!$F$4:$F$147,$F29)+SUMIFS(Calc2!$I$4:$I$147,Calc2!$G$4:$G$147,$F29)</f>
        <v>0</v>
      </c>
      <c r="H29" s="1">
        <f>SUMIFS(Calc2!$I$4:$I$147,Calc2!$F$4:$F$147,$F29)+SUMIFS(Calc2!$H$4:$H$147,Calc2!$G$4:$G$147,$F29)</f>
        <v>0</v>
      </c>
      <c r="I29" s="111">
        <f t="shared" si="7"/>
        <v>0</v>
      </c>
      <c r="J29" s="12">
        <f t="shared" si="4"/>
        <v>0</v>
      </c>
      <c r="K29" s="1">
        <f t="array" ref="K29">SUMPRODUCT((Calc2!$F$4:$F$147=F29)*(Calc2!$H$4:$H$147&lt;&gt;""))+SUMPRODUCT((Calc2!$G$4:$G$147=F29)*(Calc2!$I$4:$I$147&lt;&gt;""))</f>
        <v>0</v>
      </c>
      <c r="L29" s="1">
        <f t="array" ref="L29">SUMPRODUCT((Calc2!$F$4:$F$147=F29)*(Calc2!$H$4:$H$147&gt;Calc2!$I$4:$I$147))+SUMPRODUCT((Calc2!$G$4:$G$147=F29)*(Calc2!$H$4:$H$147&lt;Calc2!$I$4:$I$147))</f>
        <v>0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0</v>
      </c>
      <c r="P29" s="1">
        <f t="array" ref="P29">SUMPRODUCT((Calc2!$G$4:$G$147=F29)*(Calc2!$H$4:$H$147&lt;Calc2!$I$4:$I$147))</f>
        <v>0</v>
      </c>
      <c r="Q29" s="109">
        <f>SUMPRODUCT((F29=Calc2!$F$4:$F$147)*Calc2!$M$4:$M$147)+SUMPRODUCT((F29=Calc2!$G$4:$G$147)*Calc2!$N$4:$N$147)</f>
        <v>0</v>
      </c>
      <c r="S29" s="2" t="str">
        <f>Calc2!$C29</f>
        <v>Bayern München</v>
      </c>
      <c r="T29" s="327">
        <f>J29*Factors!$B$4+(I29+Factors!$D$5)*Factors!$B$5+G29*Factors!$B$6+O29*Factors!$B$7+L29*Factors!$B$8+P29*Factors!$B$9</f>
        <v>500000</v>
      </c>
      <c r="U29" s="111">
        <f>Tie_Break!$D31</f>
        <v>0</v>
      </c>
      <c r="V29" s="9">
        <f t="shared" si="5"/>
        <v>1.0008999999999999</v>
      </c>
      <c r="X29" s="111"/>
    </row>
    <row r="30" spans="2:24" s="2" customFormat="1" x14ac:dyDescent="0.2">
      <c r="B30" s="1">
        <v>27</v>
      </c>
      <c r="C30" s="9">
        <f t="shared" si="1"/>
        <v>27</v>
      </c>
      <c r="D30" s="111">
        <f t="shared" si="2"/>
        <v>1.03</v>
      </c>
      <c r="E30" s="111">
        <f t="shared" si="3"/>
        <v>1</v>
      </c>
      <c r="F30" s="136" t="str">
        <f>Calc2!$C30</f>
        <v>SSC Neapel</v>
      </c>
      <c r="G30" s="1">
        <f>SUMIFS(Calc2!$H$4:$H$147,Calc2!$F$4:$F$147,$F30)+SUMIFS(Calc2!$I$4:$I$147,Calc2!$G$4:$G$147,$F30)</f>
        <v>0</v>
      </c>
      <c r="H30" s="1">
        <f>SUMIFS(Calc2!$I$4:$I$147,Calc2!$F$4:$F$147,$F30)+SUMIFS(Calc2!$H$4:$H$147,Calc2!$G$4:$G$147,$F30)</f>
        <v>0</v>
      </c>
      <c r="I30" s="111">
        <f t="shared" si="7"/>
        <v>0</v>
      </c>
      <c r="J30" s="12">
        <f t="shared" si="4"/>
        <v>0</v>
      </c>
      <c r="K30" s="1">
        <f t="array" ref="K30">SUMPRODUCT((Calc2!$F$4:$F$147=F30)*(Calc2!$H$4:$H$147&lt;&gt;""))+SUMPRODUCT((Calc2!$G$4:$G$147=F30)*(Calc2!$I$4:$I$147&lt;&gt;""))</f>
        <v>0</v>
      </c>
      <c r="L30" s="1">
        <f t="array" ref="L30">SUMPRODUCT((Calc2!$F$4:$F$147=F30)*(Calc2!$H$4:$H$147&gt;Calc2!$I$4:$I$147))+SUMPRODUCT((Calc2!$G$4:$G$147=F30)*(Calc2!$H$4:$H$147&lt;Calc2!$I$4:$I$147))</f>
        <v>0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0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SSC Neapel</v>
      </c>
      <c r="T30" s="327">
        <f>J30*Factors!$B$4+(I30+Factors!$D$5)*Factors!$B$5+G30*Factors!$B$6+O30*Factors!$B$7+L30*Factors!$B$8+P30*Factors!$B$9</f>
        <v>500000</v>
      </c>
      <c r="U30" s="111">
        <f>Tie_Break!$D32</f>
        <v>0</v>
      </c>
      <c r="V30" s="9">
        <f t="shared" si="5"/>
        <v>1.0008999999999999</v>
      </c>
      <c r="X30" s="111"/>
    </row>
    <row r="31" spans="2:24" s="2" customFormat="1" x14ac:dyDescent="0.2">
      <c r="B31" s="1">
        <v>28</v>
      </c>
      <c r="C31" s="9">
        <f t="shared" si="1"/>
        <v>28</v>
      </c>
      <c r="D31" s="111">
        <f t="shared" si="2"/>
        <v>1.0309999999999999</v>
      </c>
      <c r="E31" s="111">
        <f t="shared" si="3"/>
        <v>1</v>
      </c>
      <c r="F31" s="136" t="str">
        <f>Calc2!$C31</f>
        <v>Newcastle United</v>
      </c>
      <c r="G31" s="1">
        <f>SUMIFS(Calc2!$H$4:$H$147,Calc2!$F$4:$F$147,$F31)+SUMIFS(Calc2!$I$4:$I$147,Calc2!$G$4:$G$147,$F31)</f>
        <v>0</v>
      </c>
      <c r="H31" s="1">
        <f>SUMIFS(Calc2!$I$4:$I$147,Calc2!$F$4:$F$147,$F31)+SUMIFS(Calc2!$H$4:$H$147,Calc2!$G$4:$G$147,$F31)</f>
        <v>0</v>
      </c>
      <c r="I31" s="111">
        <f t="shared" si="7"/>
        <v>0</v>
      </c>
      <c r="J31" s="12">
        <f t="shared" si="4"/>
        <v>0</v>
      </c>
      <c r="K31" s="1">
        <f t="array" ref="K31">SUMPRODUCT((Calc2!$F$4:$F$147=F31)*(Calc2!$H$4:$H$147&lt;&gt;""))+SUMPRODUCT((Calc2!$G$4:$G$147=F31)*(Calc2!$I$4:$I$147&lt;&gt;""))</f>
        <v>0</v>
      </c>
      <c r="L31" s="1">
        <f t="array" ref="L31">SUMPRODUCT((Calc2!$F$4:$F$147=F31)*(Calc2!$H$4:$H$147&gt;Calc2!$I$4:$I$147))+SUMPRODUCT((Calc2!$G$4:$G$147=F31)*(Calc2!$H$4:$H$147&lt;Calc2!$I$4:$I$147))</f>
        <v>0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0</v>
      </c>
      <c r="O31" s="1">
        <f>SUMIFS(Calc2!$I$4:$I$147,Calc2!$G$4:$G$147,$F31)</f>
        <v>0</v>
      </c>
      <c r="P31" s="1">
        <f t="array" ref="P31">SUMPRODUCT((Calc2!$G$4:$G$147=F31)*(Calc2!$H$4:$H$147&lt;Calc2!$I$4:$I$147))</f>
        <v>0</v>
      </c>
      <c r="Q31" s="109">
        <f>SUMPRODUCT((F31=Calc2!$F$4:$F$147)*Calc2!$M$4:$M$147)+SUMPRODUCT((F31=Calc2!$G$4:$G$147)*Calc2!$N$4:$N$147)</f>
        <v>0</v>
      </c>
      <c r="S31" s="2" t="str">
        <f>Calc2!$C31</f>
        <v>Newcastle United</v>
      </c>
      <c r="T31" s="327">
        <f>J31*Factors!$B$4+(I31+Factors!$D$5)*Factors!$B$5+G31*Factors!$B$6+O31*Factors!$B$7+L31*Factors!$B$8+P31*Factors!$B$9</f>
        <v>500000</v>
      </c>
      <c r="U31" s="111">
        <f>Tie_Break!$D33</f>
        <v>0</v>
      </c>
      <c r="V31" s="9">
        <f t="shared" si="5"/>
        <v>1.0008999999999999</v>
      </c>
      <c r="X31" s="111"/>
    </row>
    <row r="32" spans="2:24" s="2" customFormat="1" x14ac:dyDescent="0.2">
      <c r="B32" s="1">
        <v>29</v>
      </c>
      <c r="C32" s="9">
        <f t="shared" si="1"/>
        <v>29</v>
      </c>
      <c r="D32" s="111">
        <f t="shared" si="2"/>
        <v>1.032</v>
      </c>
      <c r="E32" s="111">
        <f t="shared" si="3"/>
        <v>1</v>
      </c>
      <c r="F32" s="136" t="str">
        <f>Calc2!$C32</f>
        <v>Pafos FC</v>
      </c>
      <c r="G32" s="1">
        <f>SUMIFS(Calc2!$H$4:$H$147,Calc2!$F$4:$F$147,$F32)+SUMIFS(Calc2!$I$4:$I$147,Calc2!$G$4:$G$147,$F32)</f>
        <v>0</v>
      </c>
      <c r="H32" s="1">
        <f>SUMIFS(Calc2!$I$4:$I$147,Calc2!$F$4:$F$147,$F32)+SUMIFS(Calc2!$H$4:$H$147,Calc2!$G$4:$G$147,$F32)</f>
        <v>0</v>
      </c>
      <c r="I32" s="111">
        <f t="shared" si="7"/>
        <v>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0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0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Pafos FC</v>
      </c>
      <c r="T32" s="327">
        <f>J32*Factors!$B$4+(I32+Factors!$D$5)*Factors!$B$5+G32*Factors!$B$6+O32*Factors!$B$7+L32*Factors!$B$8+P32*Factors!$B$9</f>
        <v>500000</v>
      </c>
      <c r="U32" s="111">
        <f>Tie_Break!$D34</f>
        <v>0</v>
      </c>
      <c r="V32" s="9">
        <f t="shared" si="5"/>
        <v>1.0008999999999999</v>
      </c>
      <c r="X32" s="111"/>
    </row>
    <row r="33" spans="2:25" s="2" customFormat="1" x14ac:dyDescent="0.2">
      <c r="B33" s="1">
        <v>30</v>
      </c>
      <c r="C33" s="9">
        <f t="shared" si="1"/>
        <v>30</v>
      </c>
      <c r="D33" s="111">
        <f t="shared" si="2"/>
        <v>1.0329999999999999</v>
      </c>
      <c r="E33" s="111">
        <f t="shared" si="3"/>
        <v>1</v>
      </c>
      <c r="F33" s="136" t="str">
        <f>Calc2!$C33</f>
        <v>Paris St. Germain</v>
      </c>
      <c r="G33" s="1">
        <f>SUMIFS(Calc2!$H$4:$H$147,Calc2!$F$4:$F$147,$F33)+SUMIFS(Calc2!$I$4:$I$147,Calc2!$G$4:$G$147,$F33)</f>
        <v>0</v>
      </c>
      <c r="H33" s="1">
        <f>SUMIFS(Calc2!$I$4:$I$147,Calc2!$F$4:$F$147,$F33)+SUMIFS(Calc2!$H$4:$H$147,Calc2!$G$4:$G$147,$F33)</f>
        <v>0</v>
      </c>
      <c r="I33" s="111">
        <f t="shared" si="7"/>
        <v>0</v>
      </c>
      <c r="J33" s="12">
        <f t="shared" si="4"/>
        <v>0</v>
      </c>
      <c r="K33" s="1">
        <f t="array" ref="K33">SUMPRODUCT((Calc2!$F$4:$F$147=F33)*(Calc2!$H$4:$H$147&lt;&gt;""))+SUMPRODUCT((Calc2!$G$4:$G$147=F33)*(Calc2!$I$4:$I$147&lt;&gt;""))</f>
        <v>0</v>
      </c>
      <c r="L33" s="1">
        <f t="array" ref="L33">SUMPRODUCT((Calc2!$F$4:$F$147=F33)*(Calc2!$H$4:$H$147&gt;Calc2!$I$4:$I$147))+SUMPRODUCT((Calc2!$G$4:$G$147=F33)*(Calc2!$H$4:$H$147&lt;Calc2!$I$4:$I$147))</f>
        <v>0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0</v>
      </c>
      <c r="P33" s="1">
        <f t="array" ref="P33">SUMPRODUCT((Calc2!$G$4:$G$147=F33)*(Calc2!$H$4:$H$147&lt;Calc2!$I$4:$I$147))</f>
        <v>0</v>
      </c>
      <c r="Q33" s="109">
        <f>SUMPRODUCT((F33=Calc2!$F$4:$F$147)*Calc2!$M$4:$M$147)+SUMPRODUCT((F33=Calc2!$G$4:$G$147)*Calc2!$N$4:$N$147)</f>
        <v>0</v>
      </c>
      <c r="S33" s="2" t="str">
        <f>Calc2!$C33</f>
        <v>Paris St. Germain</v>
      </c>
      <c r="T33" s="327">
        <f>J33*Factors!$B$4+(I33+Factors!$D$5)*Factors!$B$5+G33*Factors!$B$6+O33*Factors!$B$7+L33*Factors!$B$8+P33*Factors!$B$9</f>
        <v>500000</v>
      </c>
      <c r="U33" s="111">
        <f>Tie_Break!$D35</f>
        <v>0</v>
      </c>
      <c r="V33" s="9">
        <f t="shared" si="5"/>
        <v>1.0008999999999999</v>
      </c>
      <c r="X33" s="111"/>
    </row>
    <row r="34" spans="2:25" s="2" customFormat="1" x14ac:dyDescent="0.2">
      <c r="B34" s="1">
        <v>31</v>
      </c>
      <c r="C34" s="9">
        <f t="shared" si="1"/>
        <v>31</v>
      </c>
      <c r="D34" s="111">
        <f t="shared" si="2"/>
        <v>1.034</v>
      </c>
      <c r="E34" s="111">
        <f t="shared" si="3"/>
        <v>1</v>
      </c>
      <c r="F34" s="136" t="str">
        <f>Calc2!$C34</f>
        <v>Olympiakos Piräus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0</v>
      </c>
      <c r="I34" s="111">
        <f t="shared" si="7"/>
        <v>0</v>
      </c>
      <c r="J34" s="12">
        <f t="shared" si="4"/>
        <v>0</v>
      </c>
      <c r="K34" s="1">
        <f t="array" ref="K34">SUMPRODUCT((Calc2!$F$4:$F$147=F34)*(Calc2!$H$4:$H$147&lt;&gt;""))+SUMPRODUCT((Calc2!$G$4:$G$147=F34)*(Calc2!$I$4:$I$147&lt;&gt;""))</f>
        <v>0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0</v>
      </c>
      <c r="N34" s="1">
        <f t="array" ref="N34">SUMPRODUCT((Calc2!$F$4:$F$147=F34)*(Calc2!$H$4:$H$147&lt;Calc2!$I$4:$I$147))+SUMPRODUCT((Calc2!$G$4:$G$147=F34)*(Calc2!$H$4:$H$147&gt;Calc2!$I$4:$I$147))</f>
        <v>0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Olympiakos Piräus</v>
      </c>
      <c r="T34" s="327">
        <f>J34*Factors!$B$4+(I34+Factors!$D$5)*Factors!$B$5+G34*Factors!$B$6+O34*Factors!$B$7+L34*Factors!$B$8+P34*Factors!$B$9</f>
        <v>500000</v>
      </c>
      <c r="U34" s="111">
        <f>Tie_Break!$D36</f>
        <v>0</v>
      </c>
      <c r="V34" s="9">
        <f t="shared" si="5"/>
        <v>1.0008999999999999</v>
      </c>
      <c r="X34" s="111"/>
    </row>
    <row r="35" spans="2:25" s="2" customFormat="1" x14ac:dyDescent="0.2">
      <c r="B35" s="1">
        <v>32</v>
      </c>
      <c r="C35" s="9">
        <f t="shared" si="1"/>
        <v>32</v>
      </c>
      <c r="D35" s="111">
        <f t="shared" ref="D35:D39" si="8">E35+ROW()/1000</f>
        <v>1.0349999999999999</v>
      </c>
      <c r="E35" s="111">
        <f t="shared" si="3"/>
        <v>1</v>
      </c>
      <c r="F35" s="136" t="str">
        <f>Calc2!$C35</f>
        <v>Salva Prag</v>
      </c>
      <c r="G35" s="1">
        <f>SUMIFS(Calc2!$H$4:$H$147,Calc2!$F$4:$F$147,$F35)+SUMIFS(Calc2!$I$4:$I$147,Calc2!$G$4:$G$147,$F35)</f>
        <v>0</v>
      </c>
      <c r="H35" s="1">
        <f>SUMIFS(Calc2!$I$4:$I$147,Calc2!$F$4:$F$147,$F35)+SUMIFS(Calc2!$H$4:$H$147,Calc2!$G$4:$G$147,$F35)</f>
        <v>0</v>
      </c>
      <c r="I35" s="111">
        <f t="shared" ref="I35:I39" si="9">G35-H35</f>
        <v>0</v>
      </c>
      <c r="J35" s="12">
        <f t="shared" si="4"/>
        <v>0</v>
      </c>
      <c r="K35" s="1">
        <f t="array" ref="K35">SUMPRODUCT((Calc2!$F$4:$F$147=F35)*(Calc2!$H$4:$H$147&lt;&gt;""))+SUMPRODUCT((Calc2!$G$4:$G$147=F35)*(Calc2!$I$4:$I$147&lt;&gt;""))</f>
        <v>0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0</v>
      </c>
      <c r="N35" s="1">
        <f t="array" ref="N35">SUMPRODUCT((Calc2!$F$4:$F$147=F35)*(Calc2!$H$4:$H$147&lt;Calc2!$I$4:$I$147))+SUMPRODUCT((Calc2!$G$4:$G$147=F35)*(Calc2!$H$4:$H$147&gt;Calc2!$I$4:$I$147))</f>
        <v>0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Salva Prag</v>
      </c>
      <c r="T35" s="327">
        <f>J35*Factors!$B$4+(I35+Factors!$D$5)*Factors!$B$5+G35*Factors!$B$6+O35*Factors!$B$7+L35*Factors!$B$8+P35*Factors!$B$9</f>
        <v>500000</v>
      </c>
      <c r="U35" s="395">
        <f>Tie_Break!$D37</f>
        <v>0</v>
      </c>
      <c r="V35" s="9">
        <f t="shared" si="5"/>
        <v>1.0008999999999999</v>
      </c>
      <c r="X35" s="111"/>
    </row>
    <row r="36" spans="2:25" s="2" customFormat="1" x14ac:dyDescent="0.2">
      <c r="B36" s="1">
        <v>33</v>
      </c>
      <c r="C36" s="9">
        <f t="shared" si="1"/>
        <v>33</v>
      </c>
      <c r="D36" s="111">
        <f t="shared" si="8"/>
        <v>1.036</v>
      </c>
      <c r="E36" s="111">
        <f t="shared" si="3"/>
        <v>1</v>
      </c>
      <c r="F36" s="136" t="str">
        <f>Calc2!$C36</f>
        <v>Union Saint-Gilloise</v>
      </c>
      <c r="G36" s="1">
        <f>SUMIFS(Calc2!$H$4:$H$147,Calc2!$F$4:$F$147,$F36)+SUMIFS(Calc2!$I$4:$I$147,Calc2!$G$4:$G$147,$F36)</f>
        <v>0</v>
      </c>
      <c r="H36" s="1">
        <f>SUMIFS(Calc2!$I$4:$I$147,Calc2!$F$4:$F$147,$F36)+SUMIFS(Calc2!$H$4:$H$147,Calc2!$G$4:$G$147,$F36)</f>
        <v>0</v>
      </c>
      <c r="I36" s="111">
        <f t="shared" si="9"/>
        <v>0</v>
      </c>
      <c r="J36" s="12">
        <f t="shared" si="4"/>
        <v>0</v>
      </c>
      <c r="K36" s="1">
        <f t="array" ref="K36">SUMPRODUCT((Calc2!$F$4:$F$147=F36)*(Calc2!$H$4:$H$147&lt;&gt;""))+SUMPRODUCT((Calc2!$G$4:$G$147=F36)*(Calc2!$I$4:$I$147&lt;&gt;""))</f>
        <v>0</v>
      </c>
      <c r="L36" s="1">
        <f t="array" ref="L36">SUMPRODUCT((Calc2!$F$4:$F$147=F36)*(Calc2!$H$4:$H$147&gt;Calc2!$I$4:$I$147))+SUMPRODUCT((Calc2!$G$4:$G$147=F36)*(Calc2!$H$4:$H$147&lt;Calc2!$I$4:$I$147))</f>
        <v>0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0</v>
      </c>
      <c r="O36" s="1">
        <f>SUMIFS(Calc2!$I$4:$I$147,Calc2!$G$4:$G$147,$F36)</f>
        <v>0</v>
      </c>
      <c r="P36" s="1">
        <f t="array" ref="P36">SUMPRODUCT((Calc2!$G$4:$G$147=F36)*(Calc2!$H$4:$H$147&lt;Calc2!$I$4:$I$147))</f>
        <v>0</v>
      </c>
      <c r="Q36" s="109">
        <f>SUMPRODUCT((F36=Calc2!$F$4:$F$147)*Calc2!$M$4:$M$147)+SUMPRODUCT((F36=Calc2!$G$4:$G$147)*Calc2!$N$4:$N$147)</f>
        <v>0</v>
      </c>
      <c r="S36" s="2" t="str">
        <f>Calc2!$C36</f>
        <v>Union Saint-Gilloise</v>
      </c>
      <c r="T36" s="327">
        <f>J36*Factors!$B$4+(I36+Factors!$D$5)*Factors!$B$5+G36*Factors!$B$6+O36*Factors!$B$7+L36*Factors!$B$8+P36*Factors!$B$9</f>
        <v>500000</v>
      </c>
      <c r="U36" s="395">
        <f>Tie_Break!$D38</f>
        <v>0</v>
      </c>
      <c r="V36" s="9">
        <f t="shared" si="5"/>
        <v>1.0008999999999999</v>
      </c>
      <c r="X36" s="111"/>
    </row>
    <row r="37" spans="2:25" s="2" customFormat="1" x14ac:dyDescent="0.2">
      <c r="B37" s="1">
        <v>34</v>
      </c>
      <c r="C37" s="9">
        <f t="shared" si="1"/>
        <v>34</v>
      </c>
      <c r="D37" s="111">
        <f t="shared" si="8"/>
        <v>1.0369999999999999</v>
      </c>
      <c r="E37" s="111">
        <f t="shared" si="3"/>
        <v>1</v>
      </c>
      <c r="F37" s="136" t="str">
        <f>Calc2!$C37</f>
        <v>Tottenham Hotspur</v>
      </c>
      <c r="G37" s="1">
        <f>SUMIFS(Calc2!$H$4:$H$147,Calc2!$F$4:$F$147,$F37)+SUMIFS(Calc2!$I$4:$I$147,Calc2!$G$4:$G$147,$F37)</f>
        <v>0</v>
      </c>
      <c r="H37" s="1">
        <f>SUMIFS(Calc2!$I$4:$I$147,Calc2!$F$4:$F$147,$F37)+SUMIFS(Calc2!$H$4:$H$147,Calc2!$G$4:$G$147,$F37)</f>
        <v>0</v>
      </c>
      <c r="I37" s="111">
        <f t="shared" si="9"/>
        <v>0</v>
      </c>
      <c r="J37" s="12">
        <f t="shared" si="4"/>
        <v>0</v>
      </c>
      <c r="K37" s="1">
        <f t="array" ref="K37">SUMPRODUCT((Calc2!$F$4:$F$147=F37)*(Calc2!$H$4:$H$147&lt;&gt;""))+SUMPRODUCT((Calc2!$G$4:$G$147=F37)*(Calc2!$I$4:$I$147&lt;&gt;""))</f>
        <v>0</v>
      </c>
      <c r="L37" s="1">
        <f t="array" ref="L37">SUMPRODUCT((Calc2!$F$4:$F$147=F37)*(Calc2!$H$4:$H$147&gt;Calc2!$I$4:$I$147))+SUMPRODUCT((Calc2!$G$4:$G$147=F37)*(Calc2!$H$4:$H$147&lt;Calc2!$I$4:$I$147))</f>
        <v>0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0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Tottenham Hotspur</v>
      </c>
      <c r="T37" s="327">
        <f>J37*Factors!$B$4+(I37+Factors!$D$5)*Factors!$B$5+G37*Factors!$B$6+O37*Factors!$B$7+L37*Factors!$B$8+P37*Factors!$B$9</f>
        <v>500000</v>
      </c>
      <c r="U37" s="395">
        <f>Tie_Break!$D39</f>
        <v>0</v>
      </c>
      <c r="V37" s="9">
        <f t="shared" si="5"/>
        <v>1.0008999999999999</v>
      </c>
      <c r="X37" s="111"/>
    </row>
    <row r="38" spans="2:25" s="2" customFormat="1" x14ac:dyDescent="0.2">
      <c r="B38" s="1">
        <v>35</v>
      </c>
      <c r="C38" s="9">
        <f t="shared" si="1"/>
        <v>35</v>
      </c>
      <c r="D38" s="111">
        <f t="shared" si="8"/>
        <v>1.038</v>
      </c>
      <c r="E38" s="111">
        <f t="shared" si="3"/>
        <v>1</v>
      </c>
      <c r="F38" s="136" t="str">
        <f>Calc2!$C38</f>
        <v>Juventus Turin</v>
      </c>
      <c r="G38" s="1">
        <f>SUMIFS(Calc2!$H$4:$H$147,Calc2!$F$4:$F$147,$F38)+SUMIFS(Calc2!$I$4:$I$147,Calc2!$G$4:$G$147,$F38)</f>
        <v>0</v>
      </c>
      <c r="H38" s="1">
        <f>SUMIFS(Calc2!$I$4:$I$147,Calc2!$F$4:$F$147,$F38)+SUMIFS(Calc2!$H$4:$H$147,Calc2!$G$4:$G$147,$F38)</f>
        <v>0</v>
      </c>
      <c r="I38" s="111">
        <f t="shared" si="9"/>
        <v>0</v>
      </c>
      <c r="J38" s="12">
        <f t="shared" si="4"/>
        <v>0</v>
      </c>
      <c r="K38" s="1">
        <f t="array" ref="K38">SUMPRODUCT((Calc2!$F$4:$F$147=F38)*(Calc2!$H$4:$H$147&lt;&gt;""))+SUMPRODUCT((Calc2!$G$4:$G$147=F38)*(Calc2!$I$4:$I$147&lt;&gt;""))</f>
        <v>0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0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0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Juventus Turin</v>
      </c>
      <c r="T38" s="327">
        <f>J38*Factors!$B$4+(I38+Factors!$D$5)*Factors!$B$5+G38*Factors!$B$6+O38*Factors!$B$7+L38*Factors!$B$8+P38*Factors!$B$9</f>
        <v>500000</v>
      </c>
      <c r="U38" s="395">
        <f>Tie_Break!$D40</f>
        <v>0</v>
      </c>
      <c r="V38" s="9">
        <f t="shared" si="5"/>
        <v>1.0008999999999999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1.0389999999999999</v>
      </c>
      <c r="E39" s="111">
        <f t="shared" si="3"/>
        <v>1</v>
      </c>
      <c r="F39" s="136" t="str">
        <f>Calc2!$C39</f>
        <v>FC Villarreal</v>
      </c>
      <c r="G39" s="1">
        <f>SUMIFS(Calc2!$H$4:$H$147,Calc2!$F$4:$F$147,$F39)+SUMIFS(Calc2!$I$4:$I$147,Calc2!$G$4:$G$147,$F39)</f>
        <v>0</v>
      </c>
      <c r="H39" s="1">
        <f>SUMIFS(Calc2!$I$4:$I$147,Calc2!$F$4:$F$147,$F39)+SUMIFS(Calc2!$H$4:$H$147,Calc2!$G$4:$G$147,$F39)</f>
        <v>0</v>
      </c>
      <c r="I39" s="111">
        <f t="shared" si="9"/>
        <v>0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0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0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FC Villarreal</v>
      </c>
      <c r="T39" s="327">
        <f>J39*Factors!$B$4+(I39+Factors!$D$5)*Factors!$B$5+G39*Factors!$B$6+O39*Factors!$B$7+L39*Factors!$B$8+P39*Factors!$B$9</f>
        <v>500000</v>
      </c>
      <c r="U39" s="395">
        <f>Tie_Break!$D41</f>
        <v>0</v>
      </c>
      <c r="V39" s="10">
        <f t="shared" si="5"/>
        <v>1.0008999999999999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QUOTIENT(SUM(K4:K35),2)</f>
        <v>0</v>
      </c>
      <c r="S40" s="4"/>
      <c r="T40" s="1"/>
      <c r="U40" s="1"/>
    </row>
    <row r="41" spans="2:25" s="2" customFormat="1" ht="51" customHeight="1" x14ac:dyDescent="0.2">
      <c r="B41" s="530"/>
      <c r="C41" s="530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120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hidden="1" x14ac:dyDescent="0.2">
      <c r="F45" s="136"/>
      <c r="Y45" s="4"/>
    </row>
    <row r="46" spans="2:25" s="2" customFormat="1" hidden="1" x14ac:dyDescent="0.2">
      <c r="F46" s="136"/>
    </row>
    <row r="47" spans="2:25" s="2" customFormat="1" hidden="1" x14ac:dyDescent="0.2">
      <c r="F47" s="136"/>
    </row>
    <row r="48" spans="2:25" s="2" customFormat="1" hidden="1" x14ac:dyDescent="0.2">
      <c r="F48" s="136"/>
    </row>
    <row r="49" spans="2:13" s="2" customFormat="1" hidden="1" x14ac:dyDescent="0.2">
      <c r="F49" s="136"/>
    </row>
    <row r="50" spans="2:13" s="2" customFormat="1" hidden="1" x14ac:dyDescent="0.2">
      <c r="F50" s="136"/>
    </row>
    <row r="51" spans="2:13" s="2" customFormat="1" hidden="1" x14ac:dyDescent="0.2">
      <c r="F51" s="136"/>
    </row>
    <row r="52" spans="2:13" s="2" customFormat="1" hidden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  <col min="12" max="15" width="11.5703125" customWidth="1"/>
    <col min="16" max="16384" width="11.5703125" hidden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2" t="s">
        <v>149</v>
      </c>
      <c r="N3" s="532"/>
    </row>
    <row r="4" spans="1:14" ht="13.5" thickTop="1" x14ac:dyDescent="0.2">
      <c r="A4" s="221">
        <v>4</v>
      </c>
      <c r="B4" s="20" t="s">
        <v>5</v>
      </c>
      <c r="C4" s="24" t="str">
        <f>IF(Planning!$D7="","",Planning!$D7)</f>
        <v>Qarabag Agdam</v>
      </c>
      <c r="D4" s="2"/>
      <c r="E4" s="218">
        <v>1</v>
      </c>
      <c r="F4" s="137" t="str">
        <f>Planning!$Q7</f>
        <v>PSV Eindhoven</v>
      </c>
      <c r="G4" s="138" t="str">
        <f>Planning!$S7</f>
        <v>Union Saint-Gilloise</v>
      </c>
      <c r="H4" s="14" t="str">
        <f>IF(AND(Results!$Q$6&gt;0,$E4-1&gt;=Results!$Q$6*Calc!$F$42),"",IF(AND(Results!$I9&lt;&gt;"",Results!$K9&lt;&gt;"",Results!$F9&lt;&gt;Results!$H9,$F4&lt;&gt;"",$G4&lt;&gt;""),Results!$I9,""))</f>
        <v/>
      </c>
      <c r="I4" s="15" t="str">
        <f>IF(AND(Results!$Q$6&gt;0,$E4-1&gt;=Results!$Q$6*Calc!$F$42),"",IF(AND(Results!$I9&lt;&gt;"",Results!$K9&lt;&gt;"",Results!$F9&lt;&gt;Results!$H9,$F4&lt;&gt;"",$G4&lt;&gt;""),Results!$K9,""))</f>
        <v/>
      </c>
      <c r="J4" s="13" t="str">
        <f>IF(Planning!$I7=0,F4&amp;G4,"")</f>
        <v>PSV EindhovenUnion Saint-Gilloise</v>
      </c>
      <c r="K4" s="14">
        <f t="shared" ref="K4:K35" si="0">IF(AND(F4&lt;&gt;"",G4&lt;&gt;"",F4&lt;&gt;G4,H4&lt;&gt;"",I4&lt;&gt;""),1,0)</f>
        <v>0</v>
      </c>
      <c r="L4" s="85" t="str">
        <f>IF(AND(K4&gt;0,Planning!$I7=0),H4&amp;Language!$E$90&amp;I4,"")</f>
        <v/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IF(Planning!$D8="","",Planning!$D8)</f>
        <v>Qairat Almaty</v>
      </c>
      <c r="D5" s="2"/>
      <c r="E5" s="219">
        <v>2</v>
      </c>
      <c r="F5" s="139" t="str">
        <f>Planning!$Q8</f>
        <v>Athletic Bilbao</v>
      </c>
      <c r="G5" s="140" t="str">
        <f>Planning!$S8</f>
        <v>FC Arsenal</v>
      </c>
      <c r="H5" s="7" t="str">
        <f>IF(AND(Results!$Q$6&gt;0,$E5-1&gt;=Results!$Q$6*Calc!$F$42),"",IF(AND(Results!$I10&lt;&gt;"",Results!$K10&lt;&gt;"",Results!$F10&lt;&gt;Results!$H10,$F5&lt;&gt;"",$G5&lt;&gt;""),Results!$I10,""))</f>
        <v/>
      </c>
      <c r="I5" s="17" t="str">
        <f>IF(AND(Results!$Q$6&gt;0,$E5-1&gt;=Results!$Q$6*Calc!$F$42),"",IF(AND(Results!$I10&lt;&gt;"",Results!$K10&lt;&gt;"",Results!$F10&lt;&gt;Results!$H10,$F5&lt;&gt;"",$G5&lt;&gt;""),Results!$K10,""))</f>
        <v/>
      </c>
      <c r="J5" s="16" t="str">
        <f>IF(Planning!$I8=0,F5&amp;G5,"")</f>
        <v>Athletic BilbaoFC Arsenal</v>
      </c>
      <c r="K5" s="7">
        <f t="shared" si="0"/>
        <v>0</v>
      </c>
      <c r="L5" s="7" t="str">
        <f>IF(AND(K5&gt;0,Planning!$I8=0),H5&amp;Language!$E$90&amp;I5,"")</f>
        <v/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IF(Planning!$D9="","",Planning!$D9)</f>
        <v>Ajax Amsterdam</v>
      </c>
      <c r="D6" s="2"/>
      <c r="E6" s="219">
        <v>3</v>
      </c>
      <c r="F6" s="139" t="str">
        <f>Planning!$Q9</f>
        <v>Real Madrid</v>
      </c>
      <c r="G6" s="140" t="str">
        <f>Planning!$S9</f>
        <v>Olympique Marseille</v>
      </c>
      <c r="H6" s="111" t="str">
        <f>IF(AND(Results!$Q$6&gt;0,$E6-1&gt;=Results!$Q$6*Calc!$F$42),"",IF(AND(Results!$I11&lt;&gt;"",Results!$K11&lt;&gt;"",Results!$F11&lt;&gt;Results!$H11,$F6&lt;&gt;"",$G6&lt;&gt;""),Results!$I11,""))</f>
        <v/>
      </c>
      <c r="I6" s="17" t="str">
        <f>IF(AND(Results!$Q$6&gt;0,$E6-1&gt;=Results!$Q$6*Calc!$F$42),"",IF(AND(Results!$I11&lt;&gt;"",Results!$K11&lt;&gt;"",Results!$F11&lt;&gt;Results!$H11,$F6&lt;&gt;"",$G6&lt;&gt;""),Results!$K11,""))</f>
        <v/>
      </c>
      <c r="J6" s="16" t="str">
        <f>IF(Planning!$I9=0,F6&amp;G6,"")</f>
        <v>Real MadridOlympique Marseille</v>
      </c>
      <c r="K6" s="7">
        <f t="shared" si="0"/>
        <v>0</v>
      </c>
      <c r="L6" s="7" t="str">
        <f>IF(AND(K6&gt;0,Planning!$I9=0),H6&amp;Language!$E$90&amp;I6,"")</f>
        <v/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IF(Planning!$D10="","",Planning!$D10)</f>
        <v>FC Arsenal</v>
      </c>
      <c r="D7" s="2"/>
      <c r="E7" s="219">
        <v>4</v>
      </c>
      <c r="F7" s="139" t="str">
        <f>Planning!$Q10</f>
        <v>Benfica Lissabon</v>
      </c>
      <c r="G7" s="140" t="str">
        <f>Planning!$S10</f>
        <v>Qarabag Agdam</v>
      </c>
      <c r="H7" s="111" t="str">
        <f>IF(AND(Results!$Q$6&gt;0,$E7-1&gt;=Results!$Q$6*Calc!$F$42),"",IF(AND(Results!$I12&lt;&gt;"",Results!$K12&lt;&gt;"",Results!$F12&lt;&gt;Results!$H12,$F7&lt;&gt;"",$G7&lt;&gt;""),Results!$I12,""))</f>
        <v/>
      </c>
      <c r="I7" s="17" t="str">
        <f>IF(AND(Results!$Q$6&gt;0,$E7-1&gt;=Results!$Q$6*Calc!$F$42),"",IF(AND(Results!$I12&lt;&gt;"",Results!$K12&lt;&gt;"",Results!$F12&lt;&gt;Results!$H12,$F7&lt;&gt;"",$G7&lt;&gt;""),Results!$K12,""))</f>
        <v/>
      </c>
      <c r="J7" s="16" t="str">
        <f>IF(Planning!$I10=0,F7&amp;G7,"")</f>
        <v>Benfica LissabonQarabag Agdam</v>
      </c>
      <c r="K7" s="7">
        <f t="shared" si="0"/>
        <v>0</v>
      </c>
      <c r="L7" s="7" t="str">
        <f>IF(AND(K7&gt;0,Planning!$I10=0),H7&amp;Language!$E$90&amp;I7,"")</f>
        <v/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IF(Planning!$D11="","",Planning!$D11)</f>
        <v>FC Barcelona</v>
      </c>
      <c r="D8" s="2"/>
      <c r="E8" s="219">
        <v>5</v>
      </c>
      <c r="F8" s="139" t="str">
        <f>Planning!$Q11</f>
        <v>Juventus Turin</v>
      </c>
      <c r="G8" s="140" t="str">
        <f>Planning!$S11</f>
        <v>Borussia Dortmund</v>
      </c>
      <c r="H8" s="111" t="str">
        <f>IF(AND(Results!$Q$6&gt;0,$E8-1&gt;=Results!$Q$6*Calc!$F$42),"",IF(AND(Results!$I13&lt;&gt;"",Results!$K13&lt;&gt;"",Results!$F13&lt;&gt;Results!$H13,$F8&lt;&gt;"",$G8&lt;&gt;""),Results!$I13,""))</f>
        <v/>
      </c>
      <c r="I8" s="17" t="str">
        <f>IF(AND(Results!$Q$6&gt;0,$E8-1&gt;=Results!$Q$6*Calc!$F$42),"",IF(AND(Results!$I13&lt;&gt;"",Results!$K13&lt;&gt;"",Results!$F13&lt;&gt;Results!$H13,$F8&lt;&gt;"",$G8&lt;&gt;""),Results!$K13,""))</f>
        <v/>
      </c>
      <c r="J8" s="16" t="str">
        <f>IF(Planning!$I11=0,F8&amp;G8,"")</f>
        <v>Juventus TurinBorussia Dortmund</v>
      </c>
      <c r="K8" s="7">
        <f t="shared" si="0"/>
        <v>0</v>
      </c>
      <c r="L8" s="7" t="str">
        <f>IF(AND(K8&gt;0,Planning!$I11=0),H8&amp;Language!$E$90&amp;I8,"")</f>
        <v/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IF(Planning!$D12="","",Planning!$D12)</f>
        <v>Atalanta Bergamo</v>
      </c>
      <c r="D9" s="2"/>
      <c r="E9" s="219">
        <v>6</v>
      </c>
      <c r="F9" s="139" t="str">
        <f>Planning!$Q12</f>
        <v>Tottenham Hotspur</v>
      </c>
      <c r="G9" s="140" t="str">
        <f>Planning!$S12</f>
        <v>FC Villarreal</v>
      </c>
      <c r="H9" s="111" t="str">
        <f>IF(AND(Results!$Q$6&gt;0,$E9-1&gt;=Results!$Q$6*Calc!$F$42),"",IF(AND(Results!$I14&lt;&gt;"",Results!$K14&lt;&gt;"",Results!$F14&lt;&gt;Results!$H14,$F9&lt;&gt;"",$G9&lt;&gt;""),Results!$I14,""))</f>
        <v/>
      </c>
      <c r="I9" s="17" t="str">
        <f>IF(AND(Results!$Q$6&gt;0,$E9-1&gt;=Results!$Q$6*Calc!$F$42),"",IF(AND(Results!$I14&lt;&gt;"",Results!$K14&lt;&gt;"",Results!$F14&lt;&gt;Results!$H14,$F9&lt;&gt;"",$G9&lt;&gt;""),Results!$K14,""))</f>
        <v/>
      </c>
      <c r="J9" s="16" t="str">
        <f>IF(Planning!$I12=0,F9&amp;G9,"")</f>
        <v>Tottenham HotspurFC Villarreal</v>
      </c>
      <c r="K9" s="7">
        <f t="shared" si="0"/>
        <v>0</v>
      </c>
      <c r="L9" s="7" t="str">
        <f>IF(AND(K9&gt;0,Planning!$I12=0),H9&amp;Language!$E$90&amp;I9,"")</f>
        <v/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IF(Planning!$D13="","",Planning!$D13)</f>
        <v>Athletic Bilbao</v>
      </c>
      <c r="D10" s="2"/>
      <c r="E10" s="219">
        <v>7</v>
      </c>
      <c r="F10" s="139" t="str">
        <f>Planning!$Q13</f>
        <v>Olympiakos Piräus</v>
      </c>
      <c r="G10" s="140" t="str">
        <f>Planning!$S13</f>
        <v>Pafos FC</v>
      </c>
      <c r="H10" s="111" t="str">
        <f>IF(AND(Results!$Q$6&gt;0,$E10-1&gt;=Results!$Q$6*Calc!$F$42),"",IF(AND(Results!$I15&lt;&gt;"",Results!$K15&lt;&gt;"",Results!$F15&lt;&gt;Results!$H15,$F10&lt;&gt;"",$G10&lt;&gt;""),Results!$I15,""))</f>
        <v/>
      </c>
      <c r="I10" s="17" t="str">
        <f>IF(AND(Results!$Q$6&gt;0,$E10-1&gt;=Results!$Q$6*Calc!$F$42),"",IF(AND(Results!$I15&lt;&gt;"",Results!$K15&lt;&gt;"",Results!$F15&lt;&gt;Results!$H15,$F10&lt;&gt;"",$G10&lt;&gt;""),Results!$K15,""))</f>
        <v/>
      </c>
      <c r="J10" s="16" t="str">
        <f>IF(Planning!$I13=0,F10&amp;G10,"")</f>
        <v>Olympiakos PiräusPafos FC</v>
      </c>
      <c r="K10" s="7">
        <f t="shared" si="0"/>
        <v>0</v>
      </c>
      <c r="L10" s="7" t="str">
        <f>IF(AND(K10&gt;0,Planning!$I13=0),H10&amp;Language!$E$90&amp;I10,"")</f>
        <v/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IF(Planning!$D14="","",Planning!$D14)</f>
        <v>FK Bodö/Glimt</v>
      </c>
      <c r="D11" s="2"/>
      <c r="E11" s="219">
        <v>8</v>
      </c>
      <c r="F11" s="139" t="str">
        <f>Planning!$Q14</f>
        <v>Salva Prag</v>
      </c>
      <c r="G11" s="140" t="str">
        <f>Planning!$S14</f>
        <v>FK Bodö/Glimt</v>
      </c>
      <c r="H11" s="111" t="str">
        <f>IF(AND(Results!$Q$6&gt;0,$E11-1&gt;=Results!$Q$6*Calc!$F$42),"",IF(AND(Results!$I16&lt;&gt;"",Results!$K16&lt;&gt;"",Results!$F16&lt;&gt;Results!$H16,$F11&lt;&gt;"",$G11&lt;&gt;""),Results!$I16,""))</f>
        <v/>
      </c>
      <c r="I11" s="17" t="str">
        <f>IF(AND(Results!$Q$6&gt;0,$E11-1&gt;=Results!$Q$6*Calc!$F$42),"",IF(AND(Results!$I16&lt;&gt;"",Results!$K16&lt;&gt;"",Results!$F16&lt;&gt;Results!$H16,$F11&lt;&gt;"",$G11&lt;&gt;""),Results!$K16,""))</f>
        <v/>
      </c>
      <c r="J11" s="16" t="str">
        <f>IF(Planning!$I14=0,F11&amp;G11,"")</f>
        <v>Salva PragFK Bodö/Glimt</v>
      </c>
      <c r="K11" s="7">
        <f t="shared" si="0"/>
        <v>0</v>
      </c>
      <c r="L11" s="7" t="str">
        <f>IF(AND(K11&gt;0,Planning!$I14=0),H11&amp;Language!$E$90&amp;I11,"")</f>
        <v/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IF(Planning!$D15="","",Planning!$D15)</f>
        <v>Club Brügge</v>
      </c>
      <c r="D12" s="2"/>
      <c r="E12" s="219">
        <v>9</v>
      </c>
      <c r="F12" s="139" t="str">
        <f>Planning!$Q15</f>
        <v>Paris St. Germain</v>
      </c>
      <c r="G12" s="140" t="str">
        <f>Planning!$S15</f>
        <v>Atalanta Bergamo</v>
      </c>
      <c r="H12" s="111" t="str">
        <f>IF(AND(Results!$Q$6&gt;0,$E12-1&gt;=Results!$Q$6*Calc!$F$42),"",IF(AND(Results!$I17&lt;&gt;"",Results!$K17&lt;&gt;"",Results!$F17&lt;&gt;Results!$H17,$F12&lt;&gt;"",$G12&lt;&gt;""),Results!$I17,""))</f>
        <v/>
      </c>
      <c r="I12" s="17" t="str">
        <f>IF(AND(Results!$Q$6&gt;0,$E12-1&gt;=Results!$Q$6*Calc!$F$42),"",IF(AND(Results!$I17&lt;&gt;"",Results!$K17&lt;&gt;"",Results!$F17&lt;&gt;Results!$H17,$F12&lt;&gt;"",$G12&lt;&gt;""),Results!$K17,""))</f>
        <v/>
      </c>
      <c r="J12" s="16" t="str">
        <f>IF(Planning!$I15=0,F12&amp;G12,"")</f>
        <v>Paris St. GermainAtalanta Bergamo</v>
      </c>
      <c r="K12" s="7">
        <f t="shared" si="0"/>
        <v>0</v>
      </c>
      <c r="L12" s="7" t="str">
        <f>IF(AND(K12&gt;0,Planning!$I15=0),H12&amp;Language!$E$90&amp;I12,"")</f>
        <v/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IF(Planning!$D16="","",Planning!$D16)</f>
        <v>FC Chelsea</v>
      </c>
      <c r="D13" s="2"/>
      <c r="E13" s="219">
        <v>10</v>
      </c>
      <c r="F13" s="139" t="str">
        <f>Planning!$Q16</f>
        <v>Bayern München</v>
      </c>
      <c r="G13" s="140" t="str">
        <f>Planning!$S16</f>
        <v>FC Chelsea</v>
      </c>
      <c r="H13" s="111" t="str">
        <f>IF(AND(Results!$Q$6&gt;0,$E13-1&gt;=Results!$Q$6*Calc!$F$42),"",IF(AND(Results!$I18&lt;&gt;"",Results!$K18&lt;&gt;"",Results!$F18&lt;&gt;Results!$H18,$F13&lt;&gt;"",$G13&lt;&gt;""),Results!$I18,""))</f>
        <v/>
      </c>
      <c r="I13" s="17" t="str">
        <f>IF(AND(Results!$Q$6&gt;0,$E13-1&gt;=Results!$Q$6*Calc!$F$42),"",IF(AND(Results!$I18&lt;&gt;"",Results!$K18&lt;&gt;"",Results!$F18&lt;&gt;Results!$H18,$F13&lt;&gt;"",$G13&lt;&gt;""),Results!$K18,""))</f>
        <v/>
      </c>
      <c r="J13" s="16" t="str">
        <f>IF(Planning!$I16=0,F13&amp;G13,"")</f>
        <v>Bayern MünchenFC Chelsea</v>
      </c>
      <c r="K13" s="7">
        <f t="shared" si="0"/>
        <v>0</v>
      </c>
      <c r="L13" s="7" t="str">
        <f>IF(AND(K13&gt;0,Planning!$I16=0),H13&amp;Language!$E$90&amp;I13,"")</f>
        <v/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IF(Planning!$D17="","",Planning!$D17)</f>
        <v>Borussia Dortmund</v>
      </c>
      <c r="D14" s="2"/>
      <c r="E14" s="219">
        <v>11</v>
      </c>
      <c r="F14" s="139" t="str">
        <f>Planning!$Q17</f>
        <v>FC Liverpool</v>
      </c>
      <c r="G14" s="140" t="str">
        <f>Planning!$S17</f>
        <v>Atletico Madrid</v>
      </c>
      <c r="H14" s="111" t="str">
        <f>IF(AND(Results!$Q$6&gt;0,$E14-1&gt;=Results!$Q$6*Calc!$F$42),"",IF(AND(Results!$I19&lt;&gt;"",Results!$K19&lt;&gt;"",Results!$F19&lt;&gt;Results!$H19,$F14&lt;&gt;"",$G14&lt;&gt;""),Results!$I19,""))</f>
        <v/>
      </c>
      <c r="I14" s="17" t="str">
        <f>IF(AND(Results!$Q$6&gt;0,$E14-1&gt;=Results!$Q$6*Calc!$F$42),"",IF(AND(Results!$I19&lt;&gt;"",Results!$K19&lt;&gt;"",Results!$F19&lt;&gt;Results!$H19,$F14&lt;&gt;"",$G14&lt;&gt;""),Results!$K19,""))</f>
        <v/>
      </c>
      <c r="J14" s="16" t="str">
        <f>IF(Planning!$I17=0,F14&amp;G14,"")</f>
        <v>FC LiverpoolAtletico Madrid</v>
      </c>
      <c r="K14" s="7">
        <f t="shared" si="0"/>
        <v>0</v>
      </c>
      <c r="L14" s="7" t="str">
        <f>IF(AND(K14&gt;0,Planning!$I17=0),H14&amp;Language!$E$90&amp;I14,"")</f>
        <v/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IF(Planning!$D18="","",Planning!$D18)</f>
        <v>PSV Eindhoven</v>
      </c>
      <c r="D15" s="2"/>
      <c r="E15" s="219">
        <v>12</v>
      </c>
      <c r="F15" s="139" t="str">
        <f>Planning!$Q18</f>
        <v>Ajax Amsterdam</v>
      </c>
      <c r="G15" s="140" t="str">
        <f>Planning!$S18</f>
        <v>Inter Mailand</v>
      </c>
      <c r="H15" s="111" t="str">
        <f>IF(AND(Results!$Q$6&gt;0,$E15-1&gt;=Results!$Q$6*Calc!$F$42),"",IF(AND(Results!$I20&lt;&gt;"",Results!$K20&lt;&gt;"",Results!$F20&lt;&gt;Results!$H20,$F15&lt;&gt;"",$G15&lt;&gt;""),Results!$I20,""))</f>
        <v/>
      </c>
      <c r="I15" s="17" t="str">
        <f>IF(AND(Results!$Q$6&gt;0,$E15-1&gt;=Results!$Q$6*Calc!$F$42),"",IF(AND(Results!$I20&lt;&gt;"",Results!$K20&lt;&gt;"",Results!$F20&lt;&gt;Results!$H20,$F15&lt;&gt;"",$G15&lt;&gt;""),Results!$K20,""))</f>
        <v/>
      </c>
      <c r="J15" s="16" t="str">
        <f>IF(Planning!$I18=0,F15&amp;G15,"")</f>
        <v>Ajax AmsterdamInter Mailand</v>
      </c>
      <c r="K15" s="7">
        <f t="shared" si="0"/>
        <v>0</v>
      </c>
      <c r="L15" s="7" t="str">
        <f>IF(AND(K15&gt;0,Planning!$I18=0),H15&amp;Language!$E$90&amp;I15,"")</f>
        <v/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IF(Planning!$D19="","",Planning!$D19)</f>
        <v>Eintracht Frankfurt</v>
      </c>
      <c r="D16" s="2"/>
      <c r="E16" s="219">
        <v>13</v>
      </c>
      <c r="F16" s="139" t="str">
        <f>Planning!$Q19</f>
        <v>Club Brügge</v>
      </c>
      <c r="G16" s="140" t="str">
        <f>Planning!$S19</f>
        <v>AS Monaco</v>
      </c>
      <c r="H16" s="111" t="str">
        <f>IF(AND(Results!$Q$6&gt;0,$E16-1&gt;=Results!$Q$6*Calc!$F$42),"",IF(AND(Results!$I21&lt;&gt;"",Results!$K21&lt;&gt;"",Results!$F21&lt;&gt;Results!$H21,$F16&lt;&gt;"",$G16&lt;&gt;""),Results!$I21,""))</f>
        <v/>
      </c>
      <c r="I16" s="17" t="str">
        <f>IF(AND(Results!$Q$6&gt;0,$E16-1&gt;=Results!$Q$6*Calc!$F$42),"",IF(AND(Results!$I21&lt;&gt;"",Results!$K21&lt;&gt;"",Results!$F21&lt;&gt;Results!$H21,$F16&lt;&gt;"",$G16&lt;&gt;""),Results!$K21,""))</f>
        <v/>
      </c>
      <c r="J16" s="16" t="str">
        <f>IF(Planning!$I19=0,F16&amp;G16,"")</f>
        <v>Club BrüggeAS Monaco</v>
      </c>
      <c r="K16" s="7">
        <f t="shared" si="0"/>
        <v>0</v>
      </c>
      <c r="L16" s="7" t="str">
        <f>IF(AND(K16&gt;0,Planning!$I19=0),H16&amp;Language!$E$90&amp;I16,"")</f>
        <v/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IF(Planning!$D20="","",Planning!$D20)</f>
        <v>Galatasaray SK</v>
      </c>
      <c r="D17" s="2"/>
      <c r="E17" s="219">
        <v>14</v>
      </c>
      <c r="F17" s="139" t="str">
        <f>Planning!$Q20</f>
        <v>FC Kopenhagen</v>
      </c>
      <c r="G17" s="140" t="str">
        <f>Planning!$S20</f>
        <v>Bayer 04 Leverkusen</v>
      </c>
      <c r="H17" s="111" t="str">
        <f>IF(AND(Results!$Q$6&gt;0,$E17-1&gt;=Results!$Q$6*Calc!$F$42),"",IF(AND(Results!$I22&lt;&gt;"",Results!$K22&lt;&gt;"",Results!$F22&lt;&gt;Results!$H22,$F17&lt;&gt;"",$G17&lt;&gt;""),Results!$I22,""))</f>
        <v/>
      </c>
      <c r="I17" s="17" t="str">
        <f>IF(AND(Results!$Q$6&gt;0,$E17-1&gt;=Results!$Q$6*Calc!$F$42),"",IF(AND(Results!$I22&lt;&gt;"",Results!$K22&lt;&gt;"",Results!$F22&lt;&gt;Results!$H22,$F17&lt;&gt;"",$G17&lt;&gt;""),Results!$K22,""))</f>
        <v/>
      </c>
      <c r="J17" s="16" t="str">
        <f>IF(Planning!$I20=0,F17&amp;G17,"")</f>
        <v>FC KopenhagenBayer 04 Leverkusen</v>
      </c>
      <c r="K17" s="7">
        <f t="shared" si="0"/>
        <v>0</v>
      </c>
      <c r="L17" s="7" t="str">
        <f>IF(AND(K17&gt;0,Planning!$I20=0),H17&amp;Language!$E$90&amp;I17,"")</f>
        <v/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IF(Planning!$D21="","",Planning!$D21)</f>
        <v>FC Kopenhagen</v>
      </c>
      <c r="D18" s="2"/>
      <c r="E18" s="219">
        <v>15</v>
      </c>
      <c r="F18" s="139" t="str">
        <f>Planning!$Q21</f>
        <v>Manchester City</v>
      </c>
      <c r="G18" s="140" t="str">
        <f>Planning!$S21</f>
        <v>SSC Neapel</v>
      </c>
      <c r="H18" s="111" t="str">
        <f>IF(AND(Results!$Q$6&gt;0,$E18-1&gt;=Results!$Q$6*Calc!$F$42),"",IF(AND(Results!$I23&lt;&gt;"",Results!$K23&lt;&gt;"",Results!$F23&lt;&gt;Results!$H23,$F18&lt;&gt;"",$G18&lt;&gt;""),Results!$I23,""))</f>
        <v/>
      </c>
      <c r="I18" s="17" t="str">
        <f>IF(AND(Results!$Q$6&gt;0,$E18-1&gt;=Results!$Q$6*Calc!$F$42),"",IF(AND(Results!$I23&lt;&gt;"",Results!$K23&lt;&gt;"",Results!$F23&lt;&gt;Results!$H23,$F18&lt;&gt;"",$G18&lt;&gt;""),Results!$K23,""))</f>
        <v/>
      </c>
      <c r="J18" s="16" t="str">
        <f>IF(Planning!$I21=0,F18&amp;G18,"")</f>
        <v>Manchester CitySSC Neapel</v>
      </c>
      <c r="K18" s="7">
        <f t="shared" si="0"/>
        <v>0</v>
      </c>
      <c r="L18" s="7" t="str">
        <f>IF(AND(K18&gt;0,Planning!$I21=0),H18&amp;Language!$E$90&amp;I18,"")</f>
        <v/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IF(Planning!$D22="","",Planning!$D22)</f>
        <v>Bayer 04 Leverkusen</v>
      </c>
      <c r="D19" s="2"/>
      <c r="E19" s="219">
        <v>16</v>
      </c>
      <c r="F19" s="139" t="str">
        <f>Planning!$Q22</f>
        <v>Eintracht Frankfurt</v>
      </c>
      <c r="G19" s="140" t="str">
        <f>Planning!$S22</f>
        <v>Galatasaray SK</v>
      </c>
      <c r="H19" s="111" t="str">
        <f>IF(AND(Results!$Q$6&gt;0,$E19-1&gt;=Results!$Q$6*Calc!$F$42),"",IF(AND(Results!$I24&lt;&gt;"",Results!$K24&lt;&gt;"",Results!$F24&lt;&gt;Results!$H24,$F19&lt;&gt;"",$G19&lt;&gt;""),Results!$I24,""))</f>
        <v/>
      </c>
      <c r="I19" s="17" t="str">
        <f>IF(AND(Results!$Q$6&gt;0,$E19-1&gt;=Results!$Q$6*Calc!$F$42),"",IF(AND(Results!$I24&lt;&gt;"",Results!$K24&lt;&gt;"",Results!$F24&lt;&gt;Results!$H24,$F19&lt;&gt;"",$G19&lt;&gt;""),Results!$K24,""))</f>
        <v/>
      </c>
      <c r="J19" s="16" t="str">
        <f>IF(Planning!$I22=0,F19&amp;G19,"")</f>
        <v>Eintracht FrankfurtGalatasaray SK</v>
      </c>
      <c r="K19" s="7">
        <f t="shared" si="0"/>
        <v>0</v>
      </c>
      <c r="L19" s="7" t="str">
        <f>IF(AND(K19&gt;0,Planning!$I22=0),H19&amp;Language!$E$90&amp;I19,"")</f>
        <v/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IF(Planning!$D23="","",Planning!$D23)</f>
        <v>Benfica Lissabon</v>
      </c>
      <c r="D20" s="2"/>
      <c r="E20" s="219">
        <v>17</v>
      </c>
      <c r="F20" s="139" t="str">
        <f>Planning!$Q23</f>
        <v>Sporting Lissabon</v>
      </c>
      <c r="G20" s="140" t="str">
        <f>Planning!$S23</f>
        <v>Qairat Almaty</v>
      </c>
      <c r="H20" s="111" t="str">
        <f>IF(AND(Results!$Q$6&gt;0,$E20-1&gt;=Results!$Q$6*Calc!$F$42),"",IF(AND(Results!$I25&lt;&gt;"",Results!$K25&lt;&gt;"",Results!$F25&lt;&gt;Results!$H25,$F20&lt;&gt;"",$G20&lt;&gt;""),Results!$I25,""))</f>
        <v/>
      </c>
      <c r="I20" s="17" t="str">
        <f>IF(AND(Results!$Q$6&gt;0,$E20-1&gt;=Results!$Q$6*Calc!$F$42),"",IF(AND(Results!$I25&lt;&gt;"",Results!$K25&lt;&gt;"",Results!$F25&lt;&gt;Results!$H25,$F20&lt;&gt;"",$G20&lt;&gt;""),Results!$K25,""))</f>
        <v/>
      </c>
      <c r="J20" s="16" t="str">
        <f>IF(Planning!$I23=0,F20&amp;G20,"")</f>
        <v>Sporting LissabonQairat Almaty</v>
      </c>
      <c r="K20" s="7">
        <f t="shared" si="0"/>
        <v>0</v>
      </c>
      <c r="L20" s="7" t="str">
        <f>IF(AND(K20&gt;0,Planning!$I23=0),H20&amp;Language!$E$90&amp;I20,"")</f>
        <v/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IF(Planning!$D24="","",Planning!$D24)</f>
        <v>Sporting Lissabon</v>
      </c>
      <c r="D21" s="2"/>
      <c r="E21" s="219">
        <v>18</v>
      </c>
      <c r="F21" s="139" t="str">
        <f>Planning!$Q24</f>
        <v>Newcastle United</v>
      </c>
      <c r="G21" s="140" t="str">
        <f>Planning!$S24</f>
        <v>FC Barcelona</v>
      </c>
      <c r="H21" s="111" t="str">
        <f>IF(AND(Results!$Q$6&gt;0,$E21-1&gt;=Results!$Q$6*Calc!$F$42),"",IF(AND(Results!$I26&lt;&gt;"",Results!$K26&lt;&gt;"",Results!$F26&lt;&gt;Results!$H26,$F21&lt;&gt;"",$G21&lt;&gt;""),Results!$I26,""))</f>
        <v/>
      </c>
      <c r="I21" s="17" t="str">
        <f>IF(AND(Results!$Q$6&gt;0,$E21-1&gt;=Results!$Q$6*Calc!$F$42),"",IF(AND(Results!$I26&lt;&gt;"",Results!$K26&lt;&gt;"",Results!$F26&lt;&gt;Results!$H26,$F21&lt;&gt;"",$G21&lt;&gt;""),Results!$K26,""))</f>
        <v/>
      </c>
      <c r="J21" s="16" t="str">
        <f>IF(Planning!$I24=0,F21&amp;G21,"")</f>
        <v>Newcastle UnitedFC Barcelona</v>
      </c>
      <c r="K21" s="7">
        <f t="shared" si="0"/>
        <v>0</v>
      </c>
      <c r="L21" s="7" t="str">
        <f>IF(AND(K21&gt;0,Planning!$I24=0),H21&amp;Language!$E$90&amp;I21,"")</f>
        <v/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IF(Planning!$D25="","",Planning!$D25)</f>
        <v>FC Liverpool</v>
      </c>
      <c r="D22" s="2"/>
      <c r="E22" s="219">
        <v>19</v>
      </c>
      <c r="F22" s="139" t="str">
        <f>Planning!$Q25</f>
        <v>Atalanta Bergamo</v>
      </c>
      <c r="G22" s="140" t="str">
        <f>Planning!$S25</f>
        <v>Club Brügge</v>
      </c>
      <c r="H22" s="111" t="str">
        <f>IF(AND(Results!$Q$6&gt;0,$E22-1&gt;=Results!$Q$6*Calc!$F$42),"",IF(AND(Results!$I27&lt;&gt;"",Results!$K27&lt;&gt;"",Results!$F27&lt;&gt;Results!$H27,$F22&lt;&gt;"",$G22&lt;&gt;""),Results!$I27,""))</f>
        <v/>
      </c>
      <c r="I22" s="17" t="str">
        <f>IF(AND(Results!$Q$6&gt;0,$E22-1&gt;=Results!$Q$6*Calc!$F$42),"",IF(AND(Results!$I27&lt;&gt;"",Results!$K27&lt;&gt;"",Results!$F27&lt;&gt;Results!$H27,$F22&lt;&gt;"",$G22&lt;&gt;""),Results!$K27,""))</f>
        <v/>
      </c>
      <c r="J22" s="16" t="str">
        <f>IF(Planning!$I25=0,F22&amp;G22,"")</f>
        <v>Atalanta BergamoClub Brügge</v>
      </c>
      <c r="K22" s="7">
        <f t="shared" si="0"/>
        <v>0</v>
      </c>
      <c r="L22" s="7" t="str">
        <f>IF(AND(K22&gt;0,Planning!$I25=0),H22&amp;Language!$E$90&amp;I22,"")</f>
        <v/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IF(Planning!$D26="","",Planning!$D26)</f>
        <v>Atletico Madrid</v>
      </c>
      <c r="D23" s="2"/>
      <c r="E23" s="219">
        <v>20</v>
      </c>
      <c r="F23" s="139" t="str">
        <f>Planning!$Q26</f>
        <v>Qairat Almaty</v>
      </c>
      <c r="G23" s="140" t="str">
        <f>Planning!$S26</f>
        <v>Real Madrid</v>
      </c>
      <c r="H23" s="111" t="str">
        <f>IF(AND(Results!$Q$6&gt;0,$E23-1&gt;=Results!$Q$6*Calc!$F$42),"",IF(AND(Results!$I28&lt;&gt;"",Results!$K28&lt;&gt;"",Results!$F28&lt;&gt;Results!$H28,$F23&lt;&gt;"",$G23&lt;&gt;""),Results!$I28,""))</f>
        <v/>
      </c>
      <c r="I23" s="17" t="str">
        <f>IF(AND(Results!$Q$6&gt;0,$E23-1&gt;=Results!$Q$6*Calc!$F$42),"",IF(AND(Results!$I28&lt;&gt;"",Results!$K28&lt;&gt;"",Results!$F28&lt;&gt;Results!$H28,$F23&lt;&gt;"",$G23&lt;&gt;""),Results!$K28,""))</f>
        <v/>
      </c>
      <c r="J23" s="16" t="str">
        <f>IF(Planning!$I26=0,F23&amp;G23,"")</f>
        <v>Qairat AlmatyReal Madrid</v>
      </c>
      <c r="K23" s="7">
        <f t="shared" si="0"/>
        <v>0</v>
      </c>
      <c r="L23" s="7" t="str">
        <f>IF(AND(K23&gt;0,Planning!$I26=0),H23&amp;Language!$E$90&amp;I23,"")</f>
        <v/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IF(Planning!$D27="","",Planning!$D27)</f>
        <v>Real Madrid</v>
      </c>
      <c r="D24" s="2"/>
      <c r="E24" s="219">
        <v>21</v>
      </c>
      <c r="F24" s="139" t="str">
        <f>Planning!$Q27</f>
        <v>Inter Mailand</v>
      </c>
      <c r="G24" s="140" t="str">
        <f>Planning!$S27</f>
        <v>Salva Prag</v>
      </c>
      <c r="H24" s="111" t="str">
        <f>IF(AND(Results!$Q$6&gt;0,$E24-1&gt;=Results!$Q$6*Calc!$F$42),"",IF(AND(Results!$I29&lt;&gt;"",Results!$K29&lt;&gt;"",Results!$F29&lt;&gt;Results!$H29,$F24&lt;&gt;"",$G24&lt;&gt;""),Results!$I29,""))</f>
        <v/>
      </c>
      <c r="I24" s="17" t="str">
        <f>IF(AND(Results!$Q$6&gt;0,$E24-1&gt;=Results!$Q$6*Calc!$F$42),"",IF(AND(Results!$I29&lt;&gt;"",Results!$K29&lt;&gt;"",Results!$F29&lt;&gt;Results!$H29,$F24&lt;&gt;"",$G24&lt;&gt;""),Results!$K29,""))</f>
        <v/>
      </c>
      <c r="J24" s="16" t="str">
        <f>IF(Planning!$I27=0,F24&amp;G24,"")</f>
        <v>Inter MailandSalva Prag</v>
      </c>
      <c r="K24" s="7">
        <f t="shared" si="0"/>
        <v>0</v>
      </c>
      <c r="L24" s="7" t="str">
        <f>IF(AND(K24&gt;0,Planning!$I27=0),H24&amp;Language!$E$90&amp;I24,"")</f>
        <v/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IF(Planning!$D28="","",Planning!$D28)</f>
        <v>Inter Mailand</v>
      </c>
      <c r="D25" s="2"/>
      <c r="E25" s="219">
        <v>22</v>
      </c>
      <c r="F25" s="139" t="str">
        <f>Planning!$Q28</f>
        <v>FC Chelsea</v>
      </c>
      <c r="G25" s="140" t="str">
        <f>Planning!$S28</f>
        <v>Benfica Lissabon</v>
      </c>
      <c r="H25" s="111" t="str">
        <f>IF(AND(Results!$Q$6&gt;0,$E25-1&gt;=Results!$Q$6*Calc!$F$42),"",IF(AND(Results!$I30&lt;&gt;"",Results!$K30&lt;&gt;"",Results!$F30&lt;&gt;Results!$H30,$F25&lt;&gt;"",$G25&lt;&gt;""),Results!$I30,""))</f>
        <v/>
      </c>
      <c r="I25" s="17" t="str">
        <f>IF(AND(Results!$Q$6&gt;0,$E25-1&gt;=Results!$Q$6*Calc!$F$42),"",IF(AND(Results!$I30&lt;&gt;"",Results!$K30&lt;&gt;"",Results!$F30&lt;&gt;Results!$H30,$F25&lt;&gt;"",$G25&lt;&gt;""),Results!$K30,""))</f>
        <v/>
      </c>
      <c r="J25" s="16" t="str">
        <f>IF(Planning!$I28=0,F25&amp;G25,"")</f>
        <v>FC ChelseaBenfica Lissabon</v>
      </c>
      <c r="K25" s="7">
        <f t="shared" si="0"/>
        <v>0</v>
      </c>
      <c r="L25" s="7" t="str">
        <f>IF(AND(K25&gt;0,Planning!$I28=0),H25&amp;Language!$E$90&amp;I25,"")</f>
        <v/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IF(Planning!$D29="","",Planning!$D29)</f>
        <v>Manchester City</v>
      </c>
      <c r="D26" s="2"/>
      <c r="E26" s="219">
        <v>23</v>
      </c>
      <c r="F26" s="139" t="str">
        <f>Planning!$Q29</f>
        <v>Atletico Madrid</v>
      </c>
      <c r="G26" s="140" t="str">
        <f>Planning!$S29</f>
        <v>Eintracht Frankfurt</v>
      </c>
      <c r="H26" s="111" t="str">
        <f>IF(AND(Results!$Q$6&gt;0,$E26-1&gt;=Results!$Q$6*Calc!$F$42),"",IF(AND(Results!$I31&lt;&gt;"",Results!$K31&lt;&gt;"",Results!$F31&lt;&gt;Results!$H31,$F26&lt;&gt;"",$G26&lt;&gt;""),Results!$I31,""))</f>
        <v/>
      </c>
      <c r="I26" s="17" t="str">
        <f>IF(AND(Results!$Q$6&gt;0,$E26-1&gt;=Results!$Q$6*Calc!$F$42),"",IF(AND(Results!$I31&lt;&gt;"",Results!$K31&lt;&gt;"",Results!$F31&lt;&gt;Results!$H31,$F26&lt;&gt;"",$G26&lt;&gt;""),Results!$K31,""))</f>
        <v/>
      </c>
      <c r="J26" s="16" t="str">
        <f>IF(Planning!$I29=0,F26&amp;G26,"")</f>
        <v>Atletico MadridEintracht Frankfurt</v>
      </c>
      <c r="K26" s="7">
        <f t="shared" si="0"/>
        <v>0</v>
      </c>
      <c r="L26" s="7" t="str">
        <f>IF(AND(K26&gt;0,Planning!$I29=0),H26&amp;Language!$E$90&amp;I26,"")</f>
        <v/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IF(Planning!$D30="","",Planning!$D30)</f>
        <v>Olympique Marseille</v>
      </c>
      <c r="D27" s="2"/>
      <c r="E27" s="219">
        <v>24</v>
      </c>
      <c r="F27" s="139" t="str">
        <f>Planning!$Q30</f>
        <v>FK Bodö/Glimt</v>
      </c>
      <c r="G27" s="140" t="str">
        <f>Planning!$S30</f>
        <v>Tottenham Hotspur</v>
      </c>
      <c r="H27" s="111" t="str">
        <f>IF(AND(Results!$Q$6&gt;0,$E27-1&gt;=Results!$Q$6*Calc!$F$42),"",IF(AND(Results!$I32&lt;&gt;"",Results!$K32&lt;&gt;"",Results!$F32&lt;&gt;Results!$H32,$F27&lt;&gt;"",$G27&lt;&gt;""),Results!$I32,""))</f>
        <v/>
      </c>
      <c r="I27" s="17" t="str">
        <f>IF(AND(Results!$Q$6&gt;0,$E27-1&gt;=Results!$Q$6*Calc!$F$42),"",IF(AND(Results!$I32&lt;&gt;"",Results!$K32&lt;&gt;"",Results!$F32&lt;&gt;Results!$H32,$F27&lt;&gt;"",$G27&lt;&gt;""),Results!$K32,""))</f>
        <v/>
      </c>
      <c r="J27" s="16" t="str">
        <f>IF(Planning!$I30=0,F27&amp;G27,"")</f>
        <v>FK Bodö/GlimtTottenham Hotspur</v>
      </c>
      <c r="K27" s="7">
        <f t="shared" si="0"/>
        <v>0</v>
      </c>
      <c r="L27" s="7" t="str">
        <f>IF(AND(K27&gt;0,Planning!$I30=0),H27&amp;Language!$E$90&amp;I27,"")</f>
        <v/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IF(Planning!$D31="","",Planning!$D31)</f>
        <v>AS Monaco</v>
      </c>
      <c r="D28" s="2"/>
      <c r="E28" s="219">
        <v>25</v>
      </c>
      <c r="F28" s="139" t="str">
        <f>Planning!$Q31</f>
        <v>Olympique Marseille</v>
      </c>
      <c r="G28" s="140" t="str">
        <f>Planning!$S31</f>
        <v>Ajax Amsterdam</v>
      </c>
      <c r="H28" s="111" t="str">
        <f>IF(AND(Results!$Q$6&gt;0,$E28-1&gt;=Results!$Q$6*Calc!$F$42),"",IF(AND(Results!$I33&lt;&gt;"",Results!$K33&lt;&gt;"",Results!$F33&lt;&gt;Results!$H33,$F28&lt;&gt;"",$G28&lt;&gt;""),Results!$I33,""))</f>
        <v/>
      </c>
      <c r="I28" s="17" t="str">
        <f>IF(AND(Results!$Q$6&gt;0,$E28-1&gt;=Results!$Q$6*Calc!$F$42),"",IF(AND(Results!$I33&lt;&gt;"",Results!$K33&lt;&gt;"",Results!$F33&lt;&gt;Results!$H33,$F28&lt;&gt;"",$G28&lt;&gt;""),Results!$K33,""))</f>
        <v/>
      </c>
      <c r="J28" s="16" t="str">
        <f>IF(Planning!$I31=0,F28&amp;G28,"")</f>
        <v>Olympique MarseilleAjax Amsterdam</v>
      </c>
      <c r="K28" s="7">
        <f t="shared" si="0"/>
        <v>0</v>
      </c>
      <c r="L28" s="7" t="str">
        <f>IF(AND(K28&gt;0,Planning!$I31=0),H28&amp;Language!$E$90&amp;I28,"")</f>
        <v/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IF(Planning!$D32="","",Planning!$D32)</f>
        <v>Bayern München</v>
      </c>
      <c r="D29" s="2"/>
      <c r="E29" s="219">
        <v>26</v>
      </c>
      <c r="F29" s="139" t="str">
        <f>Planning!$Q32</f>
        <v>Galatasaray SK</v>
      </c>
      <c r="G29" s="140" t="str">
        <f>Planning!$S32</f>
        <v>FC Liverpool</v>
      </c>
      <c r="H29" s="111" t="str">
        <f>IF(AND(Results!$Q$6&gt;0,$E29-1&gt;=Results!$Q$6*Calc!$F$42),"",IF(AND(Results!$I34&lt;&gt;"",Results!$K34&lt;&gt;"",Results!$F34&lt;&gt;Results!$H34,$F29&lt;&gt;"",$G29&lt;&gt;""),Results!$I34,""))</f>
        <v/>
      </c>
      <c r="I29" s="17" t="str">
        <f>IF(AND(Results!$Q$6&gt;0,$E29-1&gt;=Results!$Q$6*Calc!$F$42),"",IF(AND(Results!$I34&lt;&gt;"",Results!$K34&lt;&gt;"",Results!$F34&lt;&gt;Results!$H34,$F29&lt;&gt;"",$G29&lt;&gt;""),Results!$K34,""))</f>
        <v/>
      </c>
      <c r="J29" s="16" t="str">
        <f>IF(Planning!$I32=0,F29&amp;G29,"")</f>
        <v>Galatasaray SKFC Liverpool</v>
      </c>
      <c r="K29" s="7">
        <f t="shared" si="0"/>
        <v>0</v>
      </c>
      <c r="L29" s="7" t="str">
        <f>IF(AND(K29&gt;0,Planning!$I32=0),H29&amp;Language!$E$90&amp;I29,"")</f>
        <v/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IF(Planning!$D33="","",Planning!$D33)</f>
        <v>SSC Neapel</v>
      </c>
      <c r="D30" s="2"/>
      <c r="E30" s="219">
        <v>27</v>
      </c>
      <c r="F30" s="139" t="str">
        <f>Planning!$Q33</f>
        <v>Pafos FC</v>
      </c>
      <c r="G30" s="140" t="str">
        <f>Planning!$S33</f>
        <v>Bayern München</v>
      </c>
      <c r="H30" s="111" t="str">
        <f>IF(AND(Results!$Q$6&gt;0,$E30-1&gt;=Results!$Q$6*Calc!$F$42),"",IF(AND(Results!$I35&lt;&gt;"",Results!$K35&lt;&gt;"",Results!$F35&lt;&gt;Results!$H35,$F30&lt;&gt;"",$G30&lt;&gt;""),Results!$I35,""))</f>
        <v/>
      </c>
      <c r="I30" s="17" t="str">
        <f>IF(AND(Results!$Q$6&gt;0,$E30-1&gt;=Results!$Q$6*Calc!$F$42),"",IF(AND(Results!$I35&lt;&gt;"",Results!$K35&lt;&gt;"",Results!$F35&lt;&gt;Results!$H35,$F30&lt;&gt;"",$G30&lt;&gt;""),Results!$K35,""))</f>
        <v/>
      </c>
      <c r="J30" s="16" t="str">
        <f>IF(Planning!$I33=0,F30&amp;G30,"")</f>
        <v>Pafos FCBayern München</v>
      </c>
      <c r="K30" s="7">
        <f t="shared" si="0"/>
        <v>0</v>
      </c>
      <c r="L30" s="7" t="str">
        <f>IF(AND(K30&gt;0,Planning!$I33=0),H30&amp;Language!$E$90&amp;I30,"")</f>
        <v/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IF(Planning!$D34="","",Planning!$D34)</f>
        <v>Newcastle United</v>
      </c>
      <c r="D31" s="2"/>
      <c r="E31" s="219">
        <v>28</v>
      </c>
      <c r="F31" s="139" t="str">
        <f>Planning!$Q34</f>
        <v>Union Saint-Gilloise</v>
      </c>
      <c r="G31" s="140" t="str">
        <f>Planning!$S34</f>
        <v>Newcastle United</v>
      </c>
      <c r="H31" s="111" t="str">
        <f>IF(AND(Results!$Q$6&gt;0,$E31-1&gt;=Results!$Q$6*Calc!$F$42),"",IF(AND(Results!$I36&lt;&gt;"",Results!$K36&lt;&gt;"",Results!$F36&lt;&gt;Results!$H36,$F31&lt;&gt;"",$G31&lt;&gt;""),Results!$I36,""))</f>
        <v/>
      </c>
      <c r="I31" s="17" t="str">
        <f>IF(AND(Results!$Q$6&gt;0,$E31-1&gt;=Results!$Q$6*Calc!$F$42),"",IF(AND(Results!$I36&lt;&gt;"",Results!$K36&lt;&gt;"",Results!$F36&lt;&gt;Results!$H36,$F31&lt;&gt;"",$G31&lt;&gt;""),Results!$K36,""))</f>
        <v/>
      </c>
      <c r="J31" s="16" t="str">
        <f>IF(Planning!$I34=0,F31&amp;G31,"")</f>
        <v>Union Saint-GilloiseNewcastle United</v>
      </c>
      <c r="K31" s="7">
        <f t="shared" si="0"/>
        <v>0</v>
      </c>
      <c r="L31" s="7" t="str">
        <f>IF(AND(K31&gt;0,Planning!$I34=0),H31&amp;Language!$E$90&amp;I31,"")</f>
        <v/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IF(Planning!$D35="","",Planning!$D35)</f>
        <v>Pafos FC</v>
      </c>
      <c r="D32" s="2"/>
      <c r="E32" s="219">
        <v>29</v>
      </c>
      <c r="F32" s="139" t="str">
        <f>Planning!$Q35</f>
        <v>Qarabag Agdam</v>
      </c>
      <c r="G32" s="140" t="str">
        <f>Planning!$S35</f>
        <v>FC Kopenhagen</v>
      </c>
      <c r="H32" s="111" t="str">
        <f>IF(AND(Results!$Q$6&gt;0,$E32-1&gt;=Results!$Q$6*Calc!$F$42),"",IF(AND(Results!$I37&lt;&gt;"",Results!$K37&lt;&gt;"",Results!$F37&lt;&gt;Results!$H37,$F32&lt;&gt;"",$G32&lt;&gt;""),Results!$I37,""))</f>
        <v/>
      </c>
      <c r="I32" s="17" t="str">
        <f>IF(AND(Results!$Q$6&gt;0,$E32-1&gt;=Results!$Q$6*Calc!$F$42),"",IF(AND(Results!$I37&lt;&gt;"",Results!$K37&lt;&gt;"",Results!$F37&lt;&gt;Results!$H37,$F32&lt;&gt;"",$G32&lt;&gt;""),Results!$K37,""))</f>
        <v/>
      </c>
      <c r="J32" s="16" t="str">
        <f>IF(Planning!$I35=0,F32&amp;G32,"")</f>
        <v>Qarabag AgdamFC Kopenhagen</v>
      </c>
      <c r="K32" s="7">
        <f t="shared" si="0"/>
        <v>0</v>
      </c>
      <c r="L32" s="7" t="str">
        <f>IF(AND(K32&gt;0,Planning!$I35=0),H32&amp;Language!$E$90&amp;I32,"")</f>
        <v/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IF(Planning!$D36="","",Planning!$D36)</f>
        <v>Paris St. Germain</v>
      </c>
      <c r="D33" s="2"/>
      <c r="E33" s="219">
        <v>30</v>
      </c>
      <c r="F33" s="139" t="str">
        <f>Planning!$Q36</f>
        <v>Borussia Dortmund</v>
      </c>
      <c r="G33" s="140" t="str">
        <f>Planning!$S36</f>
        <v>Athletic Bilbao</v>
      </c>
      <c r="H33" s="111" t="str">
        <f>IF(AND(Results!$Q$6&gt;0,$E33-1&gt;=Results!$Q$6*Calc!$F$42),"",IF(AND(Results!$I38&lt;&gt;"",Results!$K38&lt;&gt;"",Results!$F38&lt;&gt;Results!$H38,$F33&lt;&gt;"",$G33&lt;&gt;""),Results!$I38,""))</f>
        <v/>
      </c>
      <c r="I33" s="17" t="str">
        <f>IF(AND(Results!$Q$6&gt;0,$E33-1&gt;=Results!$Q$6*Calc!$F$42),"",IF(AND(Results!$I38&lt;&gt;"",Results!$K38&lt;&gt;"",Results!$F38&lt;&gt;Results!$H38,$F33&lt;&gt;"",$G33&lt;&gt;""),Results!$K38,""))</f>
        <v/>
      </c>
      <c r="J33" s="16" t="str">
        <f>IF(Planning!$I36=0,F33&amp;G33,"")</f>
        <v>Borussia DortmundAthletic Bilbao</v>
      </c>
      <c r="K33" s="7">
        <f t="shared" si="0"/>
        <v>0</v>
      </c>
      <c r="L33" s="7" t="str">
        <f>IF(AND(K33&gt;0,Planning!$I36=0),H33&amp;Language!$E$90&amp;I33,"")</f>
        <v/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IF(Planning!$D37="","",Planning!$D37)</f>
        <v>Olympiakos Piräus</v>
      </c>
      <c r="D34" s="2"/>
      <c r="E34" s="219">
        <v>31</v>
      </c>
      <c r="F34" s="139" t="str">
        <f>Planning!$Q37</f>
        <v>FC Barcelona</v>
      </c>
      <c r="G34" s="140" t="str">
        <f>Planning!$S37</f>
        <v>Paris St. Germain</v>
      </c>
      <c r="H34" s="111" t="str">
        <f>IF(AND(Results!$Q$6&gt;0,$E34-1&gt;=Results!$Q$6*Calc!$F$42),"",IF(AND(Results!$I39&lt;&gt;"",Results!$K39&lt;&gt;"",Results!$F39&lt;&gt;Results!$H39,$F34&lt;&gt;"",$G34&lt;&gt;""),Results!$I39,""))</f>
        <v/>
      </c>
      <c r="I34" s="17" t="str">
        <f>IF(AND(Results!$Q$6&gt;0,$E34-1&gt;=Results!$Q$6*Calc!$F$42),"",IF(AND(Results!$I39&lt;&gt;"",Results!$K39&lt;&gt;"",Results!$F39&lt;&gt;Results!$H39,$F34&lt;&gt;"",$G34&lt;&gt;""),Results!$K39,""))</f>
        <v/>
      </c>
      <c r="J34" s="16" t="str">
        <f>IF(Planning!$I37=0,F34&amp;G34,"")</f>
        <v>FC BarcelonaParis St. Germain</v>
      </c>
      <c r="K34" s="7">
        <f t="shared" si="0"/>
        <v>0</v>
      </c>
      <c r="L34" s="7" t="str">
        <f>IF(AND(K34&gt;0,Planning!$I37=0),H34&amp;Language!$E$90&amp;I34,"")</f>
        <v/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IF(Planning!$D38="","",Planning!$D38)</f>
        <v>Salva Prag</v>
      </c>
      <c r="D35" s="2"/>
      <c r="E35" s="219">
        <v>32</v>
      </c>
      <c r="F35" s="139" t="str">
        <f>Planning!$Q38</f>
        <v>FC Arsenal</v>
      </c>
      <c r="G35" s="140" t="str">
        <f>Planning!$S38</f>
        <v>Olympiakos Piräus</v>
      </c>
      <c r="H35" s="111" t="str">
        <f>IF(AND(Results!$Q$6&gt;0,$E35-1&gt;=Results!$Q$6*Calc!$F$42),"",IF(AND(Results!$I40&lt;&gt;"",Results!$K40&lt;&gt;"",Results!$F40&lt;&gt;Results!$H40,$F35&lt;&gt;"",$G35&lt;&gt;""),Results!$I40,""))</f>
        <v/>
      </c>
      <c r="I35" s="17" t="str">
        <f>IF(AND(Results!$Q$6&gt;0,$E35-1&gt;=Results!$Q$6*Calc!$F$42),"",IF(AND(Results!$I40&lt;&gt;"",Results!$K40&lt;&gt;"",Results!$F40&lt;&gt;Results!$H40,$F35&lt;&gt;"",$G35&lt;&gt;""),Results!$K40,""))</f>
        <v/>
      </c>
      <c r="J35" s="16" t="str">
        <f>IF(Planning!$I38=0,F35&amp;G35,"")</f>
        <v>FC ArsenalOlympiakos Piräus</v>
      </c>
      <c r="K35" s="7">
        <f t="shared" si="0"/>
        <v>0</v>
      </c>
      <c r="L35" s="7" t="str">
        <f>IF(AND(K35&gt;0,Planning!$I38=0),H35&amp;Language!$E$90&amp;I35,"")</f>
        <v/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153</v>
      </c>
      <c r="C36" s="25" t="str">
        <f>IF(Planning!$D39="","",Planning!$D39)</f>
        <v>Union Saint-Gilloise</v>
      </c>
      <c r="D36" s="2"/>
      <c r="E36" s="219">
        <v>33</v>
      </c>
      <c r="F36" s="139" t="str">
        <f>Planning!$Q39</f>
        <v>Bayer 04 Leverkusen</v>
      </c>
      <c r="G36" s="140" t="str">
        <f>Planning!$S39</f>
        <v>PSV Eindhoven</v>
      </c>
      <c r="H36" s="111" t="str">
        <f>IF(AND(Results!$Q$6&gt;0,$E36-1&gt;=Results!$Q$6*Calc!$F$42),"",IF(AND(Results!$I41&lt;&gt;"",Results!$K41&lt;&gt;"",Results!$F41&lt;&gt;Results!$H41,$F36&lt;&gt;"",$G36&lt;&gt;""),Results!$I41,""))</f>
        <v/>
      </c>
      <c r="I36" s="17" t="str">
        <f>IF(AND(Results!$Q$6&gt;0,$E36-1&gt;=Results!$Q$6*Calc!$F$42),"",IF(AND(Results!$I41&lt;&gt;"",Results!$K41&lt;&gt;"",Results!$F41&lt;&gt;Results!$H41,$F36&lt;&gt;"",$G36&lt;&gt;""),Results!$K41,""))</f>
        <v/>
      </c>
      <c r="J36" s="16" t="str">
        <f>IF(Planning!$I39=0,F36&amp;G36,"")</f>
        <v>Bayer 04 LeverkusenPSV Eindhoven</v>
      </c>
      <c r="K36" s="7">
        <f t="shared" ref="K36:K67" si="1">IF(AND(F36&lt;&gt;"",G36&lt;&gt;"",F36&lt;&gt;G36,H36&lt;&gt;"",I36&lt;&gt;""),1,0)</f>
        <v>0</v>
      </c>
      <c r="L36" s="7" t="str">
        <f>IF(AND(K36&gt;0,Planning!$I39=0),H36&amp;Language!$E$90&amp;I36,"")</f>
        <v/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154</v>
      </c>
      <c r="C37" s="25" t="str">
        <f>IF(Planning!$D40="","",Planning!$D40)</f>
        <v>Tottenham Hotspur</v>
      </c>
      <c r="D37" s="2"/>
      <c r="E37" s="219">
        <v>34</v>
      </c>
      <c r="F37" s="139" t="str">
        <f>Planning!$Q40</f>
        <v>SSC Neapel</v>
      </c>
      <c r="G37" s="140" t="str">
        <f>Planning!$S40</f>
        <v>Sporting Lissabon</v>
      </c>
      <c r="H37" s="111" t="str">
        <f>IF(AND(Results!$Q$6&gt;0,$E37-1&gt;=Results!$Q$6*Calc!$F$42),"",IF(AND(Results!$I42&lt;&gt;"",Results!$K42&lt;&gt;"",Results!$F42&lt;&gt;Results!$H42,$F37&lt;&gt;"",$G37&lt;&gt;""),Results!$I42,""))</f>
        <v/>
      </c>
      <c r="I37" s="17" t="str">
        <f>IF(AND(Results!$Q$6&gt;0,$E37-1&gt;=Results!$Q$6*Calc!$F$42),"",IF(AND(Results!$I42&lt;&gt;"",Results!$K42&lt;&gt;"",Results!$F42&lt;&gt;Results!$H42,$F37&lt;&gt;"",$G37&lt;&gt;""),Results!$K42,""))</f>
        <v/>
      </c>
      <c r="J37" s="16" t="str">
        <f>IF(Planning!$I40=0,F37&amp;G37,"")</f>
        <v>SSC NeapelSporting Lissabon</v>
      </c>
      <c r="K37" s="7">
        <f t="shared" si="1"/>
        <v>0</v>
      </c>
      <c r="L37" s="7" t="str">
        <f>IF(AND(K37&gt;0,Planning!$I40=0),H37&amp;Language!$E$90&amp;I37,"")</f>
        <v/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155</v>
      </c>
      <c r="C38" s="25" t="str">
        <f>IF(Planning!$D41="","",Planning!$D41)</f>
        <v>Juventus Turin</v>
      </c>
      <c r="D38" s="2"/>
      <c r="E38" s="219">
        <v>35</v>
      </c>
      <c r="F38" s="139" t="str">
        <f>Planning!$Q41</f>
        <v>FC Villarreal</v>
      </c>
      <c r="G38" s="140" t="str">
        <f>Planning!$S41</f>
        <v>Juventus Turin</v>
      </c>
      <c r="H38" s="111" t="str">
        <f>IF(AND(Results!$Q$6&gt;0,$E38-1&gt;=Results!$Q$6*Calc!$F$42),"",IF(AND(Results!$I43&lt;&gt;"",Results!$K43&lt;&gt;"",Results!$F43&lt;&gt;Results!$H43,$F38&lt;&gt;"",$G38&lt;&gt;""),Results!$I43,""))</f>
        <v/>
      </c>
      <c r="I38" s="17" t="str">
        <f>IF(AND(Results!$Q$6&gt;0,$E38-1&gt;=Results!$Q$6*Calc!$F$42),"",IF(AND(Results!$I43&lt;&gt;"",Results!$K43&lt;&gt;"",Results!$F43&lt;&gt;Results!$H43,$F38&lt;&gt;"",$G38&lt;&gt;""),Results!$K43,""))</f>
        <v/>
      </c>
      <c r="J38" s="16" t="str">
        <f>IF(Planning!$I41=0,F38&amp;G38,"")</f>
        <v>FC VillarrealJuventus Turin</v>
      </c>
      <c r="K38" s="7">
        <f t="shared" si="1"/>
        <v>0</v>
      </c>
      <c r="L38" s="7" t="str">
        <f>IF(AND(K38&gt;0,Planning!$I41=0),H38&amp;Language!$E$90&amp;I38,"")</f>
        <v/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156</v>
      </c>
      <c r="C39" s="135" t="str">
        <f>IF(Planning!$D42="","",Planning!$D42)</f>
        <v>FC Villarreal</v>
      </c>
      <c r="D39" s="2"/>
      <c r="E39" s="219">
        <v>36</v>
      </c>
      <c r="F39" s="139" t="str">
        <f>Planning!$Q42</f>
        <v>AS Monaco</v>
      </c>
      <c r="G39" s="140" t="str">
        <f>Planning!$S42</f>
        <v>Manchester City</v>
      </c>
      <c r="H39" s="111" t="str">
        <f>IF(AND(Results!$Q$6&gt;0,$E39-1&gt;=Results!$Q$6*Calc!$F$42),"",IF(AND(Results!$I44&lt;&gt;"",Results!$K44&lt;&gt;"",Results!$F44&lt;&gt;Results!$H44,$F39&lt;&gt;"",$G39&lt;&gt;""),Results!$I44,""))</f>
        <v/>
      </c>
      <c r="I39" s="17" t="str">
        <f>IF(AND(Results!$Q$6&gt;0,$E39-1&gt;=Results!$Q$6*Calc!$F$42),"",IF(AND(Results!$I44&lt;&gt;"",Results!$K44&lt;&gt;"",Results!$F44&lt;&gt;Results!$H44,$F39&lt;&gt;"",$G39&lt;&gt;""),Results!$K44,""))</f>
        <v/>
      </c>
      <c r="J39" s="16" t="str">
        <f>IF(Planning!$I42=0,F39&amp;G39,"")</f>
        <v>AS MonacoManchester City</v>
      </c>
      <c r="K39" s="7">
        <f t="shared" si="1"/>
        <v>0</v>
      </c>
      <c r="L39" s="7" t="str">
        <f>IF(AND(K39&gt;0,Planning!$I42=0),H39&amp;Language!$E$90&amp;I39,"")</f>
        <v/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Planning!$Q43</f>
        <v>FC Barcelona</v>
      </c>
      <c r="G40" s="140" t="str">
        <f>Planning!$S43</f>
        <v>Olympiakos Piräus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IF(Planning!$I43=0,F40&amp;G40,"")</f>
        <v>FC BarcelonaOlympiakos Piräus</v>
      </c>
      <c r="K40" s="7">
        <f t="shared" si="1"/>
        <v>0</v>
      </c>
      <c r="L40" s="7" t="str">
        <f>IF(AND(K40&gt;0,Planning!$I43=0),H40&amp;Language!$E$90&amp;I40,"")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Planning!$Q44</f>
        <v>Qairat Almaty</v>
      </c>
      <c r="G41" s="140" t="str">
        <f>Planning!$S44</f>
        <v>Pafos FC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IF(Planning!$I44=0,F41&amp;G41,"")</f>
        <v>Qairat AlmatyPafos FC</v>
      </c>
      <c r="K41" s="7">
        <f t="shared" si="1"/>
        <v>0</v>
      </c>
      <c r="L41" s="7" t="str">
        <f>IF(AND(K41&gt;0,Planning!$I44=0),H41&amp;Language!$E$90&amp;I41,"")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Planning!$Q45</f>
        <v>FC Arsenal</v>
      </c>
      <c r="G42" s="140" t="str">
        <f>Planning!$S45</f>
        <v>Atletico Madrid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IF(Planning!$I45=0,F42&amp;G42,"")</f>
        <v>FC ArsenalAtletico Madrid</v>
      </c>
      <c r="K42" s="7">
        <f t="shared" si="1"/>
        <v>0</v>
      </c>
      <c r="L42" s="7" t="str">
        <f>IF(AND(K42&gt;0,Planning!$I45=0),H42&amp;Language!$E$90&amp;I42,"")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Planning!$Q46</f>
        <v>Bayer 04 Leverkusen</v>
      </c>
      <c r="G43" s="140" t="str">
        <f>Planning!$S46</f>
        <v>Paris St. Germain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IF(Planning!$I46=0,F43&amp;G43,"")</f>
        <v>Bayer 04 LeverkusenParis St. Germain</v>
      </c>
      <c r="K43" s="7">
        <f t="shared" si="1"/>
        <v>0</v>
      </c>
      <c r="L43" s="7" t="str">
        <f>IF(AND(K43&gt;0,Planning!$I46=0),H43&amp;Language!$E$90&amp;I43,"")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Planning!$Q47</f>
        <v>PSV Eindhoven</v>
      </c>
      <c r="G44" s="140" t="str">
        <f>Planning!$S47</f>
        <v>SSC Neapel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IF(Planning!$I47=0,F44&amp;G44,"")</f>
        <v>PSV EindhovenSSC Neapel</v>
      </c>
      <c r="K44" s="7">
        <f t="shared" si="1"/>
        <v>0</v>
      </c>
      <c r="L44" s="7" t="str">
        <f>IF(AND(K44&gt;0,Planning!$I47=0),H44&amp;Language!$E$90&amp;I44,"")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Planning!$Q48</f>
        <v>FC Villarreal</v>
      </c>
      <c r="G45" s="140" t="str">
        <f>Planning!$S48</f>
        <v>Manchester City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IF(Planning!$I48=0,F45&amp;G45,"")</f>
        <v>FC VillarrealManchester City</v>
      </c>
      <c r="K45" s="7">
        <f t="shared" si="1"/>
        <v>0</v>
      </c>
      <c r="L45" s="7" t="str">
        <f>IF(AND(K45&gt;0,Planning!$I48=0),H45&amp;Language!$E$90&amp;I45,"")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Planning!$Q49</f>
        <v>FC Kopenhagen</v>
      </c>
      <c r="G46" s="140" t="str">
        <f>Planning!$S49</f>
        <v>Borussia Dortmund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IF(Planning!$I49=0,F46&amp;G46,"")</f>
        <v>FC KopenhagenBorussia Dortmund</v>
      </c>
      <c r="K46" s="7">
        <f t="shared" si="1"/>
        <v>0</v>
      </c>
      <c r="L46" s="7" t="str">
        <f>IF(AND(K46&gt;0,Planning!$I49=0),H46&amp;Language!$E$90&amp;I46,"")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Planning!$Q50</f>
        <v>Union Saint-Gilloise</v>
      </c>
      <c r="G47" s="140" t="str">
        <f>Planning!$S50</f>
        <v>Inter Mailand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IF(Planning!$I50=0,F47&amp;G47,"")</f>
        <v>Union Saint-GilloiseInter Mailand</v>
      </c>
      <c r="K47" s="7">
        <f t="shared" si="1"/>
        <v>0</v>
      </c>
      <c r="L47" s="7" t="str">
        <f>IF(AND(K47&gt;0,Planning!$I50=0),H47&amp;Language!$E$90&amp;I47,"")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Planning!$Q51</f>
        <v>Newcastle United</v>
      </c>
      <c r="G48" s="140" t="str">
        <f>Planning!$S51</f>
        <v>Benfica Lissabon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IF(Planning!$I51=0,F48&amp;G48,"")</f>
        <v>Newcastle UnitedBenfica Lissabon</v>
      </c>
      <c r="K48" s="7">
        <f t="shared" si="1"/>
        <v>0</v>
      </c>
      <c r="L48" s="7" t="str">
        <f>IF(AND(K48&gt;0,Planning!$I51=0),H48&amp;Language!$E$90&amp;I48,"")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Planning!$Q52</f>
        <v>Galatasaray SK</v>
      </c>
      <c r="G49" s="140" t="str">
        <f>Planning!$S52</f>
        <v>FK Bodö/Glimt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IF(Planning!$I52=0,F49&amp;G49,"")</f>
        <v>Galatasaray SKFK Bodö/Glimt</v>
      </c>
      <c r="K49" s="7">
        <f t="shared" si="1"/>
        <v>0</v>
      </c>
      <c r="L49" s="7" t="str">
        <f>IF(AND(K49&gt;0,Planning!$I52=0),H49&amp;Language!$E$90&amp;I49,"")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Planning!$Q53</f>
        <v>Athletic Bilbao</v>
      </c>
      <c r="G50" s="140" t="str">
        <f>Planning!$S53</f>
        <v>Qarabag Agdam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IF(Planning!$I53=0,F50&amp;G50,"")</f>
        <v>Athletic BilbaoQarabag Agdam</v>
      </c>
      <c r="K50" s="7">
        <f t="shared" si="1"/>
        <v>0</v>
      </c>
      <c r="L50" s="7" t="str">
        <f>IF(AND(K50&gt;0,Planning!$I53=0),H50&amp;Language!$E$90&amp;I50,"")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Planning!$Q54</f>
        <v>Bayern München</v>
      </c>
      <c r="G51" s="140" t="str">
        <f>Planning!$S54</f>
        <v>Club Brügge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IF(Planning!$I54=0,F51&amp;G51,"")</f>
        <v>Bayern MünchenClub Brügge</v>
      </c>
      <c r="K51" s="7">
        <f t="shared" si="1"/>
        <v>0</v>
      </c>
      <c r="L51" s="7" t="str">
        <f>IF(AND(K51&gt;0,Planning!$I54=0),H51&amp;Language!$E$90&amp;I51,"")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Planning!$Q55</f>
        <v>Real Madrid</v>
      </c>
      <c r="G52" s="140" t="str">
        <f>Planning!$S55</f>
        <v>Juventus Turin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IF(Planning!$I55=0,F52&amp;G52,"")</f>
        <v>Real MadridJuventus Turin</v>
      </c>
      <c r="K52" s="7">
        <f t="shared" si="1"/>
        <v>0</v>
      </c>
      <c r="L52" s="7" t="str">
        <f>IF(AND(K52&gt;0,Planning!$I55=0),H52&amp;Language!$E$90&amp;I52,"")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Planning!$Q56</f>
        <v>FC Chelsea</v>
      </c>
      <c r="G53" s="140" t="str">
        <f>Planning!$S56</f>
        <v>Ajax Amsterdam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IF(Planning!$I56=0,F53&amp;G53,"")</f>
        <v>FC ChelseaAjax Amsterdam</v>
      </c>
      <c r="K53" s="7">
        <f t="shared" si="1"/>
        <v>0</v>
      </c>
      <c r="L53" s="7" t="str">
        <f>IF(AND(K53&gt;0,Planning!$I56=0),H53&amp;Language!$E$90&amp;I53,"")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Planning!$Q57</f>
        <v>Atalanta Bergamo</v>
      </c>
      <c r="G54" s="140" t="str">
        <f>Planning!$S57</f>
        <v>Salva Prag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IF(Planning!$I57=0,F54&amp;G54,"")</f>
        <v>Atalanta BergamoSalva Prag</v>
      </c>
      <c r="K54" s="7">
        <f t="shared" si="1"/>
        <v>0</v>
      </c>
      <c r="L54" s="7" t="str">
        <f>IF(AND(K54&gt;0,Planning!$I57=0),H54&amp;Language!$E$90&amp;I54,"")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Planning!$Q58</f>
        <v>Eintracht Frankfurt</v>
      </c>
      <c r="G55" s="140" t="str">
        <f>Planning!$S58</f>
        <v>FC Liverpool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IF(Planning!$I58=0,F55&amp;G55,"")</f>
        <v>Eintracht FrankfurtFC Liverpool</v>
      </c>
      <c r="K55" s="7">
        <f t="shared" si="1"/>
        <v>0</v>
      </c>
      <c r="L55" s="7" t="str">
        <f>IF(AND(K55&gt;0,Planning!$I58=0),H55&amp;Language!$E$90&amp;I55,"")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Planning!$Q59</f>
        <v>Sporting Lissabon</v>
      </c>
      <c r="G56" s="140" t="str">
        <f>Planning!$S59</f>
        <v>Olympique Marseille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IF(Planning!$I59=0,F56&amp;G56,"")</f>
        <v>Sporting LissabonOlympique Marseille</v>
      </c>
      <c r="K56" s="7">
        <f t="shared" si="1"/>
        <v>0</v>
      </c>
      <c r="L56" s="7" t="str">
        <f>IF(AND(K56&gt;0,Planning!$I59=0),H56&amp;Language!$E$90&amp;I56,"")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Planning!$Q60</f>
        <v>AS Monaco</v>
      </c>
      <c r="G57" s="140" t="str">
        <f>Planning!$S60</f>
        <v>Tottenham Hotspur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IF(Planning!$I60=0,F57&amp;G57,"")</f>
        <v>AS MonacoTottenham Hotspur</v>
      </c>
      <c r="K57" s="7">
        <f t="shared" si="1"/>
        <v>0</v>
      </c>
      <c r="L57" s="7" t="str">
        <f>IF(AND(K57&gt;0,Planning!$I60=0),H57&amp;Language!$E$90&amp;I57,"")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Planning!$Q61</f>
        <v>SSC Neapel</v>
      </c>
      <c r="G58" s="140" t="str">
        <f>Planning!$S61</f>
        <v>Eintracht Frankfurt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IF(Planning!$I61=0,F58&amp;G58,"")</f>
        <v>SSC NeapelEintracht Frankfurt</v>
      </c>
      <c r="K58" s="7">
        <f t="shared" si="1"/>
        <v>0</v>
      </c>
      <c r="L58" s="7" t="str">
        <f>IF(AND(K58&gt;0,Planning!$I61=0),H58&amp;Language!$E$90&amp;I58,"")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Planning!$Q62</f>
        <v>Salva Prag</v>
      </c>
      <c r="G59" s="140" t="str">
        <f>Planning!$S62</f>
        <v>FC Arsenal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IF(Planning!$I62=0,F59&amp;G59,"")</f>
        <v>Salva PragFC Arsenal</v>
      </c>
      <c r="K59" s="7">
        <f t="shared" si="1"/>
        <v>0</v>
      </c>
      <c r="L59" s="7" t="str">
        <f>IF(AND(K59&gt;0,Planning!$I62=0),H59&amp;Language!$E$90&amp;I59,"")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Planning!$Q63</f>
        <v>Paris St. Germain</v>
      </c>
      <c r="G60" s="140" t="str">
        <f>Planning!$S63</f>
        <v>Bayern München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IF(Planning!$I63=0,F60&amp;G60,"")</f>
        <v>Paris St. GermainBayern München</v>
      </c>
      <c r="K60" s="7">
        <f t="shared" si="1"/>
        <v>0</v>
      </c>
      <c r="L60" s="7" t="str">
        <f>IF(AND(K60&gt;0,Planning!$I63=0),H60&amp;Language!$E$90&amp;I60,"")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Planning!$Q64</f>
        <v>FC Liverpool</v>
      </c>
      <c r="G61" s="140" t="str">
        <f>Planning!$S64</f>
        <v>Real Madrid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IF(Planning!$I64=0,F61&amp;G61,"")</f>
        <v>FC LiverpoolReal Madrid</v>
      </c>
      <c r="K61" s="7">
        <f t="shared" si="1"/>
        <v>0</v>
      </c>
      <c r="L61" s="7" t="str">
        <f>IF(AND(K61&gt;0,Planning!$I64=0),H61&amp;Language!$E$90&amp;I61,"")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Planning!$Q65</f>
        <v>Juventus Turin</v>
      </c>
      <c r="G62" s="140" t="str">
        <f>Planning!$S65</f>
        <v>Sporting Lissabon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IF(Planning!$I65=0,F62&amp;G62,"")</f>
        <v>Juventus TurinSporting Lissabon</v>
      </c>
      <c r="K62" s="7">
        <f t="shared" si="1"/>
        <v>0</v>
      </c>
      <c r="L62" s="7" t="str">
        <f>IF(AND(K62&gt;0,Planning!$I65=0),H62&amp;Language!$E$90&amp;I62,"")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Planning!$Q66</f>
        <v>Atletico Madrid</v>
      </c>
      <c r="G63" s="140" t="str">
        <f>Planning!$S66</f>
        <v>Union Saint-Gilloise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IF(Planning!$I66=0,F63&amp;G63,"")</f>
        <v>Atletico MadridUnion Saint-Gilloise</v>
      </c>
      <c r="K63" s="7">
        <f t="shared" si="1"/>
        <v>0</v>
      </c>
      <c r="L63" s="7" t="str">
        <f>IF(AND(K63&gt;0,Planning!$I66=0),H63&amp;Language!$E$90&amp;I63,"")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Planning!$Q67</f>
        <v>Tottenham Hotspur</v>
      </c>
      <c r="G64" s="140" t="str">
        <f>Planning!$S67</f>
        <v>FC Kopenhagen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IF(Planning!$I67=0,F64&amp;G64,"")</f>
        <v>Tottenham HotspurFC Kopenhagen</v>
      </c>
      <c r="K64" s="7">
        <f t="shared" si="1"/>
        <v>0</v>
      </c>
      <c r="L64" s="7" t="str">
        <f>IF(AND(K64&gt;0,Planning!$I67=0),H64&amp;Language!$E$90&amp;I64,"")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Planning!$Q68</f>
        <v>FK Bodö/Glimt</v>
      </c>
      <c r="G65" s="140" t="str">
        <f>Planning!$S68</f>
        <v>AS Monaco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IF(Planning!$I68=0,F65&amp;G65,"")</f>
        <v>FK Bodö/GlimtAS Monaco</v>
      </c>
      <c r="K65" s="7">
        <f t="shared" si="1"/>
        <v>0</v>
      </c>
      <c r="L65" s="7" t="str">
        <f>IF(AND(K65&gt;0,Planning!$I68=0),H65&amp;Language!$E$90&amp;I65,"")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Planning!$Q69</f>
        <v>Olympiakos Piräus</v>
      </c>
      <c r="G66" s="140" t="str">
        <f>Planning!$S69</f>
        <v>PSV Eindhoven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IF(Planning!$I69=0,F66&amp;G66,"")</f>
        <v>Olympiakos PiräusPSV Eindhoven</v>
      </c>
      <c r="K66" s="7">
        <f t="shared" si="1"/>
        <v>0</v>
      </c>
      <c r="L66" s="7" t="str">
        <f>IF(AND(K66&gt;0,Planning!$I69=0),H66&amp;Language!$E$90&amp;I66,"")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Planning!$Q70</f>
        <v>Qarabag Agdam</v>
      </c>
      <c r="G67" s="140" t="str">
        <f>Planning!$S70</f>
        <v>FC Chelsea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IF(Planning!$I70=0,F67&amp;G67,"")</f>
        <v>Qarabag AgdamFC Chelsea</v>
      </c>
      <c r="K67" s="7">
        <f t="shared" si="1"/>
        <v>0</v>
      </c>
      <c r="L67" s="7" t="str">
        <f>IF(AND(K67&gt;0,Planning!$I70=0),H67&amp;Language!$E$90&amp;I67,"")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Planning!$Q71</f>
        <v>Pafos FC</v>
      </c>
      <c r="G68" s="140" t="str">
        <f>Planning!$S71</f>
        <v>FC Villarreal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IF(Planning!$I71=0,F68&amp;G68,"")</f>
        <v>Pafos FCFC Villarreal</v>
      </c>
      <c r="K68" s="7">
        <f t="shared" ref="K68:K74" si="2">IF(AND(F68&lt;&gt;"",G68&lt;&gt;"",F68&lt;&gt;G68,H68&lt;&gt;"",I68&lt;&gt;""),1,0)</f>
        <v>0</v>
      </c>
      <c r="L68" s="7" t="str">
        <f>IF(AND(K68&gt;0,Planning!$I71=0),H68&amp;Language!$E$90&amp;I68,"")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Planning!$Q72</f>
        <v>Manchester City</v>
      </c>
      <c r="G69" s="140" t="str">
        <f>Planning!$S72</f>
        <v>Borussia Dortmund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IF(Planning!$I72=0,F69&amp;G69,"")</f>
        <v>Manchester CityBorussia Dortmund</v>
      </c>
      <c r="K69" s="7">
        <f t="shared" si="2"/>
        <v>0</v>
      </c>
      <c r="L69" s="7" t="str">
        <f>IF(AND(K69&gt;0,Planning!$I72=0),H69&amp;Language!$E$90&amp;I69,"")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Planning!$Q73</f>
        <v>Inter Mailand</v>
      </c>
      <c r="G70" s="140" t="str">
        <f>Planning!$S73</f>
        <v>Qairat Almaty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IF(Planning!$I73=0,F70&amp;G70,"")</f>
        <v>Inter MailandQairat Almaty</v>
      </c>
      <c r="K70" s="7">
        <f t="shared" si="2"/>
        <v>0</v>
      </c>
      <c r="L70" s="7" t="str">
        <f>IF(AND(K70&gt;0,Planning!$I73=0),H70&amp;Language!$E$90&amp;I70,"")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Planning!$Q74</f>
        <v>Ajax Amsterdam</v>
      </c>
      <c r="G71" s="140" t="str">
        <f>Planning!$S74</f>
        <v>Galatasaray SK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IF(Planning!$I74=0,F71&amp;G71,"")</f>
        <v>Ajax AmsterdamGalatasaray SK</v>
      </c>
      <c r="K71" s="7">
        <f t="shared" si="2"/>
        <v>0</v>
      </c>
      <c r="L71" s="7" t="str">
        <f>IF(AND(K71&gt;0,Planning!$I74=0),H71&amp;Language!$E$90&amp;I71,"")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Planning!$Q75</f>
        <v>Benfica Lissabon</v>
      </c>
      <c r="G72" s="140" t="str">
        <f>Planning!$S75</f>
        <v>Bayer 04 Leverkusen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IF(Planning!$I75=0,F72&amp;G72,"")</f>
        <v>Benfica LissabonBayer 04 Leverkusen</v>
      </c>
      <c r="K72" s="7">
        <f t="shared" si="2"/>
        <v>0</v>
      </c>
      <c r="L72" s="7" t="str">
        <f>IF(AND(K72&gt;0,Planning!$I75=0),H72&amp;Language!$E$90&amp;I72,"")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Planning!$Q76</f>
        <v>Club Brügge</v>
      </c>
      <c r="G73" s="140" t="str">
        <f>Planning!$S76</f>
        <v>FC Barcelona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IF(Planning!$I76=0,F73&amp;G73,"")</f>
        <v>Club BrüggeFC Barcelona</v>
      </c>
      <c r="K73" s="7">
        <f t="shared" si="2"/>
        <v>0</v>
      </c>
      <c r="L73" s="7" t="str">
        <f>IF(AND(K73&gt;0,Planning!$I76=0),H73&amp;Language!$E$90&amp;I73,"")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Planning!$Q77</f>
        <v>Olympique Marseille</v>
      </c>
      <c r="G74" s="140" t="str">
        <f>Planning!$S77</f>
        <v>Atalanta Bergamo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IF(Planning!$I77=0,F74&amp;G74,"")</f>
        <v>Olympique MarseilleAtalanta Bergamo</v>
      </c>
      <c r="K74" s="7">
        <f t="shared" si="2"/>
        <v>0</v>
      </c>
      <c r="L74" s="7" t="str">
        <f>IF(AND(K74&gt;0,Planning!$I77=0),H74&amp;Language!$E$90&amp;I74,"")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Planning!$Q78</f>
        <v>Newcastle United</v>
      </c>
      <c r="G75" s="140" t="str">
        <f>Planning!$S78</f>
        <v>Athletic Bilbao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IF(Planning!$I78=0,F75&amp;G75,"")</f>
        <v>Newcastle UnitedAthletic Bilbao</v>
      </c>
      <c r="K75" s="111">
        <f t="shared" ref="K75:K138" si="3">IF(AND(F75&lt;&gt;"",G75&lt;&gt;"",F75&lt;&gt;G75,H75&lt;&gt;"",I75&lt;&gt;""),1,0)</f>
        <v>0</v>
      </c>
      <c r="L75" s="111" t="str">
        <f>IF(AND(K75&gt;0,Planning!$I78=0),H75&amp;Language!$E$90&amp;I75,"")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Planning!$Q79</f>
        <v>Ajax Amsterdam</v>
      </c>
      <c r="G76" s="140" t="str">
        <f>Planning!$S79</f>
        <v>Benfica Lissabon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IF(Planning!$I79=0,F76&amp;G76,"")</f>
        <v>Ajax AmsterdamBenfica Lissabon</v>
      </c>
      <c r="K76" s="111">
        <f t="shared" si="3"/>
        <v>0</v>
      </c>
      <c r="L76" s="111" t="str">
        <f>IF(AND(K76&gt;0,Planning!$I79=0),H76&amp;Language!$E$90&amp;I76,"")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Planning!$Q80</f>
        <v>Galatasaray SK</v>
      </c>
      <c r="G77" s="140" t="str">
        <f>Planning!$S80</f>
        <v>Union Saint-Gilloise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IF(Planning!$I80=0,F77&amp;G77,"")</f>
        <v>Galatasaray SKUnion Saint-Gilloise</v>
      </c>
      <c r="K77" s="111">
        <f t="shared" si="3"/>
        <v>0</v>
      </c>
      <c r="L77" s="111" t="str">
        <f>IF(AND(K77&gt;0,Planning!$I80=0),H77&amp;Language!$E$90&amp;I77,"")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Planning!$Q81</f>
        <v>Manchester City</v>
      </c>
      <c r="G78" s="140" t="str">
        <f>Planning!$S81</f>
        <v>Bayer 04 Leverkusen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IF(Planning!$I81=0,F78&amp;G78,"")</f>
        <v>Manchester CityBayer 04 Leverkusen</v>
      </c>
      <c r="K78" s="111">
        <f t="shared" si="3"/>
        <v>0</v>
      </c>
      <c r="L78" s="111" t="str">
        <f>IF(AND(K78&gt;0,Planning!$I81=0),H78&amp;Language!$E$90&amp;I78,"")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Planning!$Q82</f>
        <v>FC Chelsea</v>
      </c>
      <c r="G79" s="140" t="str">
        <f>Planning!$S82</f>
        <v>FC Barcelona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IF(Planning!$I82=0,F79&amp;G79,"")</f>
        <v>FC ChelseaFC Barcelona</v>
      </c>
      <c r="K79" s="111">
        <f t="shared" si="3"/>
        <v>0</v>
      </c>
      <c r="L79" s="111" t="str">
        <f>IF(AND(K79&gt;0,Planning!$I82=0),H79&amp;Language!$E$90&amp;I79,"")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Planning!$Q83</f>
        <v>Borussia Dortmund</v>
      </c>
      <c r="G80" s="140" t="str">
        <f>Planning!$S83</f>
        <v>FC Villarreal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IF(Planning!$I83=0,F80&amp;G80,"")</f>
        <v>Borussia DortmundFC Villarreal</v>
      </c>
      <c r="K80" s="111">
        <f t="shared" si="3"/>
        <v>0</v>
      </c>
      <c r="L80" s="111" t="str">
        <f>IF(AND(K80&gt;0,Planning!$I83=0),H80&amp;Language!$E$90&amp;I80,"")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Planning!$Q84</f>
        <v>SSC Neapel</v>
      </c>
      <c r="G81" s="140" t="str">
        <f>Planning!$S84</f>
        <v>Qarabag Agdam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IF(Planning!$I84=0,F81&amp;G81,"")</f>
        <v>SSC NeapelQarabag Agdam</v>
      </c>
      <c r="K81" s="111">
        <f t="shared" si="3"/>
        <v>0</v>
      </c>
      <c r="L81" s="111" t="str">
        <f>IF(AND(K81&gt;0,Planning!$I84=0),H81&amp;Language!$E$90&amp;I81,"")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Planning!$Q85</f>
        <v>FK Bodö/Glimt</v>
      </c>
      <c r="G82" s="140" t="str">
        <f>Planning!$S85</f>
        <v>Juventus Turin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IF(Planning!$I85=0,F82&amp;G82,"")</f>
        <v>FK Bodö/GlimtJuventus Turin</v>
      </c>
      <c r="K82" s="111">
        <f t="shared" si="3"/>
        <v>0</v>
      </c>
      <c r="L82" s="111" t="str">
        <f>IF(AND(K82&gt;0,Planning!$I85=0),H82&amp;Language!$E$90&amp;I82,"")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Planning!$Q86</f>
        <v>Olympique Marseille</v>
      </c>
      <c r="G83" s="140" t="str">
        <f>Planning!$S86</f>
        <v>Newcastle United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IF(Planning!$I86=0,F83&amp;G83,"")</f>
        <v>Olympique MarseilleNewcastle United</v>
      </c>
      <c r="K83" s="111">
        <f t="shared" si="3"/>
        <v>0</v>
      </c>
      <c r="L83" s="111" t="str">
        <f>IF(AND(K83&gt;0,Planning!$I86=0),H83&amp;Language!$E$90&amp;I83,"")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Planning!$Q87</f>
        <v>Salva Prag</v>
      </c>
      <c r="G84" s="140" t="str">
        <f>Planning!$S87</f>
        <v>Athletic Bilbao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IF(Planning!$I87=0,F84&amp;G84,"")</f>
        <v>Salva PragAthletic Bilbao</v>
      </c>
      <c r="K84" s="111">
        <f t="shared" si="3"/>
        <v>0</v>
      </c>
      <c r="L84" s="111" t="str">
        <f>IF(AND(K84&gt;0,Planning!$I87=0),H84&amp;Language!$E$90&amp;I84,"")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Planning!$Q88</f>
        <v>FC Kopenhagen</v>
      </c>
      <c r="G85" s="140" t="str">
        <f>Planning!$S88</f>
        <v>Qairat Almaty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IF(Planning!$I88=0,F85&amp;G85,"")</f>
        <v>FC KopenhagenQairat Almaty</v>
      </c>
      <c r="K85" s="111">
        <f t="shared" si="3"/>
        <v>0</v>
      </c>
      <c r="L85" s="111" t="str">
        <f>IF(AND(K85&gt;0,Planning!$I88=0),H85&amp;Language!$E$90&amp;I85,"")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Planning!$Q89</f>
        <v>Pafos FC</v>
      </c>
      <c r="G86" s="140" t="str">
        <f>Planning!$S89</f>
        <v>AS Monaco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IF(Planning!$I89=0,F86&amp;G86,"")</f>
        <v>Pafos FCAS Monaco</v>
      </c>
      <c r="K86" s="111">
        <f t="shared" si="3"/>
        <v>0</v>
      </c>
      <c r="L86" s="111" t="str">
        <f>IF(AND(K86&gt;0,Planning!$I89=0),H86&amp;Language!$E$90&amp;I86,"")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Planning!$Q90</f>
        <v>Paris St. Germain</v>
      </c>
      <c r="G87" s="140" t="str">
        <f>Planning!$S90</f>
        <v>Tottenham Hotspur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IF(Planning!$I90=0,F87&amp;G87,"")</f>
        <v>Paris St. GermainTottenham Hotspur</v>
      </c>
      <c r="K87" s="111">
        <f t="shared" si="3"/>
        <v>0</v>
      </c>
      <c r="L87" s="111" t="str">
        <f>IF(AND(K87&gt;0,Planning!$I90=0),H87&amp;Language!$E$90&amp;I87,"")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Planning!$Q91</f>
        <v>FC Liverpool</v>
      </c>
      <c r="G88" s="140" t="str">
        <f>Planning!$S91</f>
        <v>PSV Eindhoven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IF(Planning!$I91=0,F88&amp;G88,"")</f>
        <v>FC LiverpoolPSV Eindhoven</v>
      </c>
      <c r="K88" s="111">
        <f t="shared" si="3"/>
        <v>0</v>
      </c>
      <c r="L88" s="111" t="str">
        <f>IF(AND(K88&gt;0,Planning!$I91=0),H88&amp;Language!$E$90&amp;I88,"")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Planning!$Q92</f>
        <v>FC Arsenal</v>
      </c>
      <c r="G89" s="140" t="str">
        <f>Planning!$S92</f>
        <v>Bayern München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IF(Planning!$I92=0,F89&amp;G89,"")</f>
        <v>FC ArsenalBayern München</v>
      </c>
      <c r="K89" s="111">
        <f t="shared" si="3"/>
        <v>0</v>
      </c>
      <c r="L89" s="111" t="str">
        <f>IF(AND(K89&gt;0,Planning!$I92=0),H89&amp;Language!$E$90&amp;I89,"")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Planning!$Q93</f>
        <v>Atletico Madrid</v>
      </c>
      <c r="G90" s="140" t="str">
        <f>Planning!$S93</f>
        <v>Inter Mailand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IF(Planning!$I93=0,F90&amp;G90,"")</f>
        <v>Atletico MadridInter Mailand</v>
      </c>
      <c r="K90" s="111">
        <f t="shared" si="3"/>
        <v>0</v>
      </c>
      <c r="L90" s="111" t="str">
        <f>IF(AND(K90&gt;0,Planning!$I93=0),H90&amp;Language!$E$90&amp;I90,"")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Planning!$Q94</f>
        <v>Eintracht Frankfurt</v>
      </c>
      <c r="G91" s="140" t="str">
        <f>Planning!$S94</f>
        <v>Atalanta Bergamo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IF(Planning!$I94=0,F91&amp;G91,"")</f>
        <v>Eintracht FrankfurtAtalanta Bergamo</v>
      </c>
      <c r="K91" s="111">
        <f t="shared" si="3"/>
        <v>0</v>
      </c>
      <c r="L91" s="111" t="str">
        <f>IF(AND(K91&gt;0,Planning!$I94=0),H91&amp;Language!$E$90&amp;I91,"")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Planning!$Q95</f>
        <v>Sporting Lissabon</v>
      </c>
      <c r="G92" s="140" t="str">
        <f>Planning!$S95</f>
        <v>Club Brügge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IF(Planning!$I95=0,F92&amp;G92,"")</f>
        <v>Sporting LissabonClub Brügge</v>
      </c>
      <c r="K92" s="111">
        <f t="shared" si="3"/>
        <v>0</v>
      </c>
      <c r="L92" s="111" t="str">
        <f>IF(AND(K92&gt;0,Planning!$I95=0),H92&amp;Language!$E$90&amp;I92,"")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Planning!$Q96</f>
        <v>Olympiakos Piräus</v>
      </c>
      <c r="G93" s="140" t="str">
        <f>Planning!$S96</f>
        <v>Real Madrid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IF(Planning!$I96=0,F93&amp;G93,"")</f>
        <v>Olympiakos PiräusReal Madrid</v>
      </c>
      <c r="K93" s="111">
        <f t="shared" si="3"/>
        <v>0</v>
      </c>
      <c r="L93" s="111" t="str">
        <f>IF(AND(K93&gt;0,Planning!$I96=0),H93&amp;Language!$E$90&amp;I93,"")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Planning!$Q97</f>
        <v>Qairat Almaty</v>
      </c>
      <c r="G94" s="140" t="str">
        <f>Planning!$S97</f>
        <v>Olympiakos Piräus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IF(Planning!$I97=0,F94&amp;G94,"")</f>
        <v>Qairat AlmatyOlympiakos Piräus</v>
      </c>
      <c r="K94" s="111">
        <f t="shared" si="3"/>
        <v>0</v>
      </c>
      <c r="L94" s="111" t="str">
        <f>IF(AND(K94&gt;0,Planning!$I97=0),H94&amp;Language!$E$90&amp;I94,"")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Planning!$Q98</f>
        <v>Bayern München</v>
      </c>
      <c r="G95" s="140" t="str">
        <f>Planning!$S98</f>
        <v>Sporting Lissabon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IF(Planning!$I98=0,F95&amp;G95,"")</f>
        <v>Bayern MünchenSporting Lissabon</v>
      </c>
      <c r="K95" s="111">
        <f t="shared" si="3"/>
        <v>0</v>
      </c>
      <c r="L95" s="111" t="str">
        <f>IF(AND(K95&gt;0,Planning!$I98=0),H95&amp;Language!$E$90&amp;I95,"")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Planning!$Q99</f>
        <v>Inter Mailand</v>
      </c>
      <c r="G96" s="140" t="str">
        <f>Planning!$S99</f>
        <v>FC Liverpool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IF(Planning!$I99=0,F96&amp;G96,"")</f>
        <v>Inter MailandFC Liverpool</v>
      </c>
      <c r="K96" s="111">
        <f t="shared" si="3"/>
        <v>0</v>
      </c>
      <c r="L96" s="111" t="str">
        <f>IF(AND(K96&gt;0,Planning!$I99=0),H96&amp;Language!$E$90&amp;I96,"")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Planning!$Q100</f>
        <v>FC Barcelona</v>
      </c>
      <c r="G97" s="140" t="str">
        <f>Planning!$S100</f>
        <v>Eintracht Frankfurt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IF(Planning!$I100=0,F97&amp;G97,"")</f>
        <v>FC BarcelonaEintracht Frankfurt</v>
      </c>
      <c r="K97" s="111">
        <f t="shared" si="3"/>
        <v>0</v>
      </c>
      <c r="L97" s="111" t="str">
        <f>IF(AND(K97&gt;0,Planning!$I100=0),H97&amp;Language!$E$90&amp;I97,"")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Planning!$Q101</f>
        <v>Atalanta Bergamo</v>
      </c>
      <c r="G98" s="140" t="str">
        <f>Planning!$S101</f>
        <v>FC Chelsea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IF(Planning!$I101=0,F98&amp;G98,"")</f>
        <v>Atalanta BergamoFC Chelsea</v>
      </c>
      <c r="K98" s="111">
        <f t="shared" si="3"/>
        <v>0</v>
      </c>
      <c r="L98" s="111" t="str">
        <f>IF(AND(K98&gt;0,Planning!$I101=0),H98&amp;Language!$E$90&amp;I98,"")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Planning!$Q102</f>
        <v>Tottenham Hotspur</v>
      </c>
      <c r="G99" s="140" t="str">
        <f>Planning!$S102</f>
        <v>Salva Prag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IF(Planning!$I102=0,F99&amp;G99,"")</f>
        <v>Tottenham HotspurSalva Prag</v>
      </c>
      <c r="K99" s="111">
        <f t="shared" si="3"/>
        <v>0</v>
      </c>
      <c r="L99" s="111" t="str">
        <f>IF(AND(K99&gt;0,Planning!$I102=0),H99&amp;Language!$E$90&amp;I99,"")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Planning!$Q103</f>
        <v>PSV Eindhoven</v>
      </c>
      <c r="G100" s="140" t="str">
        <f>Planning!$S103</f>
        <v>Atletico Madrid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IF(Planning!$I103=0,F100&amp;G100,"")</f>
        <v>PSV EindhovenAtletico Madrid</v>
      </c>
      <c r="K100" s="111">
        <f t="shared" si="3"/>
        <v>0</v>
      </c>
      <c r="L100" s="111" t="str">
        <f>IF(AND(K100&gt;0,Planning!$I103=0),H100&amp;Language!$E$90&amp;I100,"")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Planning!$Q104</f>
        <v>AS Monaco</v>
      </c>
      <c r="G101" s="140" t="str">
        <f>Planning!$S104</f>
        <v>Galatasaray SK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IF(Planning!$I104=0,F101&amp;G101,"")</f>
        <v>AS MonacoGalatasaray SK</v>
      </c>
      <c r="K101" s="111">
        <f t="shared" si="3"/>
        <v>0</v>
      </c>
      <c r="L101" s="111" t="str">
        <f>IF(AND(K101&gt;0,Planning!$I104=0),H101&amp;Language!$E$90&amp;I101,"")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Planning!$Q105</f>
        <v>Union Saint-Gilloise</v>
      </c>
      <c r="G102" s="140" t="str">
        <f>Planning!$S105</f>
        <v>Olympique Marseille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IF(Planning!$I105=0,F102&amp;G102,"")</f>
        <v>Union Saint-GilloiseOlympique Marseille</v>
      </c>
      <c r="K102" s="111">
        <f t="shared" si="3"/>
        <v>0</v>
      </c>
      <c r="L102" s="111" t="str">
        <f>IF(AND(K102&gt;0,Planning!$I105=0),H102&amp;Language!$E$90&amp;I102,"")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Planning!$Q106</f>
        <v>FC Villarreal</v>
      </c>
      <c r="G103" s="140" t="str">
        <f>Planning!$S106</f>
        <v>FC Kopenhagen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IF(Planning!$I106=0,F103&amp;G103,"")</f>
        <v>FC VillarrealFC Kopenhagen</v>
      </c>
      <c r="K103" s="111">
        <f t="shared" si="3"/>
        <v>0</v>
      </c>
      <c r="L103" s="111" t="str">
        <f>IF(AND(K103&gt;0,Planning!$I106=0),H103&amp;Language!$E$90&amp;I103,"")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Planning!$Q107</f>
        <v>Qarabag Agdam</v>
      </c>
      <c r="G104" s="140" t="str">
        <f>Planning!$S107</f>
        <v>Ajax Amsterdam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IF(Planning!$I107=0,F104&amp;G104,"")</f>
        <v>Qarabag AgdamAjax Amsterdam</v>
      </c>
      <c r="K104" s="111">
        <f t="shared" si="3"/>
        <v>0</v>
      </c>
      <c r="L104" s="111" t="str">
        <f>IF(AND(K104&gt;0,Planning!$I107=0),H104&amp;Language!$E$90&amp;I104,"")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Planning!$Q108</f>
        <v>Real Madrid</v>
      </c>
      <c r="G105" s="140" t="str">
        <f>Planning!$S108</f>
        <v>Manchester City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IF(Planning!$I108=0,F105&amp;G105,"")</f>
        <v>Real MadridManchester City</v>
      </c>
      <c r="K105" s="111">
        <f t="shared" si="3"/>
        <v>0</v>
      </c>
      <c r="L105" s="111" t="str">
        <f>IF(AND(K105&gt;0,Planning!$I108=0),H105&amp;Language!$E$90&amp;I105,"")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Planning!$Q109</f>
        <v>Borussia Dortmund</v>
      </c>
      <c r="G106" s="140" t="str">
        <f>Planning!$S109</f>
        <v>FK Bodö/Glimt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IF(Planning!$I109=0,F106&amp;G106,"")</f>
        <v>Borussia DortmundFK Bodö/Glimt</v>
      </c>
      <c r="K106" s="111">
        <f t="shared" si="3"/>
        <v>0</v>
      </c>
      <c r="L106" s="111" t="str">
        <f>IF(AND(K106&gt;0,Planning!$I109=0),H106&amp;Language!$E$90&amp;I106,"")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Planning!$Q110</f>
        <v>Juventus Turin</v>
      </c>
      <c r="G107" s="140" t="str">
        <f>Planning!$S110</f>
        <v>Pafos FC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IF(Planning!$I110=0,F107&amp;G107,"")</f>
        <v>Juventus TurinPafos FC</v>
      </c>
      <c r="K107" s="111">
        <f t="shared" si="3"/>
        <v>0</v>
      </c>
      <c r="L107" s="111" t="str">
        <f>IF(AND(K107&gt;0,Planning!$I110=0),H107&amp;Language!$E$90&amp;I107,"")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Planning!$Q111</f>
        <v>Bayer 04 Leverkusen</v>
      </c>
      <c r="G108" s="140" t="str">
        <f>Planning!$S111</f>
        <v>Newcastle United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IF(Planning!$I111=0,F108&amp;G108,"")</f>
        <v>Bayer 04 LeverkusenNewcastle United</v>
      </c>
      <c r="K108" s="111">
        <f t="shared" si="3"/>
        <v>0</v>
      </c>
      <c r="L108" s="111" t="str">
        <f>IF(AND(K108&gt;0,Planning!$I111=0),H108&amp;Language!$E$90&amp;I108,"")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Planning!$Q112</f>
        <v>Benfica Lissabon</v>
      </c>
      <c r="G109" s="140" t="str">
        <f>Planning!$S112</f>
        <v>SSC Neapel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IF(Planning!$I112=0,F109&amp;G109,"")</f>
        <v>Benfica LissabonSSC Neapel</v>
      </c>
      <c r="K109" s="111">
        <f t="shared" si="3"/>
        <v>0</v>
      </c>
      <c r="L109" s="111" t="str">
        <f>IF(AND(K109&gt;0,Planning!$I112=0),H109&amp;Language!$E$90&amp;I109,"")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Planning!$Q113</f>
        <v>Club Brügge</v>
      </c>
      <c r="G110" s="140" t="str">
        <f>Planning!$S113</f>
        <v>FC Arsenal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IF(Planning!$I113=0,F110&amp;G110,"")</f>
        <v>Club BrüggeFC Arsenal</v>
      </c>
      <c r="K110" s="111">
        <f t="shared" si="3"/>
        <v>0</v>
      </c>
      <c r="L110" s="111" t="str">
        <f>IF(AND(K110&gt;0,Planning!$I113=0),H110&amp;Language!$E$90&amp;I110,"")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Planning!$Q114</f>
        <v>Athletic Bilbao</v>
      </c>
      <c r="G111" s="140" t="str">
        <f>Planning!$S114</f>
        <v>Paris St. Germain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IF(Planning!$I114=0,F111&amp;G111,"")</f>
        <v>Athletic BilbaoParis St. Germain</v>
      </c>
      <c r="K111" s="111">
        <f t="shared" si="3"/>
        <v>0</v>
      </c>
      <c r="L111" s="111" t="str">
        <f>IF(AND(K111&gt;0,Planning!$I114=0),H111&amp;Language!$E$90&amp;I111,"")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Planning!$Q115</f>
        <v>Qairat Almaty</v>
      </c>
      <c r="G112" s="140" t="str">
        <f>Planning!$S115</f>
        <v>Club Brügge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IF(Planning!$I115=0,F112&amp;G112,"")</f>
        <v>Qairat AlmatyClub Brügge</v>
      </c>
      <c r="K112" s="111">
        <f t="shared" si="3"/>
        <v>0</v>
      </c>
      <c r="L112" s="111" t="str">
        <f>IF(AND(K112&gt;0,Planning!$I115=0),H112&amp;Language!$E$90&amp;I112,"")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Planning!$Q116</f>
        <v>FK Bodö/Glimt</v>
      </c>
      <c r="G113" s="140" t="str">
        <f>Planning!$S116</f>
        <v>Manchester City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IF(Planning!$I116=0,F113&amp;G113,"")</f>
        <v>FK Bodö/GlimtManchester City</v>
      </c>
      <c r="K113" s="111">
        <f t="shared" si="3"/>
        <v>0</v>
      </c>
      <c r="L113" s="111" t="str">
        <f>IF(AND(K113&gt;0,Planning!$I116=0),H113&amp;Language!$E$90&amp;I113,"")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Planning!$Q117</f>
        <v>Real Madrid</v>
      </c>
      <c r="G114" s="140" t="str">
        <f>Planning!$S117</f>
        <v>AS Monaco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IF(Planning!$I117=0,F114&amp;G114,"")</f>
        <v>Real MadridAS Monaco</v>
      </c>
      <c r="K114" s="111">
        <f t="shared" si="3"/>
        <v>0</v>
      </c>
      <c r="L114" s="111" t="str">
        <f>IF(AND(K114&gt;0,Planning!$I117=0),H114&amp;Language!$E$90&amp;I114,"")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Planning!$Q118</f>
        <v>Inter Mailand</v>
      </c>
      <c r="G115" s="140" t="str">
        <f>Planning!$S118</f>
        <v>FC Arsenal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IF(Planning!$I118=0,F115&amp;G115,"")</f>
        <v>Inter MailandFC Arsenal</v>
      </c>
      <c r="K115" s="111">
        <f t="shared" si="3"/>
        <v>0</v>
      </c>
      <c r="L115" s="111" t="str">
        <f>IF(AND(K115&gt;0,Planning!$I118=0),H115&amp;Language!$E$90&amp;I115,"")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Planning!$Q119</f>
        <v>Tottenham Hotspur</v>
      </c>
      <c r="G116" s="140" t="str">
        <f>Planning!$S119</f>
        <v>Borussia Dortmund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IF(Planning!$I119=0,F116&amp;G116,"")</f>
        <v>Tottenham HotspurBorussia Dortmund</v>
      </c>
      <c r="K116" s="111">
        <f t="shared" si="3"/>
        <v>0</v>
      </c>
      <c r="L116" s="111" t="str">
        <f>IF(AND(K116&gt;0,Planning!$I119=0),H116&amp;Language!$E$90&amp;I116,"")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Planning!$Q120</f>
        <v>Sporting Lissabon</v>
      </c>
      <c r="G117" s="140" t="str">
        <f>Planning!$S120</f>
        <v>Paris St. Germain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IF(Planning!$I120=0,F117&amp;G117,"")</f>
        <v>Sporting LissabonParis St. Germain</v>
      </c>
      <c r="K117" s="111">
        <f t="shared" si="3"/>
        <v>0</v>
      </c>
      <c r="L117" s="111" t="str">
        <f>IF(AND(K117&gt;0,Planning!$I120=0),H117&amp;Language!$E$90&amp;I117,"")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Planning!$Q121</f>
        <v>Olympiakos Piräus</v>
      </c>
      <c r="G118" s="140" t="str">
        <f>Planning!$S121</f>
        <v>Bayer 04 Leverkusen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IF(Planning!$I121=0,F118&amp;G118,"")</f>
        <v>Olympiakos PiräusBayer 04 Leverkusen</v>
      </c>
      <c r="K118" s="111">
        <f t="shared" si="3"/>
        <v>0</v>
      </c>
      <c r="L118" s="111" t="str">
        <f>IF(AND(K118&gt;0,Planning!$I121=0),H118&amp;Language!$E$90&amp;I118,"")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Planning!$Q122</f>
        <v>FC Villarreal</v>
      </c>
      <c r="G119" s="140" t="str">
        <f>Planning!$S122</f>
        <v>Ajax Amsterdam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IF(Planning!$I122=0,F119&amp;G119,"")</f>
        <v>FC VillarrealAjax Amsterdam</v>
      </c>
      <c r="K119" s="111">
        <f t="shared" si="3"/>
        <v>0</v>
      </c>
      <c r="L119" s="111" t="str">
        <f>IF(AND(K119&gt;0,Planning!$I122=0),H119&amp;Language!$E$90&amp;I119,"")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Planning!$Q123</f>
        <v>FC Kopenhagen</v>
      </c>
      <c r="G120" s="140" t="str">
        <f>Planning!$S123</f>
        <v>SSC Neapel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IF(Planning!$I123=0,F120&amp;G120,"")</f>
        <v>FC KopenhagenSSC Neapel</v>
      </c>
      <c r="K120" s="111">
        <f t="shared" si="3"/>
        <v>0</v>
      </c>
      <c r="L120" s="111" t="str">
        <f>IF(AND(K120&gt;0,Planning!$I123=0),H120&amp;Language!$E$90&amp;I120,"")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Planning!$Q124</f>
        <v>Galatasaray SK</v>
      </c>
      <c r="G121" s="140" t="str">
        <f>Planning!$S124</f>
        <v>Atletico Madrid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IF(Planning!$I124=0,F121&amp;G121,"")</f>
        <v>Galatasaray SKAtletico Madrid</v>
      </c>
      <c r="K121" s="111">
        <f t="shared" si="3"/>
        <v>0</v>
      </c>
      <c r="L121" s="111" t="str">
        <f>IF(AND(K121&gt;0,Planning!$I124=0),H121&amp;Language!$E$90&amp;I121,"")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Planning!$Q125</f>
        <v>Qarabag Agdam</v>
      </c>
      <c r="G122" s="140" t="str">
        <f>Planning!$S125</f>
        <v>Eintracht Frankfurt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IF(Planning!$I125=0,F122&amp;G122,"")</f>
        <v>Qarabag AgdamEintracht Frankfurt</v>
      </c>
      <c r="K122" s="111">
        <f t="shared" si="3"/>
        <v>0</v>
      </c>
      <c r="L122" s="111" t="str">
        <f>IF(AND(K122&gt;0,Planning!$I125=0),H122&amp;Language!$E$90&amp;I122,"")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Planning!$Q126</f>
        <v>Bayern München</v>
      </c>
      <c r="G123" s="140" t="str">
        <f>Planning!$S126</f>
        <v>Union Saint-Gilloise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IF(Planning!$I126=0,F123&amp;G123,"")</f>
        <v>Bayern MünchenUnion Saint-Gilloise</v>
      </c>
      <c r="K123" s="111">
        <f t="shared" si="3"/>
        <v>0</v>
      </c>
      <c r="L123" s="111" t="str">
        <f>IF(AND(K123&gt;0,Planning!$I126=0),H123&amp;Language!$E$90&amp;I123,"")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Planning!$Q127</f>
        <v>FC Chelsea</v>
      </c>
      <c r="G124" s="140" t="str">
        <f>Planning!$S127</f>
        <v>Pafos FC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IF(Planning!$I127=0,F124&amp;G124,"")</f>
        <v>FC ChelseaPafos FC</v>
      </c>
      <c r="K124" s="111">
        <f t="shared" si="3"/>
        <v>0</v>
      </c>
      <c r="L124" s="111" t="str">
        <f>IF(AND(K124&gt;0,Planning!$I127=0),H124&amp;Language!$E$90&amp;I124,"")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Planning!$Q128</f>
        <v>Atalanta Bergamo</v>
      </c>
      <c r="G125" s="140" t="str">
        <f>Planning!$S128</f>
        <v>Athletic Bilbao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IF(Planning!$I128=0,F125&amp;G125,"")</f>
        <v>Atalanta BergamoAthletic Bilbao</v>
      </c>
      <c r="K125" s="111">
        <f t="shared" si="3"/>
        <v>0</v>
      </c>
      <c r="L125" s="111" t="str">
        <f>IF(AND(K125&gt;0,Planning!$I128=0),H125&amp;Language!$E$90&amp;I125,"")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Planning!$Q129</f>
        <v>Juventus Turin</v>
      </c>
      <c r="G126" s="140" t="str">
        <f>Planning!$S129</f>
        <v>Benfica Lissabon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IF(Planning!$I129=0,F126&amp;G126,"")</f>
        <v>Juventus TurinBenfica Lissabon</v>
      </c>
      <c r="K126" s="111">
        <f t="shared" si="3"/>
        <v>0</v>
      </c>
      <c r="L126" s="111" t="str">
        <f>IF(AND(K126&gt;0,Planning!$I129=0),H126&amp;Language!$E$90&amp;I126,"")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Planning!$Q130</f>
        <v>Olympique Marseille</v>
      </c>
      <c r="G127" s="140" t="str">
        <f>Planning!$S130</f>
        <v>FC Liverpool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IF(Planning!$I130=0,F127&amp;G127,"")</f>
        <v>Olympique MarseilleFC Liverpool</v>
      </c>
      <c r="K127" s="111">
        <f t="shared" si="3"/>
        <v>0</v>
      </c>
      <c r="L127" s="111" t="str">
        <f>IF(AND(K127&gt;0,Planning!$I130=0),H127&amp;Language!$E$90&amp;I127,"")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Planning!$Q131</f>
        <v>Salva Prag</v>
      </c>
      <c r="G128" s="140" t="str">
        <f>Planning!$S131</f>
        <v>FC Barcelona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IF(Planning!$I131=0,F128&amp;G128,"")</f>
        <v>Salva PragFC Barcelona</v>
      </c>
      <c r="K128" s="111">
        <f t="shared" si="3"/>
        <v>0</v>
      </c>
      <c r="L128" s="111" t="str">
        <f>IF(AND(K128&gt;0,Planning!$I131=0),H128&amp;Language!$E$90&amp;I128,"")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Planning!$Q132</f>
        <v>Newcastle United</v>
      </c>
      <c r="G129" s="140" t="str">
        <f>Planning!$S132</f>
        <v>PSV Eindhoven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IF(Planning!$I132=0,F129&amp;G129,"")</f>
        <v>Newcastle UnitedPSV Eindhoven</v>
      </c>
      <c r="K129" s="111">
        <f t="shared" si="3"/>
        <v>0</v>
      </c>
      <c r="L129" s="111" t="str">
        <f>IF(AND(K129&gt;0,Planning!$I132=0),H129&amp;Language!$E$90&amp;I129,"")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Planning!$Q133</f>
        <v>Paris St. Germain</v>
      </c>
      <c r="G130" s="140" t="str">
        <f>Planning!$S133</f>
        <v>Newcastle United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IF(Planning!$I133=0,F130&amp;G130,"")</f>
        <v>Paris St. GermainNewcastle United</v>
      </c>
      <c r="K130" s="111">
        <f t="shared" si="3"/>
        <v>0</v>
      </c>
      <c r="L130" s="111" t="str">
        <f>IF(AND(K130&gt;0,Planning!$I133=0),H130&amp;Language!$E$90&amp;I130,"")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Planning!$Q134</f>
        <v>Manchester City</v>
      </c>
      <c r="G131" s="140" t="str">
        <f>Planning!$S134</f>
        <v>Galatasaray SK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IF(Planning!$I134=0,F131&amp;G131,"")</f>
        <v>Manchester CityGalatasaray SK</v>
      </c>
      <c r="K131" s="111">
        <f t="shared" si="3"/>
        <v>0</v>
      </c>
      <c r="L131" s="111" t="str">
        <f>IF(AND(K131&gt;0,Planning!$I134=0),H131&amp;Language!$E$90&amp;I131,"")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Planning!$Q135</f>
        <v>FC Liverpool</v>
      </c>
      <c r="G132" s="140" t="str">
        <f>Planning!$S135</f>
        <v>Qarabag Agdam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IF(Planning!$I135=0,F132&amp;G132,"")</f>
        <v>FC LiverpoolQarabag Agdam</v>
      </c>
      <c r="K132" s="111">
        <f t="shared" si="3"/>
        <v>0</v>
      </c>
      <c r="L132" s="111" t="str">
        <f>IF(AND(K132&gt;0,Planning!$I135=0),H132&amp;Language!$E$90&amp;I132,"")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Planning!$Q136</f>
        <v>Borussia Dortmund</v>
      </c>
      <c r="G133" s="140" t="str">
        <f>Planning!$S136</f>
        <v>Inter Mailand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IF(Planning!$I136=0,F133&amp;G133,"")</f>
        <v>Borussia DortmundInter Mailand</v>
      </c>
      <c r="K133" s="111">
        <f t="shared" si="3"/>
        <v>0</v>
      </c>
      <c r="L133" s="111" t="str">
        <f>IF(AND(K133&gt;0,Planning!$I136=0),H133&amp;Language!$E$90&amp;I133,"")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Planning!$Q137</f>
        <v>FC Barcelona</v>
      </c>
      <c r="G134" s="140" t="str">
        <f>Planning!$S137</f>
        <v>FC Kopenhagen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IF(Planning!$I137=0,F134&amp;G134,"")</f>
        <v>FC BarcelonaFC Kopenhagen</v>
      </c>
      <c r="K134" s="111">
        <f t="shared" si="3"/>
        <v>0</v>
      </c>
      <c r="L134" s="111" t="str">
        <f>IF(AND(K134&gt;0,Planning!$I137=0),H134&amp;Language!$E$90&amp;I134,"")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Planning!$Q138</f>
        <v>Ajax Amsterdam</v>
      </c>
      <c r="G135" s="140" t="str">
        <f>Planning!$S138</f>
        <v>Olympiakos Piräus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IF(Planning!$I138=0,F135&amp;G135,"")</f>
        <v>Ajax AmsterdamOlympiakos Piräus</v>
      </c>
      <c r="K135" s="111">
        <f t="shared" si="3"/>
        <v>0</v>
      </c>
      <c r="L135" s="111" t="str">
        <f>IF(AND(K135&gt;0,Planning!$I138=0),H135&amp;Language!$E$90&amp;I135,"")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Planning!$Q139</f>
        <v>FC Arsenal</v>
      </c>
      <c r="G136" s="140" t="str">
        <f>Planning!$S139</f>
        <v>Qairat Almaty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IF(Planning!$I139=0,F136&amp;G136,"")</f>
        <v>FC ArsenalQairat Almaty</v>
      </c>
      <c r="K136" s="111">
        <f t="shared" si="3"/>
        <v>0</v>
      </c>
      <c r="L136" s="111" t="str">
        <f>IF(AND(K136&gt;0,Planning!$I139=0),H136&amp;Language!$E$90&amp;I136,"")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Planning!$Q140</f>
        <v>Atletico Madrid</v>
      </c>
      <c r="G137" s="140" t="str">
        <f>Planning!$S140</f>
        <v>FK Bodö/Glimt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IF(Planning!$I140=0,F137&amp;G137,"")</f>
        <v>Atletico MadridFK Bodö/Glimt</v>
      </c>
      <c r="K137" s="111">
        <f t="shared" si="3"/>
        <v>0</v>
      </c>
      <c r="L137" s="111" t="str">
        <f>IF(AND(K137&gt;0,Planning!$I140=0),H137&amp;Language!$E$90&amp;I137,"")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Planning!$Q141</f>
        <v>Bayer 04 Leverkusen</v>
      </c>
      <c r="G138" s="140" t="str">
        <f>Planning!$S141</f>
        <v>FC Villarreal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IF(Planning!$I141=0,F138&amp;G138,"")</f>
        <v>Bayer 04 LeverkusenFC Villarreal</v>
      </c>
      <c r="K138" s="111">
        <f t="shared" si="3"/>
        <v>0</v>
      </c>
      <c r="L138" s="111" t="str">
        <f>IF(AND(K138&gt;0,Planning!$I141=0),H138&amp;Language!$E$90&amp;I138,"")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Planning!$Q142</f>
        <v>Benfica Lissabon</v>
      </c>
      <c r="G139" s="140" t="str">
        <f>Planning!$S142</f>
        <v>Real Madrid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IF(Planning!$I142=0,F139&amp;G139,"")</f>
        <v>Benfica LissabonReal Madrid</v>
      </c>
      <c r="K139" s="111">
        <f t="shared" ref="K139:K147" si="4">IF(AND(F139&lt;&gt;"",G139&lt;&gt;"",F139&lt;&gt;G139,H139&lt;&gt;"",I139&lt;&gt;""),1,0)</f>
        <v>0</v>
      </c>
      <c r="L139" s="111" t="str">
        <f>IF(AND(K139&gt;0,Planning!$I142=0),H139&amp;Language!$E$90&amp;I139,"")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Planning!$Q143</f>
        <v>Club Brügge</v>
      </c>
      <c r="G140" s="140" t="str">
        <f>Planning!$S143</f>
        <v>Olympique Marseille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IF(Planning!$I143=0,F140&amp;G140,"")</f>
        <v>Club BrüggeOlympique Marseille</v>
      </c>
      <c r="K140" s="111">
        <f t="shared" si="4"/>
        <v>0</v>
      </c>
      <c r="L140" s="111" t="str">
        <f>IF(AND(K140&gt;0,Planning!$I143=0),H140&amp;Language!$E$90&amp;I140,"")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Planning!$Q144</f>
        <v>Eintracht Frankfurt</v>
      </c>
      <c r="G141" s="140" t="str">
        <f>Planning!$S144</f>
        <v>Tottenham Hotspur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IF(Planning!$I144=0,F141&amp;G141,"")</f>
        <v>Eintracht FrankfurtTottenham Hotspur</v>
      </c>
      <c r="K141" s="111">
        <f t="shared" si="4"/>
        <v>0</v>
      </c>
      <c r="L141" s="111" t="str">
        <f>IF(AND(K141&gt;0,Planning!$I144=0),H141&amp;Language!$E$90&amp;I141,"")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Planning!$Q145</f>
        <v>PSV Eindhoven</v>
      </c>
      <c r="G142" s="140" t="str">
        <f>Planning!$S145</f>
        <v>Bayern München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IF(Planning!$I145=0,F142&amp;G142,"")</f>
        <v>PSV EindhovenBayern München</v>
      </c>
      <c r="K142" s="111">
        <f t="shared" si="4"/>
        <v>0</v>
      </c>
      <c r="L142" s="111" t="str">
        <f>IF(AND(K142&gt;0,Planning!$I145=0),H142&amp;Language!$E$90&amp;I142,"")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Planning!$Q146</f>
        <v>SSC Neapel</v>
      </c>
      <c r="G143" s="140" t="str">
        <f>Planning!$S146</f>
        <v>FC Chelsea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IF(Planning!$I146=0,F143&amp;G143,"")</f>
        <v>SSC NeapelFC Chelsea</v>
      </c>
      <c r="K143" s="111">
        <f t="shared" si="4"/>
        <v>0</v>
      </c>
      <c r="L143" s="111" t="str">
        <f>IF(AND(K143&gt;0,Planning!$I146=0),H143&amp;Language!$E$90&amp;I143,"")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Planning!$Q147</f>
        <v>AS Monaco</v>
      </c>
      <c r="G144" s="140" t="str">
        <f>Planning!$S147</f>
        <v>Juventus Turin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IF(Planning!$I147=0,F144&amp;G144,"")</f>
        <v>AS MonacoJuventus Turin</v>
      </c>
      <c r="K144" s="111">
        <f t="shared" si="4"/>
        <v>0</v>
      </c>
      <c r="L144" s="111" t="str">
        <f>IF(AND(K144&gt;0,Planning!$I147=0),H144&amp;Language!$E$90&amp;I144,"")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Planning!$Q148</f>
        <v>Union Saint-Gilloise</v>
      </c>
      <c r="G145" s="140" t="str">
        <f>Planning!$S148</f>
        <v>Atalanta Bergamo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IF(Planning!$I148=0,F145&amp;G145,"")</f>
        <v>Union Saint-GilloiseAtalanta Bergamo</v>
      </c>
      <c r="K145" s="111">
        <f t="shared" si="4"/>
        <v>0</v>
      </c>
      <c r="L145" s="111" t="str">
        <f>IF(AND(K145&gt;0,Planning!$I148=0),H145&amp;Language!$E$90&amp;I145,"")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Planning!$Q149</f>
        <v>Athletic Bilbao</v>
      </c>
      <c r="G146" s="140" t="str">
        <f>Planning!$S149</f>
        <v>Sporting Lissabon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IF(Planning!$I149=0,F146&amp;G146,"")</f>
        <v>Athletic BilbaoSporting Lissabon</v>
      </c>
      <c r="K146" s="111">
        <f t="shared" si="4"/>
        <v>0</v>
      </c>
      <c r="L146" s="111" t="str">
        <f>IF(AND(K146&gt;0,Planning!$I149=0),H146&amp;Language!$E$90&amp;I146,"")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Planning!$Q150</f>
        <v>Pafos FC</v>
      </c>
      <c r="G147" s="140" t="str">
        <f>Planning!$S150</f>
        <v>Salva Prag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IF(Planning!$I150=0,F147&amp;G147,"")</f>
        <v>Pafos FCSalva Prag</v>
      </c>
      <c r="K147" s="111">
        <f t="shared" si="4"/>
        <v>0</v>
      </c>
      <c r="L147" s="111" t="str">
        <f>IF(AND(K147&gt;0,Planning!$I150=0),H147&amp;Language!$E$90&amp;I147,"")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IF(Planning!$I7=0,G4&amp;F4,"")</f>
        <v>Union Saint-GilloisePSV Eindhoven</v>
      </c>
      <c r="K148" s="240">
        <f t="shared" ref="K148:K179" si="5">K4</f>
        <v>0</v>
      </c>
      <c r="L148" s="305" t="str">
        <f>IF(AND(K148&gt;0,Planning!$I7=0),I4&amp;Language!$E$90&amp;H4,"")</f>
        <v/>
      </c>
      <c r="M148" s="239"/>
      <c r="N148" s="239"/>
    </row>
    <row r="149" spans="2:14" x14ac:dyDescent="0.2">
      <c r="I149" s="243">
        <v>2</v>
      </c>
      <c r="J149" s="244" t="str">
        <f>IF(Planning!$I8=0,G5&amp;F5,"")</f>
        <v>FC ArsenalAthletic Bilbao</v>
      </c>
      <c r="K149" s="259">
        <f t="shared" si="5"/>
        <v>0</v>
      </c>
      <c r="L149" s="306" t="str">
        <f>IF(AND(K149&gt;0,Planning!$I8=0),I5&amp;Language!$E$90&amp;H5,"")</f>
        <v/>
      </c>
    </row>
    <row r="150" spans="2:14" x14ac:dyDescent="0.2">
      <c r="I150" s="243">
        <v>3</v>
      </c>
      <c r="J150" s="244" t="str">
        <f>IF(Planning!$I9=0,G6&amp;F6,"")</f>
        <v>Olympique MarseilleReal Madrid</v>
      </c>
      <c r="K150" s="259">
        <f t="shared" si="5"/>
        <v>0</v>
      </c>
      <c r="L150" s="306" t="str">
        <f>IF(AND(K150&gt;0,Planning!$I9=0),I6&amp;Language!$E$90&amp;H6,"")</f>
        <v/>
      </c>
    </row>
    <row r="151" spans="2:14" x14ac:dyDescent="0.2">
      <c r="I151" s="243">
        <v>4</v>
      </c>
      <c r="J151" s="244" t="str">
        <f>IF(Planning!$I10=0,G7&amp;F7,"")</f>
        <v>Qarabag AgdamBenfica Lissabon</v>
      </c>
      <c r="K151" s="259">
        <f t="shared" si="5"/>
        <v>0</v>
      </c>
      <c r="L151" s="306" t="str">
        <f>IF(AND(K151&gt;0,Planning!$I10=0),I7&amp;Language!$E$90&amp;H7,"")</f>
        <v/>
      </c>
    </row>
    <row r="152" spans="2:14" x14ac:dyDescent="0.2">
      <c r="I152" s="243">
        <v>5</v>
      </c>
      <c r="J152" s="244" t="str">
        <f>IF(Planning!$I11=0,G8&amp;F8,"")</f>
        <v>Borussia DortmundJuventus Turin</v>
      </c>
      <c r="K152" s="259">
        <f t="shared" si="5"/>
        <v>0</v>
      </c>
      <c r="L152" s="306" t="str">
        <f>IF(AND(K152&gt;0,Planning!$I11=0),I8&amp;Language!$E$90&amp;H8,"")</f>
        <v/>
      </c>
    </row>
    <row r="153" spans="2:14" x14ac:dyDescent="0.2">
      <c r="I153" s="243">
        <v>6</v>
      </c>
      <c r="J153" s="244" t="str">
        <f>IF(Planning!$I12=0,G9&amp;F9,"")</f>
        <v>FC VillarrealTottenham Hotspur</v>
      </c>
      <c r="K153" s="259">
        <f t="shared" si="5"/>
        <v>0</v>
      </c>
      <c r="L153" s="306" t="str">
        <f>IF(AND(K153&gt;0,Planning!$I12=0),I9&amp;Language!$E$90&amp;H9,"")</f>
        <v/>
      </c>
    </row>
    <row r="154" spans="2:14" x14ac:dyDescent="0.2">
      <c r="I154" s="243">
        <v>7</v>
      </c>
      <c r="J154" s="244" t="str">
        <f>IF(Planning!$I13=0,G10&amp;F10,"")</f>
        <v>Pafos FCOlympiakos Piräus</v>
      </c>
      <c r="K154" s="259">
        <f t="shared" si="5"/>
        <v>0</v>
      </c>
      <c r="L154" s="306" t="str">
        <f>IF(AND(K154&gt;0,Planning!$I13=0),I10&amp;Language!$E$90&amp;H10,"")</f>
        <v/>
      </c>
    </row>
    <row r="155" spans="2:14" x14ac:dyDescent="0.2">
      <c r="I155" s="243">
        <v>8</v>
      </c>
      <c r="J155" s="244" t="str">
        <f>IF(Planning!$I14=0,G11&amp;F11,"")</f>
        <v>FK Bodö/GlimtSalva Prag</v>
      </c>
      <c r="K155" s="259">
        <f t="shared" si="5"/>
        <v>0</v>
      </c>
      <c r="L155" s="306" t="str">
        <f>IF(AND(K155&gt;0,Planning!$I14=0),I11&amp;Language!$E$90&amp;H11,"")</f>
        <v/>
      </c>
    </row>
    <row r="156" spans="2:14" x14ac:dyDescent="0.2">
      <c r="I156" s="243">
        <v>9</v>
      </c>
      <c r="J156" s="244" t="str">
        <f>IF(Planning!$I15=0,G12&amp;F12,"")</f>
        <v>Atalanta BergamoParis St. Germain</v>
      </c>
      <c r="K156" s="259">
        <f t="shared" si="5"/>
        <v>0</v>
      </c>
      <c r="L156" s="306" t="str">
        <f>IF(AND(K156&gt;0,Planning!$I15=0),I12&amp;Language!$E$90&amp;H12,"")</f>
        <v/>
      </c>
    </row>
    <row r="157" spans="2:14" x14ac:dyDescent="0.2">
      <c r="I157" s="243">
        <v>10</v>
      </c>
      <c r="J157" s="244" t="str">
        <f>IF(Planning!$I16=0,G13&amp;F13,"")</f>
        <v>FC ChelseaBayern München</v>
      </c>
      <c r="K157" s="259">
        <f t="shared" si="5"/>
        <v>0</v>
      </c>
      <c r="L157" s="306" t="str">
        <f>IF(AND(K157&gt;0,Planning!$I16=0),I13&amp;Language!$E$90&amp;H13,"")</f>
        <v/>
      </c>
    </row>
    <row r="158" spans="2:14" x14ac:dyDescent="0.2">
      <c r="I158" s="243">
        <v>11</v>
      </c>
      <c r="J158" s="244" t="str">
        <f>IF(Planning!$I17=0,G14&amp;F14,"")</f>
        <v>Atletico MadridFC Liverpool</v>
      </c>
      <c r="K158" s="259">
        <f t="shared" si="5"/>
        <v>0</v>
      </c>
      <c r="L158" s="306" t="str">
        <f>IF(AND(K158&gt;0,Planning!$I17=0),I14&amp;Language!$E$90&amp;H14,"")</f>
        <v/>
      </c>
    </row>
    <row r="159" spans="2:14" x14ac:dyDescent="0.2">
      <c r="I159" s="243">
        <v>12</v>
      </c>
      <c r="J159" s="244" t="str">
        <f>IF(Planning!$I18=0,G15&amp;F15,"")</f>
        <v>Inter MailandAjax Amsterdam</v>
      </c>
      <c r="K159" s="259">
        <f t="shared" si="5"/>
        <v>0</v>
      </c>
      <c r="L159" s="306" t="str">
        <f>IF(AND(K159&gt;0,Planning!$I18=0),I15&amp;Language!$E$90&amp;H15,"")</f>
        <v/>
      </c>
    </row>
    <row r="160" spans="2:14" x14ac:dyDescent="0.2">
      <c r="I160" s="243">
        <v>13</v>
      </c>
      <c r="J160" s="244" t="str">
        <f>IF(Planning!$I19=0,G16&amp;F16,"")</f>
        <v>AS MonacoClub Brügge</v>
      </c>
      <c r="K160" s="259">
        <f t="shared" si="5"/>
        <v>0</v>
      </c>
      <c r="L160" s="306" t="str">
        <f>IF(AND(K160&gt;0,Planning!$I19=0),I16&amp;Language!$E$90&amp;H16,"")</f>
        <v/>
      </c>
    </row>
    <row r="161" spans="9:12" x14ac:dyDescent="0.2">
      <c r="I161" s="243">
        <v>14</v>
      </c>
      <c r="J161" s="244" t="str">
        <f>IF(Planning!$I20=0,G17&amp;F17,"")</f>
        <v>Bayer 04 LeverkusenFC Kopenhagen</v>
      </c>
      <c r="K161" s="259">
        <f t="shared" si="5"/>
        <v>0</v>
      </c>
      <c r="L161" s="306" t="str">
        <f>IF(AND(K161&gt;0,Planning!$I20=0),I17&amp;Language!$E$90&amp;H17,"")</f>
        <v/>
      </c>
    </row>
    <row r="162" spans="9:12" x14ac:dyDescent="0.2">
      <c r="I162" s="243">
        <v>15</v>
      </c>
      <c r="J162" s="244" t="str">
        <f>IF(Planning!$I21=0,G18&amp;F18,"")</f>
        <v>SSC NeapelManchester City</v>
      </c>
      <c r="K162" s="259">
        <f t="shared" si="5"/>
        <v>0</v>
      </c>
      <c r="L162" s="306" t="str">
        <f>IF(AND(K162&gt;0,Planning!$I21=0),I18&amp;Language!$E$90&amp;H18,"")</f>
        <v/>
      </c>
    </row>
    <row r="163" spans="9:12" x14ac:dyDescent="0.2">
      <c r="I163" s="243">
        <v>16</v>
      </c>
      <c r="J163" s="244" t="str">
        <f>IF(Planning!$I22=0,G19&amp;F19,"")</f>
        <v>Galatasaray SKEintracht Frankfurt</v>
      </c>
      <c r="K163" s="259">
        <f t="shared" si="5"/>
        <v>0</v>
      </c>
      <c r="L163" s="306" t="str">
        <f>IF(AND(K163&gt;0,Planning!$I22=0),I19&amp;Language!$E$90&amp;H19,"")</f>
        <v/>
      </c>
    </row>
    <row r="164" spans="9:12" x14ac:dyDescent="0.2">
      <c r="I164" s="243">
        <v>17</v>
      </c>
      <c r="J164" s="244" t="str">
        <f>IF(Planning!$I23=0,G20&amp;F20,"")</f>
        <v>Qairat AlmatySporting Lissabon</v>
      </c>
      <c r="K164" s="259">
        <f t="shared" si="5"/>
        <v>0</v>
      </c>
      <c r="L164" s="306" t="str">
        <f>IF(AND(K164&gt;0,Planning!$I23=0),I20&amp;Language!$E$90&amp;H20,"")</f>
        <v/>
      </c>
    </row>
    <row r="165" spans="9:12" x14ac:dyDescent="0.2">
      <c r="I165" s="243">
        <v>18</v>
      </c>
      <c r="J165" s="244" t="str">
        <f>IF(Planning!$I24=0,G21&amp;F21,"")</f>
        <v>FC BarcelonaNewcastle United</v>
      </c>
      <c r="K165" s="259">
        <f t="shared" si="5"/>
        <v>0</v>
      </c>
      <c r="L165" s="306" t="str">
        <f>IF(AND(K165&gt;0,Planning!$I24=0),I21&amp;Language!$E$90&amp;H21,"")</f>
        <v/>
      </c>
    </row>
    <row r="166" spans="9:12" x14ac:dyDescent="0.2">
      <c r="I166" s="243">
        <v>19</v>
      </c>
      <c r="J166" s="244" t="str">
        <f>IF(Planning!$I25=0,G22&amp;F22,"")</f>
        <v>Club BrüggeAtalanta Bergamo</v>
      </c>
      <c r="K166" s="259">
        <f t="shared" si="5"/>
        <v>0</v>
      </c>
      <c r="L166" s="306" t="str">
        <f>IF(AND(K166&gt;0,Planning!$I25=0),I22&amp;Language!$E$90&amp;H22,"")</f>
        <v/>
      </c>
    </row>
    <row r="167" spans="9:12" x14ac:dyDescent="0.2">
      <c r="I167" s="243">
        <v>20</v>
      </c>
      <c r="J167" s="244" t="str">
        <f>IF(Planning!$I26=0,G23&amp;F23,"")</f>
        <v>Real MadridQairat Almaty</v>
      </c>
      <c r="K167" s="259">
        <f t="shared" si="5"/>
        <v>0</v>
      </c>
      <c r="L167" s="306" t="str">
        <f>IF(AND(K167&gt;0,Planning!$I26=0),I23&amp;Language!$E$90&amp;H23,"")</f>
        <v/>
      </c>
    </row>
    <row r="168" spans="9:12" x14ac:dyDescent="0.2">
      <c r="I168" s="243">
        <v>21</v>
      </c>
      <c r="J168" s="244" t="str">
        <f>IF(Planning!$I27=0,G24&amp;F24,"")</f>
        <v>Salva PragInter Mailand</v>
      </c>
      <c r="K168" s="259">
        <f t="shared" si="5"/>
        <v>0</v>
      </c>
      <c r="L168" s="306" t="str">
        <f>IF(AND(K168&gt;0,Planning!$I27=0),I24&amp;Language!$E$90&amp;H24,"")</f>
        <v/>
      </c>
    </row>
    <row r="169" spans="9:12" x14ac:dyDescent="0.2">
      <c r="I169" s="243">
        <v>22</v>
      </c>
      <c r="J169" s="244" t="str">
        <f>IF(Planning!$I28=0,G25&amp;F25,"")</f>
        <v>Benfica LissabonFC Chelsea</v>
      </c>
      <c r="K169" s="259">
        <f t="shared" si="5"/>
        <v>0</v>
      </c>
      <c r="L169" s="306" t="str">
        <f>IF(AND(K169&gt;0,Planning!$I28=0),I25&amp;Language!$E$90&amp;H25,"")</f>
        <v/>
      </c>
    </row>
    <row r="170" spans="9:12" x14ac:dyDescent="0.2">
      <c r="I170" s="243">
        <v>23</v>
      </c>
      <c r="J170" s="244" t="str">
        <f>IF(Planning!$I29=0,G26&amp;F26,"")</f>
        <v>Eintracht FrankfurtAtletico Madrid</v>
      </c>
      <c r="K170" s="259">
        <f t="shared" si="5"/>
        <v>0</v>
      </c>
      <c r="L170" s="306" t="str">
        <f>IF(AND(K170&gt;0,Planning!$I29=0),I26&amp;Language!$E$90&amp;H26,"")</f>
        <v/>
      </c>
    </row>
    <row r="171" spans="9:12" x14ac:dyDescent="0.2">
      <c r="I171" s="243">
        <v>24</v>
      </c>
      <c r="J171" s="244" t="str">
        <f>IF(Planning!$I30=0,G27&amp;F27,"")</f>
        <v>Tottenham HotspurFK Bodö/Glimt</v>
      </c>
      <c r="K171" s="259">
        <f t="shared" si="5"/>
        <v>0</v>
      </c>
      <c r="L171" s="306" t="str">
        <f>IF(AND(K171&gt;0,Planning!$I30=0),I27&amp;Language!$E$90&amp;H27,"")</f>
        <v/>
      </c>
    </row>
    <row r="172" spans="9:12" x14ac:dyDescent="0.2">
      <c r="I172" s="243">
        <v>25</v>
      </c>
      <c r="J172" s="244" t="str">
        <f>IF(Planning!$I31=0,G28&amp;F28,"")</f>
        <v>Ajax AmsterdamOlympique Marseille</v>
      </c>
      <c r="K172" s="259">
        <f t="shared" si="5"/>
        <v>0</v>
      </c>
      <c r="L172" s="306" t="str">
        <f>IF(AND(K172&gt;0,Planning!$I31=0),I28&amp;Language!$E$90&amp;H28,"")</f>
        <v/>
      </c>
    </row>
    <row r="173" spans="9:12" x14ac:dyDescent="0.2">
      <c r="I173" s="243">
        <v>26</v>
      </c>
      <c r="J173" s="244" t="str">
        <f>IF(Planning!$I32=0,G29&amp;F29,"")</f>
        <v>FC LiverpoolGalatasaray SK</v>
      </c>
      <c r="K173" s="259">
        <f t="shared" si="5"/>
        <v>0</v>
      </c>
      <c r="L173" s="306" t="str">
        <f>IF(AND(K173&gt;0,Planning!$I32=0),I29&amp;Language!$E$90&amp;H29,"")</f>
        <v/>
      </c>
    </row>
    <row r="174" spans="9:12" x14ac:dyDescent="0.2">
      <c r="I174" s="243">
        <v>27</v>
      </c>
      <c r="J174" s="244" t="str">
        <f>IF(Planning!$I33=0,G30&amp;F30,"")</f>
        <v>Bayern MünchenPafos FC</v>
      </c>
      <c r="K174" s="259">
        <f t="shared" si="5"/>
        <v>0</v>
      </c>
      <c r="L174" s="306" t="str">
        <f>IF(AND(K174&gt;0,Planning!$I33=0),I30&amp;Language!$E$90&amp;H30,"")</f>
        <v/>
      </c>
    </row>
    <row r="175" spans="9:12" x14ac:dyDescent="0.2">
      <c r="I175" s="243">
        <v>28</v>
      </c>
      <c r="J175" s="244" t="str">
        <f>IF(Planning!$I34=0,G31&amp;F31,"")</f>
        <v>Newcastle UnitedUnion Saint-Gilloise</v>
      </c>
      <c r="K175" s="259">
        <f t="shared" si="5"/>
        <v>0</v>
      </c>
      <c r="L175" s="306" t="str">
        <f>IF(AND(K175&gt;0,Planning!$I34=0),I31&amp;Language!$E$90&amp;H31,"")</f>
        <v/>
      </c>
    </row>
    <row r="176" spans="9:12" x14ac:dyDescent="0.2">
      <c r="I176" s="243">
        <v>29</v>
      </c>
      <c r="J176" s="244" t="str">
        <f>IF(Planning!$I35=0,G32&amp;F32,"")</f>
        <v>FC KopenhagenQarabag Agdam</v>
      </c>
      <c r="K176" s="259">
        <f t="shared" si="5"/>
        <v>0</v>
      </c>
      <c r="L176" s="306" t="str">
        <f>IF(AND(K176&gt;0,Planning!$I35=0),I32&amp;Language!$E$90&amp;H32,"")</f>
        <v/>
      </c>
    </row>
    <row r="177" spans="9:12" x14ac:dyDescent="0.2">
      <c r="I177" s="243">
        <v>30</v>
      </c>
      <c r="J177" s="244" t="str">
        <f>IF(Planning!$I36=0,G33&amp;F33,"")</f>
        <v>Athletic BilbaoBorussia Dortmund</v>
      </c>
      <c r="K177" s="259">
        <f t="shared" si="5"/>
        <v>0</v>
      </c>
      <c r="L177" s="306" t="str">
        <f>IF(AND(K177&gt;0,Planning!$I36=0),I33&amp;Language!$E$90&amp;H33,"")</f>
        <v/>
      </c>
    </row>
    <row r="178" spans="9:12" x14ac:dyDescent="0.2">
      <c r="I178" s="243">
        <v>31</v>
      </c>
      <c r="J178" s="244" t="str">
        <f>IF(Planning!$I37=0,G34&amp;F34,"")</f>
        <v>Paris St. GermainFC Barcelona</v>
      </c>
      <c r="K178" s="259">
        <f t="shared" si="5"/>
        <v>0</v>
      </c>
      <c r="L178" s="306" t="str">
        <f>IF(AND(K178&gt;0,Planning!$I37=0),I34&amp;Language!$E$90&amp;H34,"")</f>
        <v/>
      </c>
    </row>
    <row r="179" spans="9:12" x14ac:dyDescent="0.2">
      <c r="I179" s="243">
        <v>32</v>
      </c>
      <c r="J179" s="244" t="str">
        <f>IF(Planning!$I38=0,G35&amp;F35,"")</f>
        <v>Olympiakos PiräusFC Arsenal</v>
      </c>
      <c r="K179" s="259">
        <f t="shared" si="5"/>
        <v>0</v>
      </c>
      <c r="L179" s="306" t="str">
        <f>IF(AND(K179&gt;0,Planning!$I38=0),I35&amp;Language!$E$90&amp;H35,"")</f>
        <v/>
      </c>
    </row>
    <row r="180" spans="9:12" x14ac:dyDescent="0.2">
      <c r="I180" s="243">
        <v>33</v>
      </c>
      <c r="J180" s="244" t="str">
        <f>IF(Planning!$I39=0,G36&amp;F36,"")</f>
        <v>PSV EindhovenBayer 04 Leverkusen</v>
      </c>
      <c r="K180" s="259">
        <f t="shared" ref="K180:K211" si="6">K36</f>
        <v>0</v>
      </c>
      <c r="L180" s="306" t="str">
        <f>IF(AND(K180&gt;0,Planning!$I39=0),I36&amp;Language!$E$90&amp;H36,"")</f>
        <v/>
      </c>
    </row>
    <row r="181" spans="9:12" x14ac:dyDescent="0.2">
      <c r="I181" s="243">
        <v>34</v>
      </c>
      <c r="J181" s="244" t="str">
        <f>IF(Planning!$I40=0,G37&amp;F37,"")</f>
        <v>Sporting LissabonSSC Neapel</v>
      </c>
      <c r="K181" s="259">
        <f t="shared" si="6"/>
        <v>0</v>
      </c>
      <c r="L181" s="306" t="str">
        <f>IF(AND(K181&gt;0,Planning!$I40=0),I37&amp;Language!$E$90&amp;H37,"")</f>
        <v/>
      </c>
    </row>
    <row r="182" spans="9:12" x14ac:dyDescent="0.2">
      <c r="I182" s="243">
        <v>35</v>
      </c>
      <c r="J182" s="244" t="str">
        <f>IF(Planning!$I41=0,G38&amp;F38,"")</f>
        <v>Juventus TurinFC Villarreal</v>
      </c>
      <c r="K182" s="259">
        <f t="shared" si="6"/>
        <v>0</v>
      </c>
      <c r="L182" s="306" t="str">
        <f>IF(AND(K182&gt;0,Planning!$I41=0),I38&amp;Language!$E$90&amp;H38,"")</f>
        <v/>
      </c>
    </row>
    <row r="183" spans="9:12" x14ac:dyDescent="0.2">
      <c r="I183" s="243">
        <v>36</v>
      </c>
      <c r="J183" s="244" t="str">
        <f>IF(Planning!$I42=0,G39&amp;F39,"")</f>
        <v>Manchester CityAS Monaco</v>
      </c>
      <c r="K183" s="259">
        <f t="shared" si="6"/>
        <v>0</v>
      </c>
      <c r="L183" s="306" t="str">
        <f>IF(AND(K183&gt;0,Planning!$I42=0),I39&amp;Language!$E$90&amp;H39,"")</f>
        <v/>
      </c>
    </row>
    <row r="184" spans="9:12" x14ac:dyDescent="0.2">
      <c r="I184" s="243">
        <v>37</v>
      </c>
      <c r="J184" s="244" t="str">
        <f>IF(Planning!$I43=0,G40&amp;F40,"")</f>
        <v>Olympiakos PiräusFC Barcelona</v>
      </c>
      <c r="K184" s="259">
        <f t="shared" si="6"/>
        <v>0</v>
      </c>
      <c r="L184" s="306" t="str">
        <f>IF(AND(K184&gt;0,Planning!$I43=0),I40&amp;Language!$E$90&amp;H40,"")</f>
        <v/>
      </c>
    </row>
    <row r="185" spans="9:12" x14ac:dyDescent="0.2">
      <c r="I185" s="243">
        <v>38</v>
      </c>
      <c r="J185" s="244" t="str">
        <f>IF(Planning!$I44=0,G41&amp;F41,"")</f>
        <v>Pafos FCQairat Almaty</v>
      </c>
      <c r="K185" s="259">
        <f t="shared" si="6"/>
        <v>0</v>
      </c>
      <c r="L185" s="306" t="str">
        <f>IF(AND(K185&gt;0,Planning!$I44=0),I41&amp;Language!$E$90&amp;H41,"")</f>
        <v/>
      </c>
    </row>
    <row r="186" spans="9:12" x14ac:dyDescent="0.2">
      <c r="I186" s="243">
        <v>39</v>
      </c>
      <c r="J186" s="244" t="str">
        <f>IF(Planning!$I45=0,G42&amp;F42,"")</f>
        <v>Atletico MadridFC Arsenal</v>
      </c>
      <c r="K186" s="259">
        <f t="shared" si="6"/>
        <v>0</v>
      </c>
      <c r="L186" s="306" t="str">
        <f>IF(AND(K186&gt;0,Planning!$I45=0),I42&amp;Language!$E$90&amp;H42,"")</f>
        <v/>
      </c>
    </row>
    <row r="187" spans="9:12" x14ac:dyDescent="0.2">
      <c r="I187" s="243">
        <v>40</v>
      </c>
      <c r="J187" s="244" t="str">
        <f>IF(Planning!$I46=0,G43&amp;F43,"")</f>
        <v>Paris St. GermainBayer 04 Leverkusen</v>
      </c>
      <c r="K187" s="259">
        <f t="shared" si="6"/>
        <v>0</v>
      </c>
      <c r="L187" s="306" t="str">
        <f>IF(AND(K187&gt;0,Planning!$I46=0),I43&amp;Language!$E$90&amp;H43,"")</f>
        <v/>
      </c>
    </row>
    <row r="188" spans="9:12" x14ac:dyDescent="0.2">
      <c r="I188" s="243">
        <v>41</v>
      </c>
      <c r="J188" s="244" t="str">
        <f>IF(Planning!$I47=0,G44&amp;F44,"")</f>
        <v>SSC NeapelPSV Eindhoven</v>
      </c>
      <c r="K188" s="259">
        <f t="shared" si="6"/>
        <v>0</v>
      </c>
      <c r="L188" s="306" t="str">
        <f>IF(AND(K188&gt;0,Planning!$I47=0),I44&amp;Language!$E$90&amp;H44,"")</f>
        <v/>
      </c>
    </row>
    <row r="189" spans="9:12" x14ac:dyDescent="0.2">
      <c r="I189" s="243">
        <v>42</v>
      </c>
      <c r="J189" s="244" t="str">
        <f>IF(Planning!$I48=0,G45&amp;F45,"")</f>
        <v>Manchester CityFC Villarreal</v>
      </c>
      <c r="K189" s="259">
        <f t="shared" si="6"/>
        <v>0</v>
      </c>
      <c r="L189" s="306" t="str">
        <f>IF(AND(K189&gt;0,Planning!$I48=0),I45&amp;Language!$E$90&amp;H45,"")</f>
        <v/>
      </c>
    </row>
    <row r="190" spans="9:12" x14ac:dyDescent="0.2">
      <c r="I190" s="243">
        <v>43</v>
      </c>
      <c r="J190" s="244" t="str">
        <f>IF(Planning!$I49=0,G46&amp;F46,"")</f>
        <v>Borussia DortmundFC Kopenhagen</v>
      </c>
      <c r="K190" s="259">
        <f t="shared" si="6"/>
        <v>0</v>
      </c>
      <c r="L190" s="306" t="str">
        <f>IF(AND(K190&gt;0,Planning!$I49=0),I46&amp;Language!$E$90&amp;H46,"")</f>
        <v/>
      </c>
    </row>
    <row r="191" spans="9:12" x14ac:dyDescent="0.2">
      <c r="I191" s="243">
        <v>44</v>
      </c>
      <c r="J191" s="244" t="str">
        <f>IF(Planning!$I50=0,G47&amp;F47,"")</f>
        <v>Inter MailandUnion Saint-Gilloise</v>
      </c>
      <c r="K191" s="259">
        <f t="shared" si="6"/>
        <v>0</v>
      </c>
      <c r="L191" s="306" t="str">
        <f>IF(AND(K191&gt;0,Planning!$I50=0),I47&amp;Language!$E$90&amp;H47,"")</f>
        <v/>
      </c>
    </row>
    <row r="192" spans="9:12" x14ac:dyDescent="0.2">
      <c r="I192" s="243">
        <v>45</v>
      </c>
      <c r="J192" s="244" t="str">
        <f>IF(Planning!$I51=0,G48&amp;F48,"")</f>
        <v>Benfica LissabonNewcastle United</v>
      </c>
      <c r="K192" s="259">
        <f t="shared" si="6"/>
        <v>0</v>
      </c>
      <c r="L192" s="306" t="str">
        <f>IF(AND(K192&gt;0,Planning!$I51=0),I48&amp;Language!$E$90&amp;H48,"")</f>
        <v/>
      </c>
    </row>
    <row r="193" spans="9:12" x14ac:dyDescent="0.2">
      <c r="I193" s="243">
        <v>46</v>
      </c>
      <c r="J193" s="244" t="str">
        <f>IF(Planning!$I52=0,G49&amp;F49,"")</f>
        <v>FK Bodö/GlimtGalatasaray SK</v>
      </c>
      <c r="K193" s="259">
        <f t="shared" si="6"/>
        <v>0</v>
      </c>
      <c r="L193" s="306" t="str">
        <f>IF(AND(K193&gt;0,Planning!$I52=0),I49&amp;Language!$E$90&amp;H49,"")</f>
        <v/>
      </c>
    </row>
    <row r="194" spans="9:12" x14ac:dyDescent="0.2">
      <c r="I194" s="243">
        <v>47</v>
      </c>
      <c r="J194" s="244" t="str">
        <f>IF(Planning!$I53=0,G50&amp;F50,"")</f>
        <v>Qarabag AgdamAthletic Bilbao</v>
      </c>
      <c r="K194" s="259">
        <f t="shared" si="6"/>
        <v>0</v>
      </c>
      <c r="L194" s="306" t="str">
        <f>IF(AND(K194&gt;0,Planning!$I53=0),I50&amp;Language!$E$90&amp;H50,"")</f>
        <v/>
      </c>
    </row>
    <row r="195" spans="9:12" x14ac:dyDescent="0.2">
      <c r="I195" s="243">
        <v>48</v>
      </c>
      <c r="J195" s="244" t="str">
        <f>IF(Planning!$I54=0,G51&amp;F51,"")</f>
        <v>Club BrüggeBayern München</v>
      </c>
      <c r="K195" s="259">
        <f t="shared" si="6"/>
        <v>0</v>
      </c>
      <c r="L195" s="306" t="str">
        <f>IF(AND(K195&gt;0,Planning!$I54=0),I51&amp;Language!$E$90&amp;H51,"")</f>
        <v/>
      </c>
    </row>
    <row r="196" spans="9:12" x14ac:dyDescent="0.2">
      <c r="I196" s="243">
        <v>49</v>
      </c>
      <c r="J196" s="244" t="str">
        <f>IF(Planning!$I55=0,G52&amp;F52,"")</f>
        <v>Juventus TurinReal Madrid</v>
      </c>
      <c r="K196" s="259">
        <f t="shared" si="6"/>
        <v>0</v>
      </c>
      <c r="L196" s="306" t="str">
        <f>IF(AND(K196&gt;0,Planning!$I55=0),I52&amp;Language!$E$90&amp;H52,"")</f>
        <v/>
      </c>
    </row>
    <row r="197" spans="9:12" x14ac:dyDescent="0.2">
      <c r="I197" s="243">
        <v>50</v>
      </c>
      <c r="J197" s="244" t="str">
        <f>IF(Planning!$I56=0,G53&amp;F53,"")</f>
        <v>Ajax AmsterdamFC Chelsea</v>
      </c>
      <c r="K197" s="259">
        <f t="shared" si="6"/>
        <v>0</v>
      </c>
      <c r="L197" s="306" t="str">
        <f>IF(AND(K197&gt;0,Planning!$I56=0),I53&amp;Language!$E$90&amp;H53,"")</f>
        <v/>
      </c>
    </row>
    <row r="198" spans="9:12" x14ac:dyDescent="0.2">
      <c r="I198" s="243">
        <v>51</v>
      </c>
      <c r="J198" s="244" t="str">
        <f>IF(Planning!$I57=0,G54&amp;F54,"")</f>
        <v>Salva PragAtalanta Bergamo</v>
      </c>
      <c r="K198" s="259">
        <f t="shared" si="6"/>
        <v>0</v>
      </c>
      <c r="L198" s="306" t="str">
        <f>IF(AND(K198&gt;0,Planning!$I57=0),I54&amp;Language!$E$90&amp;H54,"")</f>
        <v/>
      </c>
    </row>
    <row r="199" spans="9:12" x14ac:dyDescent="0.2">
      <c r="I199" s="243">
        <v>52</v>
      </c>
      <c r="J199" s="244" t="str">
        <f>IF(Planning!$I58=0,G55&amp;F55,"")</f>
        <v>FC LiverpoolEintracht Frankfurt</v>
      </c>
      <c r="K199" s="259">
        <f t="shared" si="6"/>
        <v>0</v>
      </c>
      <c r="L199" s="306" t="str">
        <f>IF(AND(K199&gt;0,Planning!$I58=0),I55&amp;Language!$E$90&amp;H55,"")</f>
        <v/>
      </c>
    </row>
    <row r="200" spans="9:12" x14ac:dyDescent="0.2">
      <c r="I200" s="243">
        <v>53</v>
      </c>
      <c r="J200" s="244" t="str">
        <f>IF(Planning!$I59=0,G56&amp;F56,"")</f>
        <v>Olympique MarseilleSporting Lissabon</v>
      </c>
      <c r="K200" s="259">
        <f t="shared" si="6"/>
        <v>0</v>
      </c>
      <c r="L200" s="306" t="str">
        <f>IF(AND(K200&gt;0,Planning!$I59=0),I56&amp;Language!$E$90&amp;H56,"")</f>
        <v/>
      </c>
    </row>
    <row r="201" spans="9:12" x14ac:dyDescent="0.2">
      <c r="I201" s="243">
        <v>54</v>
      </c>
      <c r="J201" s="244" t="str">
        <f>IF(Planning!$I60=0,G57&amp;F57,"")</f>
        <v>Tottenham HotspurAS Monaco</v>
      </c>
      <c r="K201" s="259">
        <f t="shared" si="6"/>
        <v>0</v>
      </c>
      <c r="L201" s="306" t="str">
        <f>IF(AND(K201&gt;0,Planning!$I60=0),I57&amp;Language!$E$90&amp;H57,"")</f>
        <v/>
      </c>
    </row>
    <row r="202" spans="9:12" x14ac:dyDescent="0.2">
      <c r="I202" s="243">
        <v>55</v>
      </c>
      <c r="J202" s="244" t="str">
        <f>IF(Planning!$I61=0,G58&amp;F58,"")</f>
        <v>Eintracht FrankfurtSSC Neapel</v>
      </c>
      <c r="K202" s="259">
        <f t="shared" si="6"/>
        <v>0</v>
      </c>
      <c r="L202" s="306" t="str">
        <f>IF(AND(K202&gt;0,Planning!$I61=0),I58&amp;Language!$E$90&amp;H58,"")</f>
        <v/>
      </c>
    </row>
    <row r="203" spans="9:12" x14ac:dyDescent="0.2">
      <c r="I203" s="243">
        <v>56</v>
      </c>
      <c r="J203" s="244" t="str">
        <f>IF(Planning!$I62=0,G59&amp;F59,"")</f>
        <v>FC ArsenalSalva Prag</v>
      </c>
      <c r="K203" s="259">
        <f t="shared" si="6"/>
        <v>0</v>
      </c>
      <c r="L203" s="306" t="str">
        <f>IF(AND(K203&gt;0,Planning!$I62=0),I59&amp;Language!$E$90&amp;H59,"")</f>
        <v/>
      </c>
    </row>
    <row r="204" spans="9:12" x14ac:dyDescent="0.2">
      <c r="I204" s="243">
        <v>57</v>
      </c>
      <c r="J204" s="244" t="str">
        <f>IF(Planning!$I63=0,G60&amp;F60,"")</f>
        <v>Bayern MünchenParis St. Germain</v>
      </c>
      <c r="K204" s="259">
        <f t="shared" si="6"/>
        <v>0</v>
      </c>
      <c r="L204" s="306" t="str">
        <f>IF(AND(K204&gt;0,Planning!$I63=0),I60&amp;Language!$E$90&amp;H60,"")</f>
        <v/>
      </c>
    </row>
    <row r="205" spans="9:12" x14ac:dyDescent="0.2">
      <c r="I205" s="243">
        <v>58</v>
      </c>
      <c r="J205" s="244" t="str">
        <f>IF(Planning!$I64=0,G61&amp;F61,"")</f>
        <v>Real MadridFC Liverpool</v>
      </c>
      <c r="K205" s="259">
        <f t="shared" si="6"/>
        <v>0</v>
      </c>
      <c r="L205" s="306" t="str">
        <f>IF(AND(K205&gt;0,Planning!$I64=0),I61&amp;Language!$E$90&amp;H61,"")</f>
        <v/>
      </c>
    </row>
    <row r="206" spans="9:12" x14ac:dyDescent="0.2">
      <c r="I206" s="243">
        <v>59</v>
      </c>
      <c r="J206" s="244" t="str">
        <f>IF(Planning!$I65=0,G62&amp;F62,"")</f>
        <v>Sporting LissabonJuventus Turin</v>
      </c>
      <c r="K206" s="259">
        <f t="shared" si="6"/>
        <v>0</v>
      </c>
      <c r="L206" s="306" t="str">
        <f>IF(AND(K206&gt;0,Planning!$I65=0),I62&amp;Language!$E$90&amp;H62,"")</f>
        <v/>
      </c>
    </row>
    <row r="207" spans="9:12" x14ac:dyDescent="0.2">
      <c r="I207" s="243">
        <v>60</v>
      </c>
      <c r="J207" s="244" t="str">
        <f>IF(Planning!$I66=0,G63&amp;F63,"")</f>
        <v>Union Saint-GilloiseAtletico Madrid</v>
      </c>
      <c r="K207" s="259">
        <f t="shared" si="6"/>
        <v>0</v>
      </c>
      <c r="L207" s="306" t="str">
        <f>IF(AND(K207&gt;0,Planning!$I66=0),I63&amp;Language!$E$90&amp;H63,"")</f>
        <v/>
      </c>
    </row>
    <row r="208" spans="9:12" x14ac:dyDescent="0.2">
      <c r="I208" s="243">
        <v>61</v>
      </c>
      <c r="J208" s="244" t="str">
        <f>IF(Planning!$I67=0,G64&amp;F64,"")</f>
        <v>FC KopenhagenTottenham Hotspur</v>
      </c>
      <c r="K208" s="259">
        <f t="shared" si="6"/>
        <v>0</v>
      </c>
      <c r="L208" s="306" t="str">
        <f>IF(AND(K208&gt;0,Planning!$I67=0),I64&amp;Language!$E$90&amp;H64,"")</f>
        <v/>
      </c>
    </row>
    <row r="209" spans="9:12" x14ac:dyDescent="0.2">
      <c r="I209" s="243">
        <v>62</v>
      </c>
      <c r="J209" s="244" t="str">
        <f>IF(Planning!$I68=0,G65&amp;F65,"")</f>
        <v>AS MonacoFK Bodö/Glimt</v>
      </c>
      <c r="K209" s="259">
        <f t="shared" si="6"/>
        <v>0</v>
      </c>
      <c r="L209" s="306" t="str">
        <f>IF(AND(K209&gt;0,Planning!$I68=0),I65&amp;Language!$E$90&amp;H65,"")</f>
        <v/>
      </c>
    </row>
    <row r="210" spans="9:12" x14ac:dyDescent="0.2">
      <c r="I210" s="243">
        <v>63</v>
      </c>
      <c r="J210" s="244" t="str">
        <f>IF(Planning!$I69=0,G66&amp;F66,"")</f>
        <v>PSV EindhovenOlympiakos Piräus</v>
      </c>
      <c r="K210" s="259">
        <f t="shared" si="6"/>
        <v>0</v>
      </c>
      <c r="L210" s="306" t="str">
        <f>IF(AND(K210&gt;0,Planning!$I69=0),I66&amp;Language!$E$90&amp;H66,"")</f>
        <v/>
      </c>
    </row>
    <row r="211" spans="9:12" x14ac:dyDescent="0.2">
      <c r="I211" s="243">
        <v>64</v>
      </c>
      <c r="J211" s="244" t="str">
        <f>IF(Planning!$I70=0,G67&amp;F67,"")</f>
        <v>FC ChelseaQarabag Agdam</v>
      </c>
      <c r="K211" s="259">
        <f t="shared" si="6"/>
        <v>0</v>
      </c>
      <c r="L211" s="306" t="str">
        <f>IF(AND(K211&gt;0,Planning!$I70=0),I67&amp;Language!$E$90&amp;H67,"")</f>
        <v/>
      </c>
    </row>
    <row r="212" spans="9:12" x14ac:dyDescent="0.2">
      <c r="I212" s="243">
        <v>65</v>
      </c>
      <c r="J212" s="244" t="str">
        <f>IF(Planning!$I71=0,G68&amp;F68,"")</f>
        <v>FC VillarrealPafos FC</v>
      </c>
      <c r="K212" s="259">
        <f t="shared" ref="K212:K243" si="7">K68</f>
        <v>0</v>
      </c>
      <c r="L212" s="306" t="str">
        <f>IF(AND(K212&gt;0,Planning!$I71=0),I68&amp;Language!$E$90&amp;H68,"")</f>
        <v/>
      </c>
    </row>
    <row r="213" spans="9:12" x14ac:dyDescent="0.2">
      <c r="I213" s="243">
        <v>66</v>
      </c>
      <c r="J213" s="244" t="str">
        <f>IF(Planning!$I72=0,G69&amp;F69,"")</f>
        <v>Borussia DortmundManchester City</v>
      </c>
      <c r="K213" s="259">
        <f t="shared" si="7"/>
        <v>0</v>
      </c>
      <c r="L213" s="306" t="str">
        <f>IF(AND(K213&gt;0,Planning!$I72=0),I69&amp;Language!$E$90&amp;H69,"")</f>
        <v/>
      </c>
    </row>
    <row r="214" spans="9:12" x14ac:dyDescent="0.2">
      <c r="I214" s="243">
        <v>67</v>
      </c>
      <c r="J214" s="244" t="str">
        <f>IF(Planning!$I73=0,G70&amp;F70,"")</f>
        <v>Qairat AlmatyInter Mailand</v>
      </c>
      <c r="K214" s="259">
        <f t="shared" si="7"/>
        <v>0</v>
      </c>
      <c r="L214" s="306" t="str">
        <f>IF(AND(K214&gt;0,Planning!$I73=0),I70&amp;Language!$E$90&amp;H70,"")</f>
        <v/>
      </c>
    </row>
    <row r="215" spans="9:12" x14ac:dyDescent="0.2">
      <c r="I215" s="243">
        <v>68</v>
      </c>
      <c r="J215" s="244" t="str">
        <f>IF(Planning!$I74=0,G71&amp;F71,"")</f>
        <v>Galatasaray SKAjax Amsterdam</v>
      </c>
      <c r="K215" s="259">
        <f t="shared" si="7"/>
        <v>0</v>
      </c>
      <c r="L215" s="306" t="str">
        <f>IF(AND(K215&gt;0,Planning!$I74=0),I71&amp;Language!$E$90&amp;H71,"")</f>
        <v/>
      </c>
    </row>
    <row r="216" spans="9:12" x14ac:dyDescent="0.2">
      <c r="I216" s="243">
        <v>69</v>
      </c>
      <c r="J216" s="244" t="str">
        <f>IF(Planning!$I75=0,G72&amp;F72,"")</f>
        <v>Bayer 04 LeverkusenBenfica Lissabon</v>
      </c>
      <c r="K216" s="259">
        <f t="shared" si="7"/>
        <v>0</v>
      </c>
      <c r="L216" s="306" t="str">
        <f>IF(AND(K216&gt;0,Planning!$I75=0),I72&amp;Language!$E$90&amp;H72,"")</f>
        <v/>
      </c>
    </row>
    <row r="217" spans="9:12" x14ac:dyDescent="0.2">
      <c r="I217" s="243">
        <v>70</v>
      </c>
      <c r="J217" s="244" t="str">
        <f>IF(Planning!$I76=0,G73&amp;F73,"")</f>
        <v>FC BarcelonaClub Brügge</v>
      </c>
      <c r="K217" s="259">
        <f t="shared" si="7"/>
        <v>0</v>
      </c>
      <c r="L217" s="306" t="str">
        <f>IF(AND(K217&gt;0,Planning!$I76=0),I73&amp;Language!$E$90&amp;H73,"")</f>
        <v/>
      </c>
    </row>
    <row r="218" spans="9:12" x14ac:dyDescent="0.2">
      <c r="I218" s="243">
        <v>71</v>
      </c>
      <c r="J218" s="244" t="str">
        <f>IF(Planning!$I77=0,G74&amp;F74,"")</f>
        <v>Atalanta BergamoOlympique Marseille</v>
      </c>
      <c r="K218" s="259">
        <f t="shared" si="7"/>
        <v>0</v>
      </c>
      <c r="L218" s="306" t="str">
        <f>IF(AND(K218&gt;0,Planning!$I77=0),I74&amp;Language!$E$90&amp;H74,"")</f>
        <v/>
      </c>
    </row>
    <row r="219" spans="9:12" x14ac:dyDescent="0.2">
      <c r="I219" s="243">
        <v>72</v>
      </c>
      <c r="J219" s="244" t="str">
        <f>IF(Planning!$I78=0,G75&amp;F75,"")</f>
        <v>Athletic BilbaoNewcastle United</v>
      </c>
      <c r="K219" s="259">
        <f t="shared" si="7"/>
        <v>0</v>
      </c>
      <c r="L219" s="306" t="str">
        <f>IF(AND(K219&gt;0,Planning!$I78=0),I75&amp;Language!$E$90&amp;H75,"")</f>
        <v/>
      </c>
    </row>
    <row r="220" spans="9:12" x14ac:dyDescent="0.2">
      <c r="I220" s="243">
        <v>73</v>
      </c>
      <c r="J220" s="244" t="str">
        <f>IF(Planning!$I79=0,G76&amp;F76,"")</f>
        <v>Benfica LissabonAjax Amsterdam</v>
      </c>
      <c r="K220" s="259">
        <f t="shared" si="7"/>
        <v>0</v>
      </c>
      <c r="L220" s="306" t="str">
        <f>IF(AND(K220&gt;0,Planning!$I79=0),I76&amp;Language!$E$90&amp;H76,"")</f>
        <v/>
      </c>
    </row>
    <row r="221" spans="9:12" x14ac:dyDescent="0.2">
      <c r="I221" s="243">
        <v>74</v>
      </c>
      <c r="J221" s="244" t="str">
        <f>IF(Planning!$I80=0,G77&amp;F77,"")</f>
        <v>Union Saint-GilloiseGalatasaray SK</v>
      </c>
      <c r="K221" s="259">
        <f t="shared" si="7"/>
        <v>0</v>
      </c>
      <c r="L221" s="306" t="str">
        <f>IF(AND(K221&gt;0,Planning!$I80=0),I77&amp;Language!$E$90&amp;H77,"")</f>
        <v/>
      </c>
    </row>
    <row r="222" spans="9:12" x14ac:dyDescent="0.2">
      <c r="I222" s="243">
        <v>75</v>
      </c>
      <c r="J222" s="244" t="str">
        <f>IF(Planning!$I81=0,G78&amp;F78,"")</f>
        <v>Bayer 04 LeverkusenManchester City</v>
      </c>
      <c r="K222" s="259">
        <f t="shared" si="7"/>
        <v>0</v>
      </c>
      <c r="L222" s="306" t="str">
        <f>IF(AND(K222&gt;0,Planning!$I81=0),I78&amp;Language!$E$90&amp;H78,"")</f>
        <v/>
      </c>
    </row>
    <row r="223" spans="9:12" x14ac:dyDescent="0.2">
      <c r="I223" s="243">
        <v>76</v>
      </c>
      <c r="J223" s="244" t="str">
        <f>IF(Planning!$I82=0,G79&amp;F79,"")</f>
        <v>FC BarcelonaFC Chelsea</v>
      </c>
      <c r="K223" s="259">
        <f t="shared" si="7"/>
        <v>0</v>
      </c>
      <c r="L223" s="306" t="str">
        <f>IF(AND(K223&gt;0,Planning!$I82=0),I79&amp;Language!$E$90&amp;H79,"")</f>
        <v/>
      </c>
    </row>
    <row r="224" spans="9:12" x14ac:dyDescent="0.2">
      <c r="I224" s="243">
        <v>77</v>
      </c>
      <c r="J224" s="244" t="str">
        <f>IF(Planning!$I83=0,G80&amp;F80,"")</f>
        <v>FC VillarrealBorussia Dortmund</v>
      </c>
      <c r="K224" s="259">
        <f t="shared" si="7"/>
        <v>0</v>
      </c>
      <c r="L224" s="306" t="str">
        <f>IF(AND(K224&gt;0,Planning!$I83=0),I80&amp;Language!$E$90&amp;H80,"")</f>
        <v/>
      </c>
    </row>
    <row r="225" spans="9:12" x14ac:dyDescent="0.2">
      <c r="I225" s="243">
        <v>78</v>
      </c>
      <c r="J225" s="244" t="str">
        <f>IF(Planning!$I84=0,G81&amp;F81,"")</f>
        <v>Qarabag AgdamSSC Neapel</v>
      </c>
      <c r="K225" s="259">
        <f t="shared" si="7"/>
        <v>0</v>
      </c>
      <c r="L225" s="306" t="str">
        <f>IF(AND(K225&gt;0,Planning!$I84=0),I81&amp;Language!$E$90&amp;H81,"")</f>
        <v/>
      </c>
    </row>
    <row r="226" spans="9:12" x14ac:dyDescent="0.2">
      <c r="I226" s="243">
        <v>79</v>
      </c>
      <c r="J226" s="244" t="str">
        <f>IF(Planning!$I85=0,G82&amp;F82,"")</f>
        <v>Juventus TurinFK Bodö/Glimt</v>
      </c>
      <c r="K226" s="259">
        <f t="shared" si="7"/>
        <v>0</v>
      </c>
      <c r="L226" s="306" t="str">
        <f>IF(AND(K226&gt;0,Planning!$I85=0),I82&amp;Language!$E$90&amp;H82,"")</f>
        <v/>
      </c>
    </row>
    <row r="227" spans="9:12" x14ac:dyDescent="0.2">
      <c r="I227" s="243">
        <v>80</v>
      </c>
      <c r="J227" s="244" t="str">
        <f>IF(Planning!$I86=0,G83&amp;F83,"")</f>
        <v>Newcastle UnitedOlympique Marseille</v>
      </c>
      <c r="K227" s="259">
        <f t="shared" si="7"/>
        <v>0</v>
      </c>
      <c r="L227" s="306" t="str">
        <f>IF(AND(K227&gt;0,Planning!$I86=0),I83&amp;Language!$E$90&amp;H83,"")</f>
        <v/>
      </c>
    </row>
    <row r="228" spans="9:12" x14ac:dyDescent="0.2">
      <c r="I228" s="243">
        <v>81</v>
      </c>
      <c r="J228" s="244" t="str">
        <f>IF(Planning!$I87=0,G84&amp;F84,"")</f>
        <v>Athletic BilbaoSalva Prag</v>
      </c>
      <c r="K228" s="259">
        <f t="shared" si="7"/>
        <v>0</v>
      </c>
      <c r="L228" s="306" t="str">
        <f>IF(AND(K228&gt;0,Planning!$I87=0),I84&amp;Language!$E$90&amp;H84,"")</f>
        <v/>
      </c>
    </row>
    <row r="229" spans="9:12" x14ac:dyDescent="0.2">
      <c r="I229" s="243">
        <v>82</v>
      </c>
      <c r="J229" s="244" t="str">
        <f>IF(Planning!$I88=0,G85&amp;F85,"")</f>
        <v>Qairat AlmatyFC Kopenhagen</v>
      </c>
      <c r="K229" s="259">
        <f t="shared" si="7"/>
        <v>0</v>
      </c>
      <c r="L229" s="306" t="str">
        <f>IF(AND(K229&gt;0,Planning!$I88=0),I85&amp;Language!$E$90&amp;H85,"")</f>
        <v/>
      </c>
    </row>
    <row r="230" spans="9:12" x14ac:dyDescent="0.2">
      <c r="I230" s="243">
        <v>83</v>
      </c>
      <c r="J230" s="244" t="str">
        <f>IF(Planning!$I89=0,G86&amp;F86,"")</f>
        <v>AS MonacoPafos FC</v>
      </c>
      <c r="K230" s="259">
        <f t="shared" si="7"/>
        <v>0</v>
      </c>
      <c r="L230" s="306" t="str">
        <f>IF(AND(K230&gt;0,Planning!$I89=0),I86&amp;Language!$E$90&amp;H86,"")</f>
        <v/>
      </c>
    </row>
    <row r="231" spans="9:12" x14ac:dyDescent="0.2">
      <c r="I231" s="243">
        <v>84</v>
      </c>
      <c r="J231" s="244" t="str">
        <f>IF(Planning!$I90=0,G87&amp;F87,"")</f>
        <v>Tottenham HotspurParis St. Germain</v>
      </c>
      <c r="K231" s="259">
        <f t="shared" si="7"/>
        <v>0</v>
      </c>
      <c r="L231" s="306" t="str">
        <f>IF(AND(K231&gt;0,Planning!$I90=0),I87&amp;Language!$E$90&amp;H87,"")</f>
        <v/>
      </c>
    </row>
    <row r="232" spans="9:12" x14ac:dyDescent="0.2">
      <c r="I232" s="243">
        <v>85</v>
      </c>
      <c r="J232" s="244" t="str">
        <f>IF(Planning!$I91=0,G88&amp;F88,"")</f>
        <v>PSV EindhovenFC Liverpool</v>
      </c>
      <c r="K232" s="259">
        <f t="shared" si="7"/>
        <v>0</v>
      </c>
      <c r="L232" s="306" t="str">
        <f>IF(AND(K232&gt;0,Planning!$I91=0),I88&amp;Language!$E$90&amp;H88,"")</f>
        <v/>
      </c>
    </row>
    <row r="233" spans="9:12" x14ac:dyDescent="0.2">
      <c r="I233" s="243">
        <v>86</v>
      </c>
      <c r="J233" s="244" t="str">
        <f>IF(Planning!$I92=0,G89&amp;F89,"")</f>
        <v>Bayern MünchenFC Arsenal</v>
      </c>
      <c r="K233" s="259">
        <f t="shared" si="7"/>
        <v>0</v>
      </c>
      <c r="L233" s="306" t="str">
        <f>IF(AND(K233&gt;0,Planning!$I92=0),I89&amp;Language!$E$90&amp;H89,"")</f>
        <v/>
      </c>
    </row>
    <row r="234" spans="9:12" x14ac:dyDescent="0.2">
      <c r="I234" s="243">
        <v>87</v>
      </c>
      <c r="J234" s="244" t="str">
        <f>IF(Planning!$I93=0,G90&amp;F90,"")</f>
        <v>Inter MailandAtletico Madrid</v>
      </c>
      <c r="K234" s="259">
        <f t="shared" si="7"/>
        <v>0</v>
      </c>
      <c r="L234" s="306" t="str">
        <f>IF(AND(K234&gt;0,Planning!$I93=0),I90&amp;Language!$E$90&amp;H90,"")</f>
        <v/>
      </c>
    </row>
    <row r="235" spans="9:12" x14ac:dyDescent="0.2">
      <c r="I235" s="243">
        <v>88</v>
      </c>
      <c r="J235" s="244" t="str">
        <f>IF(Planning!$I94=0,G91&amp;F91,"")</f>
        <v>Atalanta BergamoEintracht Frankfurt</v>
      </c>
      <c r="K235" s="259">
        <f t="shared" si="7"/>
        <v>0</v>
      </c>
      <c r="L235" s="306" t="str">
        <f>IF(AND(K235&gt;0,Planning!$I94=0),I91&amp;Language!$E$90&amp;H91,"")</f>
        <v/>
      </c>
    </row>
    <row r="236" spans="9:12" x14ac:dyDescent="0.2">
      <c r="I236" s="243">
        <v>89</v>
      </c>
      <c r="J236" s="244" t="str">
        <f>IF(Planning!$I95=0,G92&amp;F92,"")</f>
        <v>Club BrüggeSporting Lissabon</v>
      </c>
      <c r="K236" s="259">
        <f t="shared" si="7"/>
        <v>0</v>
      </c>
      <c r="L236" s="306" t="str">
        <f>IF(AND(K236&gt;0,Planning!$I95=0),I92&amp;Language!$E$90&amp;H92,"")</f>
        <v/>
      </c>
    </row>
    <row r="237" spans="9:12" x14ac:dyDescent="0.2">
      <c r="I237" s="243">
        <v>90</v>
      </c>
      <c r="J237" s="244" t="str">
        <f>IF(Planning!$I96=0,G93&amp;F93,"")</f>
        <v>Real MadridOlympiakos Piräus</v>
      </c>
      <c r="K237" s="259">
        <f t="shared" si="7"/>
        <v>0</v>
      </c>
      <c r="L237" s="306" t="str">
        <f>IF(AND(K237&gt;0,Planning!$I96=0),I93&amp;Language!$E$90&amp;H93,"")</f>
        <v/>
      </c>
    </row>
    <row r="238" spans="9:12" x14ac:dyDescent="0.2">
      <c r="I238" s="243">
        <v>91</v>
      </c>
      <c r="J238" s="244" t="str">
        <f>IF(Planning!$I97=0,G94&amp;F94,"")</f>
        <v>Olympiakos PiräusQairat Almaty</v>
      </c>
      <c r="K238" s="259">
        <f t="shared" si="7"/>
        <v>0</v>
      </c>
      <c r="L238" s="306" t="str">
        <f>IF(AND(K238&gt;0,Planning!$I97=0),I94&amp;Language!$E$90&amp;H94,"")</f>
        <v/>
      </c>
    </row>
    <row r="239" spans="9:12" x14ac:dyDescent="0.2">
      <c r="I239" s="243">
        <v>92</v>
      </c>
      <c r="J239" s="244" t="str">
        <f>IF(Planning!$I98=0,G95&amp;F95,"")</f>
        <v>Sporting LissabonBayern München</v>
      </c>
      <c r="K239" s="259">
        <f t="shared" si="7"/>
        <v>0</v>
      </c>
      <c r="L239" s="306" t="str">
        <f>IF(AND(K239&gt;0,Planning!$I98=0),I95&amp;Language!$E$90&amp;H95,"")</f>
        <v/>
      </c>
    </row>
    <row r="240" spans="9:12" x14ac:dyDescent="0.2">
      <c r="I240" s="243">
        <v>93</v>
      </c>
      <c r="J240" s="244" t="str">
        <f>IF(Planning!$I99=0,G96&amp;F96,"")</f>
        <v>FC LiverpoolInter Mailand</v>
      </c>
      <c r="K240" s="259">
        <f t="shared" si="7"/>
        <v>0</v>
      </c>
      <c r="L240" s="306" t="str">
        <f>IF(AND(K240&gt;0,Planning!$I99=0),I96&amp;Language!$E$90&amp;H96,"")</f>
        <v/>
      </c>
    </row>
    <row r="241" spans="9:12" x14ac:dyDescent="0.2">
      <c r="I241" s="243">
        <v>94</v>
      </c>
      <c r="J241" s="244" t="str">
        <f>IF(Planning!$I100=0,G97&amp;F97,"")</f>
        <v>Eintracht FrankfurtFC Barcelona</v>
      </c>
      <c r="K241" s="259">
        <f t="shared" si="7"/>
        <v>0</v>
      </c>
      <c r="L241" s="306" t="str">
        <f>IF(AND(K241&gt;0,Planning!$I100=0),I97&amp;Language!$E$90&amp;H97,"")</f>
        <v/>
      </c>
    </row>
    <row r="242" spans="9:12" x14ac:dyDescent="0.2">
      <c r="I242" s="243">
        <v>95</v>
      </c>
      <c r="J242" s="244" t="str">
        <f>IF(Planning!$I101=0,G98&amp;F98,"")</f>
        <v>FC ChelseaAtalanta Bergamo</v>
      </c>
      <c r="K242" s="259">
        <f t="shared" si="7"/>
        <v>0</v>
      </c>
      <c r="L242" s="306" t="str">
        <f>IF(AND(K242&gt;0,Planning!$I101=0),I98&amp;Language!$E$90&amp;H98,"")</f>
        <v/>
      </c>
    </row>
    <row r="243" spans="9:12" x14ac:dyDescent="0.2">
      <c r="I243" s="243">
        <v>96</v>
      </c>
      <c r="J243" s="244" t="str">
        <f>IF(Planning!$I102=0,G99&amp;F99,"")</f>
        <v>Salva PragTottenham Hotspur</v>
      </c>
      <c r="K243" s="259">
        <f t="shared" si="7"/>
        <v>0</v>
      </c>
      <c r="L243" s="306" t="str">
        <f>IF(AND(K243&gt;0,Planning!$I102=0),I99&amp;Language!$E$90&amp;H99,"")</f>
        <v/>
      </c>
    </row>
    <row r="244" spans="9:12" x14ac:dyDescent="0.2">
      <c r="I244" s="243">
        <v>97</v>
      </c>
      <c r="J244" s="244" t="str">
        <f>IF(Planning!$I103=0,G100&amp;F100,"")</f>
        <v>Atletico MadridPSV Eindhoven</v>
      </c>
      <c r="K244" s="259">
        <f t="shared" ref="K244:K275" si="8">K100</f>
        <v>0</v>
      </c>
      <c r="L244" s="306" t="str">
        <f>IF(AND(K244&gt;0,Planning!$I103=0),I100&amp;Language!$E$90&amp;H100,"")</f>
        <v/>
      </c>
    </row>
    <row r="245" spans="9:12" x14ac:dyDescent="0.2">
      <c r="I245" s="243">
        <v>98</v>
      </c>
      <c r="J245" s="244" t="str">
        <f>IF(Planning!$I104=0,G101&amp;F101,"")</f>
        <v>Galatasaray SKAS Monaco</v>
      </c>
      <c r="K245" s="259">
        <f t="shared" si="8"/>
        <v>0</v>
      </c>
      <c r="L245" s="306" t="str">
        <f>IF(AND(K245&gt;0,Planning!$I104=0),I101&amp;Language!$E$90&amp;H101,"")</f>
        <v/>
      </c>
    </row>
    <row r="246" spans="9:12" x14ac:dyDescent="0.2">
      <c r="I246" s="243">
        <v>99</v>
      </c>
      <c r="J246" s="244" t="str">
        <f>IF(Planning!$I105=0,G102&amp;F102,"")</f>
        <v>Olympique MarseilleUnion Saint-Gilloise</v>
      </c>
      <c r="K246" s="259">
        <f t="shared" si="8"/>
        <v>0</v>
      </c>
      <c r="L246" s="306" t="str">
        <f>IF(AND(K246&gt;0,Planning!$I105=0),I102&amp;Language!$E$90&amp;H102,"")</f>
        <v/>
      </c>
    </row>
    <row r="247" spans="9:12" x14ac:dyDescent="0.2">
      <c r="I247" s="243">
        <v>100</v>
      </c>
      <c r="J247" s="244" t="str">
        <f>IF(Planning!$I106=0,G103&amp;F103,"")</f>
        <v>FC KopenhagenFC Villarreal</v>
      </c>
      <c r="K247" s="259">
        <f t="shared" si="8"/>
        <v>0</v>
      </c>
      <c r="L247" s="306" t="str">
        <f>IF(AND(K247&gt;0,Planning!$I106=0),I103&amp;Language!$E$90&amp;H103,"")</f>
        <v/>
      </c>
    </row>
    <row r="248" spans="9:12" x14ac:dyDescent="0.2">
      <c r="I248" s="243">
        <v>101</v>
      </c>
      <c r="J248" s="244" t="str">
        <f>IF(Planning!$I107=0,G104&amp;F104,"")</f>
        <v>Ajax AmsterdamQarabag Agdam</v>
      </c>
      <c r="K248" s="259">
        <f t="shared" si="8"/>
        <v>0</v>
      </c>
      <c r="L248" s="306" t="str">
        <f>IF(AND(K248&gt;0,Planning!$I107=0),I104&amp;Language!$E$90&amp;H104,"")</f>
        <v/>
      </c>
    </row>
    <row r="249" spans="9:12" x14ac:dyDescent="0.2">
      <c r="I249" s="243">
        <v>102</v>
      </c>
      <c r="J249" s="244" t="str">
        <f>IF(Planning!$I108=0,G105&amp;F105,"")</f>
        <v>Manchester CityReal Madrid</v>
      </c>
      <c r="K249" s="259">
        <f t="shared" si="8"/>
        <v>0</v>
      </c>
      <c r="L249" s="306" t="str">
        <f>IF(AND(K249&gt;0,Planning!$I108=0),I105&amp;Language!$E$90&amp;H105,"")</f>
        <v/>
      </c>
    </row>
    <row r="250" spans="9:12" x14ac:dyDescent="0.2">
      <c r="I250" s="243">
        <v>103</v>
      </c>
      <c r="J250" s="244" t="str">
        <f>IF(Planning!$I109=0,G106&amp;F106,"")</f>
        <v>FK Bodö/GlimtBorussia Dortmund</v>
      </c>
      <c r="K250" s="259">
        <f t="shared" si="8"/>
        <v>0</v>
      </c>
      <c r="L250" s="306" t="str">
        <f>IF(AND(K250&gt;0,Planning!$I109=0),I106&amp;Language!$E$90&amp;H106,"")</f>
        <v/>
      </c>
    </row>
    <row r="251" spans="9:12" x14ac:dyDescent="0.2">
      <c r="I251" s="243">
        <v>104</v>
      </c>
      <c r="J251" s="244" t="str">
        <f>IF(Planning!$I110=0,G107&amp;F107,"")</f>
        <v>Pafos FCJuventus Turin</v>
      </c>
      <c r="K251" s="259">
        <f t="shared" si="8"/>
        <v>0</v>
      </c>
      <c r="L251" s="306" t="str">
        <f>IF(AND(K251&gt;0,Planning!$I110=0),I107&amp;Language!$E$90&amp;H107,"")</f>
        <v/>
      </c>
    </row>
    <row r="252" spans="9:12" x14ac:dyDescent="0.2">
      <c r="I252" s="243">
        <v>105</v>
      </c>
      <c r="J252" s="244" t="str">
        <f>IF(Planning!$I111=0,G108&amp;F108,"")</f>
        <v>Newcastle UnitedBayer 04 Leverkusen</v>
      </c>
      <c r="K252" s="259">
        <f t="shared" si="8"/>
        <v>0</v>
      </c>
      <c r="L252" s="306" t="str">
        <f>IF(AND(K252&gt;0,Planning!$I111=0),I108&amp;Language!$E$90&amp;H108,"")</f>
        <v/>
      </c>
    </row>
    <row r="253" spans="9:12" x14ac:dyDescent="0.2">
      <c r="I253" s="243">
        <v>106</v>
      </c>
      <c r="J253" s="244" t="str">
        <f>IF(Planning!$I112=0,G109&amp;F109,"")</f>
        <v>SSC NeapelBenfica Lissabon</v>
      </c>
      <c r="K253" s="259">
        <f t="shared" si="8"/>
        <v>0</v>
      </c>
      <c r="L253" s="306" t="str">
        <f>IF(AND(K253&gt;0,Planning!$I112=0),I109&amp;Language!$E$90&amp;H109,"")</f>
        <v/>
      </c>
    </row>
    <row r="254" spans="9:12" x14ac:dyDescent="0.2">
      <c r="I254" s="243">
        <v>107</v>
      </c>
      <c r="J254" s="244" t="str">
        <f>IF(Planning!$I113=0,G110&amp;F110,"")</f>
        <v>FC ArsenalClub Brügge</v>
      </c>
      <c r="K254" s="259">
        <f t="shared" si="8"/>
        <v>0</v>
      </c>
      <c r="L254" s="306" t="str">
        <f>IF(AND(K254&gt;0,Planning!$I113=0),I110&amp;Language!$E$90&amp;H110,"")</f>
        <v/>
      </c>
    </row>
    <row r="255" spans="9:12" x14ac:dyDescent="0.2">
      <c r="I255" s="243">
        <v>108</v>
      </c>
      <c r="J255" s="244" t="str">
        <f>IF(Planning!$I114=0,G111&amp;F111,"")</f>
        <v>Paris St. GermainAthletic Bilbao</v>
      </c>
      <c r="K255" s="259">
        <f t="shared" si="8"/>
        <v>0</v>
      </c>
      <c r="L255" s="306" t="str">
        <f>IF(AND(K255&gt;0,Planning!$I114=0),I111&amp;Language!$E$90&amp;H111,"")</f>
        <v/>
      </c>
    </row>
    <row r="256" spans="9:12" x14ac:dyDescent="0.2">
      <c r="I256" s="243">
        <v>109</v>
      </c>
      <c r="J256" s="244" t="str">
        <f>IF(Planning!$I115=0,G112&amp;F112,"")</f>
        <v>Club BrüggeQairat Almaty</v>
      </c>
      <c r="K256" s="259">
        <f t="shared" si="8"/>
        <v>0</v>
      </c>
      <c r="L256" s="306" t="str">
        <f>IF(AND(K256&gt;0,Planning!$I115=0),I112&amp;Language!$E$90&amp;H112,"")</f>
        <v/>
      </c>
    </row>
    <row r="257" spans="9:12" x14ac:dyDescent="0.2">
      <c r="I257" s="243">
        <v>110</v>
      </c>
      <c r="J257" s="244" t="str">
        <f>IF(Planning!$I116=0,G113&amp;F113,"")</f>
        <v>Manchester CityFK Bodö/Glimt</v>
      </c>
      <c r="K257" s="259">
        <f t="shared" si="8"/>
        <v>0</v>
      </c>
      <c r="L257" s="306" t="str">
        <f>IF(AND(K257&gt;0,Planning!$I116=0),I113&amp;Language!$E$90&amp;H113,"")</f>
        <v/>
      </c>
    </row>
    <row r="258" spans="9:12" x14ac:dyDescent="0.2">
      <c r="I258" s="243">
        <v>111</v>
      </c>
      <c r="J258" s="244" t="str">
        <f>IF(Planning!$I117=0,G114&amp;F114,"")</f>
        <v>AS MonacoReal Madrid</v>
      </c>
      <c r="K258" s="259">
        <f t="shared" si="8"/>
        <v>0</v>
      </c>
      <c r="L258" s="306" t="str">
        <f>IF(AND(K258&gt;0,Planning!$I117=0),I114&amp;Language!$E$90&amp;H114,"")</f>
        <v/>
      </c>
    </row>
    <row r="259" spans="9:12" x14ac:dyDescent="0.2">
      <c r="I259" s="243">
        <v>112</v>
      </c>
      <c r="J259" s="244" t="str">
        <f>IF(Planning!$I118=0,G115&amp;F115,"")</f>
        <v>FC ArsenalInter Mailand</v>
      </c>
      <c r="K259" s="259">
        <f t="shared" si="8"/>
        <v>0</v>
      </c>
      <c r="L259" s="306" t="str">
        <f>IF(AND(K259&gt;0,Planning!$I118=0),I115&amp;Language!$E$90&amp;H115,"")</f>
        <v/>
      </c>
    </row>
    <row r="260" spans="9:12" x14ac:dyDescent="0.2">
      <c r="I260" s="243">
        <v>113</v>
      </c>
      <c r="J260" s="244" t="str">
        <f>IF(Planning!$I119=0,G116&amp;F116,"")</f>
        <v>Borussia DortmundTottenham Hotspur</v>
      </c>
      <c r="K260" s="259">
        <f t="shared" si="8"/>
        <v>0</v>
      </c>
      <c r="L260" s="306" t="str">
        <f>IF(AND(K260&gt;0,Planning!$I119=0),I116&amp;Language!$E$90&amp;H116,"")</f>
        <v/>
      </c>
    </row>
    <row r="261" spans="9:12" x14ac:dyDescent="0.2">
      <c r="I261" s="243">
        <v>114</v>
      </c>
      <c r="J261" s="244" t="str">
        <f>IF(Planning!$I120=0,G117&amp;F117,"")</f>
        <v>Paris St. GermainSporting Lissabon</v>
      </c>
      <c r="K261" s="259">
        <f t="shared" si="8"/>
        <v>0</v>
      </c>
      <c r="L261" s="306" t="str">
        <f>IF(AND(K261&gt;0,Planning!$I120=0),I117&amp;Language!$E$90&amp;H117,"")</f>
        <v/>
      </c>
    </row>
    <row r="262" spans="9:12" x14ac:dyDescent="0.2">
      <c r="I262" s="243">
        <v>115</v>
      </c>
      <c r="J262" s="244" t="str">
        <f>IF(Planning!$I121=0,G118&amp;F118,"")</f>
        <v>Bayer 04 LeverkusenOlympiakos Piräus</v>
      </c>
      <c r="K262" s="259">
        <f t="shared" si="8"/>
        <v>0</v>
      </c>
      <c r="L262" s="306" t="str">
        <f>IF(AND(K262&gt;0,Planning!$I121=0),I118&amp;Language!$E$90&amp;H118,"")</f>
        <v/>
      </c>
    </row>
    <row r="263" spans="9:12" x14ac:dyDescent="0.2">
      <c r="I263" s="243">
        <v>116</v>
      </c>
      <c r="J263" s="244" t="str">
        <f>IF(Planning!$I122=0,G119&amp;F119,"")</f>
        <v>Ajax AmsterdamFC Villarreal</v>
      </c>
      <c r="K263" s="259">
        <f t="shared" si="8"/>
        <v>0</v>
      </c>
      <c r="L263" s="306" t="str">
        <f>IF(AND(K263&gt;0,Planning!$I122=0),I119&amp;Language!$E$90&amp;H119,"")</f>
        <v/>
      </c>
    </row>
    <row r="264" spans="9:12" x14ac:dyDescent="0.2">
      <c r="I264" s="243">
        <v>117</v>
      </c>
      <c r="J264" s="244" t="str">
        <f>IF(Planning!$I123=0,G120&amp;F120,"")</f>
        <v>SSC NeapelFC Kopenhagen</v>
      </c>
      <c r="K264" s="259">
        <f t="shared" si="8"/>
        <v>0</v>
      </c>
      <c r="L264" s="306" t="str">
        <f>IF(AND(K264&gt;0,Planning!$I123=0),I120&amp;Language!$E$90&amp;H120,"")</f>
        <v/>
      </c>
    </row>
    <row r="265" spans="9:12" x14ac:dyDescent="0.2">
      <c r="I265" s="243">
        <v>118</v>
      </c>
      <c r="J265" s="244" t="str">
        <f>IF(Planning!$I124=0,G121&amp;F121,"")</f>
        <v>Atletico MadridGalatasaray SK</v>
      </c>
      <c r="K265" s="259">
        <f t="shared" si="8"/>
        <v>0</v>
      </c>
      <c r="L265" s="306" t="str">
        <f>IF(AND(K265&gt;0,Planning!$I124=0),I121&amp;Language!$E$90&amp;H121,"")</f>
        <v/>
      </c>
    </row>
    <row r="266" spans="9:12" x14ac:dyDescent="0.2">
      <c r="I266" s="243">
        <v>119</v>
      </c>
      <c r="J266" s="244" t="str">
        <f>IF(Planning!$I125=0,G122&amp;F122,"")</f>
        <v>Eintracht FrankfurtQarabag Agdam</v>
      </c>
      <c r="K266" s="259">
        <f t="shared" si="8"/>
        <v>0</v>
      </c>
      <c r="L266" s="306" t="str">
        <f>IF(AND(K266&gt;0,Planning!$I125=0),I122&amp;Language!$E$90&amp;H122,"")</f>
        <v/>
      </c>
    </row>
    <row r="267" spans="9:12" x14ac:dyDescent="0.2">
      <c r="I267" s="243">
        <v>120</v>
      </c>
      <c r="J267" s="244" t="str">
        <f>IF(Planning!$I126=0,G123&amp;F123,"")</f>
        <v>Union Saint-GilloiseBayern München</v>
      </c>
      <c r="K267" s="259">
        <f t="shared" si="8"/>
        <v>0</v>
      </c>
      <c r="L267" s="306" t="str">
        <f>IF(AND(K267&gt;0,Planning!$I126=0),I123&amp;Language!$E$90&amp;H123,"")</f>
        <v/>
      </c>
    </row>
    <row r="268" spans="9:12" x14ac:dyDescent="0.2">
      <c r="I268" s="243">
        <v>121</v>
      </c>
      <c r="J268" s="244" t="str">
        <f>IF(Planning!$I127=0,G124&amp;F124,"")</f>
        <v>Pafos FCFC Chelsea</v>
      </c>
      <c r="K268" s="259">
        <f t="shared" si="8"/>
        <v>0</v>
      </c>
      <c r="L268" s="306" t="str">
        <f>IF(AND(K268&gt;0,Planning!$I127=0),I124&amp;Language!$E$90&amp;H124,"")</f>
        <v/>
      </c>
    </row>
    <row r="269" spans="9:12" x14ac:dyDescent="0.2">
      <c r="I269" s="243">
        <v>122</v>
      </c>
      <c r="J269" s="244" t="str">
        <f>IF(Planning!$I128=0,G125&amp;F125,"")</f>
        <v>Athletic BilbaoAtalanta Bergamo</v>
      </c>
      <c r="K269" s="259">
        <f t="shared" si="8"/>
        <v>0</v>
      </c>
      <c r="L269" s="306" t="str">
        <f>IF(AND(K269&gt;0,Planning!$I128=0),I125&amp;Language!$E$90&amp;H125,"")</f>
        <v/>
      </c>
    </row>
    <row r="270" spans="9:12" x14ac:dyDescent="0.2">
      <c r="I270" s="243">
        <v>123</v>
      </c>
      <c r="J270" s="244" t="str">
        <f>IF(Planning!$I129=0,G126&amp;F126,"")</f>
        <v>Benfica LissabonJuventus Turin</v>
      </c>
      <c r="K270" s="259">
        <f t="shared" si="8"/>
        <v>0</v>
      </c>
      <c r="L270" s="306" t="str">
        <f>IF(AND(K270&gt;0,Planning!$I129=0),I126&amp;Language!$E$90&amp;H126,"")</f>
        <v/>
      </c>
    </row>
    <row r="271" spans="9:12" x14ac:dyDescent="0.2">
      <c r="I271" s="243">
        <v>124</v>
      </c>
      <c r="J271" s="244" t="str">
        <f>IF(Planning!$I130=0,G127&amp;F127,"")</f>
        <v>FC LiverpoolOlympique Marseille</v>
      </c>
      <c r="K271" s="259">
        <f t="shared" si="8"/>
        <v>0</v>
      </c>
      <c r="L271" s="306" t="str">
        <f>IF(AND(K271&gt;0,Planning!$I130=0),I127&amp;Language!$E$90&amp;H127,"")</f>
        <v/>
      </c>
    </row>
    <row r="272" spans="9:12" x14ac:dyDescent="0.2">
      <c r="I272" s="243">
        <v>125</v>
      </c>
      <c r="J272" s="244" t="str">
        <f>IF(Planning!$I131=0,G128&amp;F128,"")</f>
        <v>FC BarcelonaSalva Prag</v>
      </c>
      <c r="K272" s="259">
        <f t="shared" si="8"/>
        <v>0</v>
      </c>
      <c r="L272" s="306" t="str">
        <f>IF(AND(K272&gt;0,Planning!$I131=0),I128&amp;Language!$E$90&amp;H128,"")</f>
        <v/>
      </c>
    </row>
    <row r="273" spans="9:12" x14ac:dyDescent="0.2">
      <c r="I273" s="243">
        <v>126</v>
      </c>
      <c r="J273" s="244" t="str">
        <f>IF(Planning!$I132=0,G129&amp;F129,"")</f>
        <v>PSV EindhovenNewcastle United</v>
      </c>
      <c r="K273" s="259">
        <f t="shared" si="8"/>
        <v>0</v>
      </c>
      <c r="L273" s="306" t="str">
        <f>IF(AND(K273&gt;0,Planning!$I132=0),I129&amp;Language!$E$90&amp;H129,"")</f>
        <v/>
      </c>
    </row>
    <row r="274" spans="9:12" x14ac:dyDescent="0.2">
      <c r="I274" s="243">
        <v>127</v>
      </c>
      <c r="J274" s="244" t="str">
        <f>IF(Planning!$I133=0,G130&amp;F130,"")</f>
        <v>Newcastle UnitedParis St. Germain</v>
      </c>
      <c r="K274" s="259">
        <f t="shared" si="8"/>
        <v>0</v>
      </c>
      <c r="L274" s="306" t="str">
        <f>IF(AND(K274&gt;0,Planning!$I133=0),I130&amp;Language!$E$90&amp;H130,"")</f>
        <v/>
      </c>
    </row>
    <row r="275" spans="9:12" x14ac:dyDescent="0.2">
      <c r="I275" s="243">
        <v>128</v>
      </c>
      <c r="J275" s="244" t="str">
        <f>IF(Planning!$I134=0,G131&amp;F131,"")</f>
        <v>Galatasaray SKManchester City</v>
      </c>
      <c r="K275" s="259">
        <f t="shared" si="8"/>
        <v>0</v>
      </c>
      <c r="L275" s="306" t="str">
        <f>IF(AND(K275&gt;0,Planning!$I134=0),I131&amp;Language!$E$90&amp;H131,"")</f>
        <v/>
      </c>
    </row>
    <row r="276" spans="9:12" x14ac:dyDescent="0.2">
      <c r="I276" s="243">
        <v>129</v>
      </c>
      <c r="J276" s="244" t="str">
        <f>IF(Planning!$I135=0,G132&amp;F132,"")</f>
        <v>Qarabag AgdamFC Liverpool</v>
      </c>
      <c r="K276" s="259">
        <f t="shared" ref="K276:K291" si="9">K132</f>
        <v>0</v>
      </c>
      <c r="L276" s="306" t="str">
        <f>IF(AND(K276&gt;0,Planning!$I135=0),I132&amp;Language!$E$90&amp;H132,"")</f>
        <v/>
      </c>
    </row>
    <row r="277" spans="9:12" x14ac:dyDescent="0.2">
      <c r="I277" s="243">
        <v>130</v>
      </c>
      <c r="J277" s="244" t="str">
        <f>IF(Planning!$I136=0,G133&amp;F133,"")</f>
        <v>Inter MailandBorussia Dortmund</v>
      </c>
      <c r="K277" s="259">
        <f t="shared" si="9"/>
        <v>0</v>
      </c>
      <c r="L277" s="306" t="str">
        <f>IF(AND(K277&gt;0,Planning!$I136=0),I133&amp;Language!$E$90&amp;H133,"")</f>
        <v/>
      </c>
    </row>
    <row r="278" spans="9:12" x14ac:dyDescent="0.2">
      <c r="I278" s="243">
        <v>131</v>
      </c>
      <c r="J278" s="244" t="str">
        <f>IF(Planning!$I137=0,G134&amp;F134,"")</f>
        <v>FC KopenhagenFC Barcelona</v>
      </c>
      <c r="K278" s="259">
        <f t="shared" si="9"/>
        <v>0</v>
      </c>
      <c r="L278" s="306" t="str">
        <f>IF(AND(K278&gt;0,Planning!$I137=0),I134&amp;Language!$E$90&amp;H134,"")</f>
        <v/>
      </c>
    </row>
    <row r="279" spans="9:12" x14ac:dyDescent="0.2">
      <c r="I279" s="243">
        <v>132</v>
      </c>
      <c r="J279" s="244" t="str">
        <f>IF(Planning!$I138=0,G135&amp;F135,"")</f>
        <v>Olympiakos PiräusAjax Amsterdam</v>
      </c>
      <c r="K279" s="259">
        <f t="shared" si="9"/>
        <v>0</v>
      </c>
      <c r="L279" s="306" t="str">
        <f>IF(AND(K279&gt;0,Planning!$I138=0),I135&amp;Language!$E$90&amp;H135,"")</f>
        <v/>
      </c>
    </row>
    <row r="280" spans="9:12" x14ac:dyDescent="0.2">
      <c r="I280" s="243">
        <v>133</v>
      </c>
      <c r="J280" s="244" t="str">
        <f>IF(Planning!$I139=0,G136&amp;F136,"")</f>
        <v>Qairat AlmatyFC Arsenal</v>
      </c>
      <c r="K280" s="259">
        <f t="shared" si="9"/>
        <v>0</v>
      </c>
      <c r="L280" s="306" t="str">
        <f>IF(AND(K280&gt;0,Planning!$I139=0),I136&amp;Language!$E$90&amp;H136,"")</f>
        <v/>
      </c>
    </row>
    <row r="281" spans="9:12" x14ac:dyDescent="0.2">
      <c r="I281" s="243">
        <v>134</v>
      </c>
      <c r="J281" s="244" t="str">
        <f>IF(Planning!$I140=0,G137&amp;F137,"")</f>
        <v>FK Bodö/GlimtAtletico Madrid</v>
      </c>
      <c r="K281" s="259">
        <f t="shared" si="9"/>
        <v>0</v>
      </c>
      <c r="L281" s="306" t="str">
        <f>IF(AND(K281&gt;0,Planning!$I140=0),I137&amp;Language!$E$90&amp;H137,"")</f>
        <v/>
      </c>
    </row>
    <row r="282" spans="9:12" x14ac:dyDescent="0.2">
      <c r="I282" s="243">
        <v>135</v>
      </c>
      <c r="J282" s="244" t="str">
        <f>IF(Planning!$I141=0,G138&amp;F138,"")</f>
        <v>FC VillarrealBayer 04 Leverkusen</v>
      </c>
      <c r="K282" s="259">
        <f t="shared" si="9"/>
        <v>0</v>
      </c>
      <c r="L282" s="306" t="str">
        <f>IF(AND(K282&gt;0,Planning!$I141=0),I138&amp;Language!$E$90&amp;H138,"")</f>
        <v/>
      </c>
    </row>
    <row r="283" spans="9:12" x14ac:dyDescent="0.2">
      <c r="I283" s="243">
        <v>136</v>
      </c>
      <c r="J283" s="244" t="str">
        <f>IF(Planning!$I142=0,G139&amp;F139,"")</f>
        <v>Real MadridBenfica Lissabon</v>
      </c>
      <c r="K283" s="259">
        <f t="shared" si="9"/>
        <v>0</v>
      </c>
      <c r="L283" s="306" t="str">
        <f>IF(AND(K283&gt;0,Planning!$I142=0),I139&amp;Language!$E$90&amp;H139,"")</f>
        <v/>
      </c>
    </row>
    <row r="284" spans="9:12" x14ac:dyDescent="0.2">
      <c r="I284" s="243">
        <v>137</v>
      </c>
      <c r="J284" s="244" t="str">
        <f>IF(Planning!$I143=0,G140&amp;F140,"")</f>
        <v>Olympique MarseilleClub Brügge</v>
      </c>
      <c r="K284" s="259">
        <f t="shared" si="9"/>
        <v>0</v>
      </c>
      <c r="L284" s="306" t="str">
        <f>IF(AND(K284&gt;0,Planning!$I143=0),I140&amp;Language!$E$90&amp;H140,"")</f>
        <v/>
      </c>
    </row>
    <row r="285" spans="9:12" x14ac:dyDescent="0.2">
      <c r="I285" s="243">
        <v>138</v>
      </c>
      <c r="J285" s="244" t="str">
        <f>IF(Planning!$I144=0,G141&amp;F141,"")</f>
        <v>Tottenham HotspurEintracht Frankfurt</v>
      </c>
      <c r="K285" s="259">
        <f t="shared" si="9"/>
        <v>0</v>
      </c>
      <c r="L285" s="306" t="str">
        <f>IF(AND(K285&gt;0,Planning!$I144=0),I141&amp;Language!$E$90&amp;H141,"")</f>
        <v/>
      </c>
    </row>
    <row r="286" spans="9:12" x14ac:dyDescent="0.2">
      <c r="I286" s="243">
        <v>139</v>
      </c>
      <c r="J286" s="244" t="str">
        <f>IF(Planning!$I145=0,G142&amp;F142,"")</f>
        <v>Bayern MünchenPSV Eindhoven</v>
      </c>
      <c r="K286" s="259">
        <f t="shared" si="9"/>
        <v>0</v>
      </c>
      <c r="L286" s="306" t="str">
        <f>IF(AND(K286&gt;0,Planning!$I145=0),I142&amp;Language!$E$90&amp;H142,"")</f>
        <v/>
      </c>
    </row>
    <row r="287" spans="9:12" x14ac:dyDescent="0.2">
      <c r="I287" s="243">
        <v>140</v>
      </c>
      <c r="J287" s="244" t="str">
        <f>IF(Planning!$I146=0,G143&amp;F143,"")</f>
        <v>FC ChelseaSSC Neapel</v>
      </c>
      <c r="K287" s="259">
        <f t="shared" si="9"/>
        <v>0</v>
      </c>
      <c r="L287" s="306" t="str">
        <f>IF(AND(K287&gt;0,Planning!$I146=0),I143&amp;Language!$E$90&amp;H143,"")</f>
        <v/>
      </c>
    </row>
    <row r="288" spans="9:12" x14ac:dyDescent="0.2">
      <c r="I288" s="243">
        <v>141</v>
      </c>
      <c r="J288" s="244" t="str">
        <f>IF(Planning!$I147=0,G144&amp;F144,"")</f>
        <v>Juventus TurinAS Monaco</v>
      </c>
      <c r="K288" s="259">
        <f t="shared" si="9"/>
        <v>0</v>
      </c>
      <c r="L288" s="306" t="str">
        <f>IF(AND(K288&gt;0,Planning!$I147=0),I144&amp;Language!$E$90&amp;H144,"")</f>
        <v/>
      </c>
    </row>
    <row r="289" spans="9:12" x14ac:dyDescent="0.2">
      <c r="I289" s="243">
        <v>142</v>
      </c>
      <c r="J289" s="244" t="str">
        <f>IF(Planning!$I148=0,G145&amp;F145,"")</f>
        <v>Atalanta BergamoUnion Saint-Gilloise</v>
      </c>
      <c r="K289" s="259">
        <f t="shared" si="9"/>
        <v>0</v>
      </c>
      <c r="L289" s="306" t="str">
        <f>IF(AND(K289&gt;0,Planning!$I148=0),I145&amp;Language!$E$90&amp;H145,"")</f>
        <v/>
      </c>
    </row>
    <row r="290" spans="9:12" x14ac:dyDescent="0.2">
      <c r="I290" s="243">
        <v>143</v>
      </c>
      <c r="J290" s="244" t="str">
        <f>IF(Planning!$I149=0,G146&amp;F146,"")</f>
        <v>Sporting LissabonAthletic Bilbao</v>
      </c>
      <c r="K290" s="259">
        <f t="shared" si="9"/>
        <v>0</v>
      </c>
      <c r="L290" s="306" t="str">
        <f>IF(AND(K290&gt;0,Planning!$I149=0),I146&amp;Language!$E$90&amp;H146,"")</f>
        <v/>
      </c>
    </row>
    <row r="291" spans="9:12" ht="13.5" thickBot="1" x14ac:dyDescent="0.25">
      <c r="I291" s="245">
        <v>144</v>
      </c>
      <c r="J291" s="246" t="str">
        <f>IF(Planning!$I150=0,G147&amp;F147,"")</f>
        <v>Salva PragPafos FC</v>
      </c>
      <c r="K291" s="260">
        <f t="shared" si="9"/>
        <v>0</v>
      </c>
      <c r="L291" s="307" t="str">
        <f>IF(AND(K291&gt;0,Planning!$I150=0),I147&amp;Language!$E$90&amp;H147,"")</f>
        <v/>
      </c>
    </row>
    <row r="292" spans="9:12" ht="13.5" thickTop="1" x14ac:dyDescent="0.2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2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3">
        <v>0.1</v>
      </c>
      <c r="C7" s="324" t="s">
        <v>162</v>
      </c>
    </row>
    <row r="8" spans="2:5" x14ac:dyDescent="0.2">
      <c r="B8" s="323">
        <v>0.01</v>
      </c>
      <c r="C8" s="324" t="s">
        <v>160</v>
      </c>
    </row>
    <row r="9" spans="2:5" ht="13.5" thickBot="1" x14ac:dyDescent="0.25">
      <c r="B9" s="323">
        <v>1E-3</v>
      </c>
      <c r="C9" s="324" t="s">
        <v>161</v>
      </c>
    </row>
    <row r="10" spans="2:5" x14ac:dyDescent="0.2">
      <c r="B10" s="325"/>
      <c r="C10" s="326"/>
    </row>
    <row r="11" spans="2:5" ht="13.5" thickBot="1" x14ac:dyDescent="0.25"/>
    <row r="12" spans="2:5" ht="13.5" thickBot="1" x14ac:dyDescent="0.25">
      <c r="B12" s="533" t="str">
        <f>Language!$E$57</f>
        <v>Length of abbreviations:</v>
      </c>
      <c r="C12" s="533"/>
      <c r="D12" s="106">
        <v>7</v>
      </c>
      <c r="E12" s="174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4" t="str">
        <f>Language!$E$6</f>
        <v>Tie break</v>
      </c>
      <c r="C2" s="534"/>
      <c r="D2" s="534"/>
    </row>
    <row r="3" spans="2:4" ht="15.75" x14ac:dyDescent="0.25">
      <c r="C3" s="424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IF(Planning!$D7="","",Planning!$D7)</f>
        <v>Qarabag Agdam</v>
      </c>
      <c r="D6" s="30"/>
    </row>
    <row r="7" spans="2:4" ht="24" customHeight="1" x14ac:dyDescent="0.2">
      <c r="B7" s="26" t="s">
        <v>6</v>
      </c>
      <c r="C7" s="34" t="str">
        <f>IF(Planning!$D8="","",Planning!$D8)</f>
        <v>Qairat Almaty</v>
      </c>
      <c r="D7" s="31"/>
    </row>
    <row r="8" spans="2:4" ht="24" customHeight="1" x14ac:dyDescent="0.2">
      <c r="B8" s="26" t="s">
        <v>7</v>
      </c>
      <c r="C8" s="34" t="str">
        <f>IF(Planning!$D9="","",Planning!$D9)</f>
        <v>Ajax Amsterdam</v>
      </c>
      <c r="D8" s="31"/>
    </row>
    <row r="9" spans="2:4" ht="24" customHeight="1" x14ac:dyDescent="0.2">
      <c r="B9" s="26" t="s">
        <v>8</v>
      </c>
      <c r="C9" s="34" t="str">
        <f>IF(Planning!$D10="","",Planning!$D10)</f>
        <v>FC Arsenal</v>
      </c>
      <c r="D9" s="31"/>
    </row>
    <row r="10" spans="2:4" ht="24" customHeight="1" x14ac:dyDescent="0.2">
      <c r="B10" s="26" t="s">
        <v>9</v>
      </c>
      <c r="C10" s="34" t="str">
        <f>IF(Planning!$D11="","",Planning!$D11)</f>
        <v>FC Barcelona</v>
      </c>
      <c r="D10" s="31"/>
    </row>
    <row r="11" spans="2:4" ht="24" customHeight="1" x14ac:dyDescent="0.2">
      <c r="B11" s="26" t="s">
        <v>10</v>
      </c>
      <c r="C11" s="34" t="str">
        <f>IF(Planning!$D12="","",Planning!$D12)</f>
        <v>Atalanta Bergamo</v>
      </c>
      <c r="D11" s="31"/>
    </row>
    <row r="12" spans="2:4" ht="24" customHeight="1" x14ac:dyDescent="0.2">
      <c r="B12" s="26" t="s">
        <v>13</v>
      </c>
      <c r="C12" s="34" t="str">
        <f>IF(Planning!$D13="","",Planning!$D13)</f>
        <v>Athletic Bilbao</v>
      </c>
      <c r="D12" s="31"/>
    </row>
    <row r="13" spans="2:4" ht="24" customHeight="1" x14ac:dyDescent="0.2">
      <c r="B13" s="26" t="s">
        <v>14</v>
      </c>
      <c r="C13" s="34" t="str">
        <f>IF(Planning!$D14="","",Planning!$D14)</f>
        <v>FK Bodö/Glimt</v>
      </c>
      <c r="D13" s="31"/>
    </row>
    <row r="14" spans="2:4" ht="24" customHeight="1" x14ac:dyDescent="0.2">
      <c r="B14" s="26" t="s">
        <v>15</v>
      </c>
      <c r="C14" s="34" t="str">
        <f>IF(Planning!$D15="","",Planning!$D15)</f>
        <v>Club Brügge</v>
      </c>
      <c r="D14" s="31"/>
    </row>
    <row r="15" spans="2:4" ht="24" customHeight="1" x14ac:dyDescent="0.2">
      <c r="B15" s="26" t="s">
        <v>21</v>
      </c>
      <c r="C15" s="34" t="str">
        <f>IF(Planning!$D16="","",Planning!$D16)</f>
        <v>FC Chelsea</v>
      </c>
      <c r="D15" s="31"/>
    </row>
    <row r="16" spans="2:4" ht="24" customHeight="1" x14ac:dyDescent="0.2">
      <c r="B16" s="26" t="s">
        <v>22</v>
      </c>
      <c r="C16" s="34" t="str">
        <f>IF(Planning!$D17="","",Planning!$D17)</f>
        <v>Borussia Dortmund</v>
      </c>
      <c r="D16" s="31"/>
    </row>
    <row r="17" spans="2:4" ht="24" customHeight="1" x14ac:dyDescent="0.2">
      <c r="B17" s="26" t="s">
        <v>23</v>
      </c>
      <c r="C17" s="34" t="str">
        <f>IF(Planning!$D18="","",Planning!$D18)</f>
        <v>PSV Eindhoven</v>
      </c>
      <c r="D17" s="31"/>
    </row>
    <row r="18" spans="2:4" ht="24" customHeight="1" x14ac:dyDescent="0.2">
      <c r="B18" s="26" t="s">
        <v>24</v>
      </c>
      <c r="C18" s="34" t="str">
        <f>IF(Planning!$D19="","",Planning!$D19)</f>
        <v>Eintracht Frankfurt</v>
      </c>
      <c r="D18" s="31"/>
    </row>
    <row r="19" spans="2:4" ht="24" customHeight="1" x14ac:dyDescent="0.2">
      <c r="B19" s="26" t="s">
        <v>25</v>
      </c>
      <c r="C19" s="34" t="str">
        <f>IF(Planning!$D20="","",Planning!$D20)</f>
        <v>Galatasaray SK</v>
      </c>
      <c r="D19" s="31"/>
    </row>
    <row r="20" spans="2:4" ht="24" customHeight="1" x14ac:dyDescent="0.2">
      <c r="B20" s="26" t="s">
        <v>26</v>
      </c>
      <c r="C20" s="34" t="str">
        <f>IF(Planning!$D21="","",Planning!$D21)</f>
        <v>FC Kopenhagen</v>
      </c>
      <c r="D20" s="31"/>
    </row>
    <row r="21" spans="2:4" ht="24" customHeight="1" x14ac:dyDescent="0.2">
      <c r="B21" s="26" t="s">
        <v>27</v>
      </c>
      <c r="C21" s="34" t="str">
        <f>IF(Planning!$D22="","",Planning!$D22)</f>
        <v>Bayer 04 Leverkusen</v>
      </c>
      <c r="D21" s="31"/>
    </row>
    <row r="22" spans="2:4" ht="24" customHeight="1" x14ac:dyDescent="0.2">
      <c r="B22" s="26" t="s">
        <v>28</v>
      </c>
      <c r="C22" s="34" t="str">
        <f>IF(Planning!$D23="","",Planning!$D23)</f>
        <v>Benfica Lissabon</v>
      </c>
      <c r="D22" s="31"/>
    </row>
    <row r="23" spans="2:4" ht="24" customHeight="1" x14ac:dyDescent="0.2">
      <c r="B23" s="26" t="s">
        <v>29</v>
      </c>
      <c r="C23" s="175" t="str">
        <f>IF(Planning!$D24="","",Planning!$D24)</f>
        <v>Sporting Lissabon</v>
      </c>
      <c r="D23" s="31"/>
    </row>
    <row r="24" spans="2:4" ht="24" customHeight="1" x14ac:dyDescent="0.2">
      <c r="B24" s="26" t="s">
        <v>30</v>
      </c>
      <c r="C24" s="34" t="str">
        <f>IF(Planning!$D25="","",Planning!$D25)</f>
        <v>FC Liverpool</v>
      </c>
      <c r="D24" s="31"/>
    </row>
    <row r="25" spans="2:4" ht="24" customHeight="1" x14ac:dyDescent="0.2">
      <c r="B25" s="26" t="s">
        <v>31</v>
      </c>
      <c r="C25" s="34" t="str">
        <f>IF(Planning!$D26="","",Planning!$D26)</f>
        <v>Atletico Madrid</v>
      </c>
      <c r="D25" s="238"/>
    </row>
    <row r="26" spans="2:4" ht="24" customHeight="1" x14ac:dyDescent="0.2">
      <c r="B26" s="26" t="s">
        <v>32</v>
      </c>
      <c r="C26" s="34" t="str">
        <f>IF(Planning!$D27="","",Planning!$D27)</f>
        <v>Real Madrid</v>
      </c>
      <c r="D26" s="238"/>
    </row>
    <row r="27" spans="2:4" ht="24" customHeight="1" x14ac:dyDescent="0.2">
      <c r="B27" s="26" t="s">
        <v>33</v>
      </c>
      <c r="C27" s="34" t="str">
        <f>IF(Planning!$D28="","",Planning!$D28)</f>
        <v>Inter Mailand</v>
      </c>
      <c r="D27" s="238"/>
    </row>
    <row r="28" spans="2:4" ht="24" customHeight="1" x14ac:dyDescent="0.2">
      <c r="B28" s="26" t="s">
        <v>34</v>
      </c>
      <c r="C28" s="34" t="str">
        <f>IF(Planning!$D29="","",Planning!$D29)</f>
        <v>Manchester City</v>
      </c>
      <c r="D28" s="238"/>
    </row>
    <row r="29" spans="2:4" ht="24" customHeight="1" x14ac:dyDescent="0.2">
      <c r="B29" s="26" t="s">
        <v>35</v>
      </c>
      <c r="C29" s="34" t="str">
        <f>IF(Planning!$D30="","",Planning!$D30)</f>
        <v>Olympique Marseille</v>
      </c>
      <c r="D29" s="238"/>
    </row>
    <row r="30" spans="2:4" ht="24" customHeight="1" x14ac:dyDescent="0.2">
      <c r="B30" s="26" t="s">
        <v>36</v>
      </c>
      <c r="C30" s="34" t="str">
        <f>IF(Planning!$D31="","",Planning!$D31)</f>
        <v>AS Monaco</v>
      </c>
      <c r="D30" s="238"/>
    </row>
    <row r="31" spans="2:4" ht="24" customHeight="1" x14ac:dyDescent="0.2">
      <c r="B31" s="26" t="s">
        <v>37</v>
      </c>
      <c r="C31" s="34" t="str">
        <f>IF(Planning!$D32="","",Planning!$D32)</f>
        <v>Bayern München</v>
      </c>
      <c r="D31" s="238"/>
    </row>
    <row r="32" spans="2:4" ht="24" customHeight="1" x14ac:dyDescent="0.2">
      <c r="B32" s="26" t="s">
        <v>38</v>
      </c>
      <c r="C32" s="34" t="str">
        <f>IF(Planning!$D33="","",Planning!$D33)</f>
        <v>SSC Neapel</v>
      </c>
      <c r="D32" s="238"/>
    </row>
    <row r="33" spans="2:4" ht="24" customHeight="1" x14ac:dyDescent="0.2">
      <c r="B33" s="26" t="s">
        <v>39</v>
      </c>
      <c r="C33" s="34" t="str">
        <f>IF(Planning!$D34="","",Planning!$D34)</f>
        <v>Newcastle United</v>
      </c>
      <c r="D33" s="238"/>
    </row>
    <row r="34" spans="2:4" ht="24" customHeight="1" x14ac:dyDescent="0.2">
      <c r="B34" s="26" t="s">
        <v>40</v>
      </c>
      <c r="C34" s="34" t="str">
        <f>IF(Planning!$D35="","",Planning!$D35)</f>
        <v>Pafos FC</v>
      </c>
      <c r="D34" s="238"/>
    </row>
    <row r="35" spans="2:4" ht="24" customHeight="1" x14ac:dyDescent="0.2">
      <c r="B35" s="26" t="s">
        <v>41</v>
      </c>
      <c r="C35" s="34" t="str">
        <f>IF(Planning!$D36="","",Planning!$D36)</f>
        <v>Paris St. Germain</v>
      </c>
      <c r="D35" s="238"/>
    </row>
    <row r="36" spans="2:4" ht="24" customHeight="1" x14ac:dyDescent="0.2">
      <c r="B36" s="26" t="s">
        <v>42</v>
      </c>
      <c r="C36" s="34" t="str">
        <f>IF(Planning!$D37="","",Planning!$D37)</f>
        <v>Olympiakos Piräus</v>
      </c>
      <c r="D36" s="238"/>
    </row>
    <row r="37" spans="2:4" ht="24" customHeight="1" x14ac:dyDescent="0.2">
      <c r="B37" s="26" t="s">
        <v>43</v>
      </c>
      <c r="C37" s="34" t="str">
        <f>IF(Planning!$D38="","",Planning!$D38)</f>
        <v>Salva Prag</v>
      </c>
      <c r="D37" s="238"/>
    </row>
    <row r="38" spans="2:4" ht="24" customHeight="1" x14ac:dyDescent="0.2">
      <c r="B38" s="26" t="s">
        <v>153</v>
      </c>
      <c r="C38" s="34" t="str">
        <f>IF(Planning!$D39="","",Planning!$D39)</f>
        <v>Union Saint-Gilloise</v>
      </c>
      <c r="D38" s="238"/>
    </row>
    <row r="39" spans="2:4" ht="24" customHeight="1" x14ac:dyDescent="0.2">
      <c r="B39" s="26" t="s">
        <v>154</v>
      </c>
      <c r="C39" s="34" t="str">
        <f>IF(Planning!$D40="","",Planning!$D40)</f>
        <v>Tottenham Hotspur</v>
      </c>
      <c r="D39" s="238"/>
    </row>
    <row r="40" spans="2:4" ht="24" customHeight="1" x14ac:dyDescent="0.2">
      <c r="B40" s="26" t="s">
        <v>155</v>
      </c>
      <c r="C40" s="34" t="str">
        <f>IF(Planning!$D41="","",Planning!$D41)</f>
        <v>Juventus Turin</v>
      </c>
      <c r="D40" s="238"/>
    </row>
    <row r="41" spans="2:4" ht="24" customHeight="1" thickBot="1" x14ac:dyDescent="0.25">
      <c r="B41" s="176" t="s">
        <v>156</v>
      </c>
      <c r="C41" s="177" t="str">
        <f>IF(Planning!$D42="","",Planning!$D42)</f>
        <v>FC Villarreal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5" t="str">
        <f>$E$49</f>
        <v>Choose language</v>
      </c>
      <c r="G1" s="535"/>
      <c r="H1" s="535"/>
      <c r="I1" s="76"/>
      <c r="J1" s="78" t="s">
        <v>60</v>
      </c>
      <c r="K1" s="95" t="str">
        <f>_xlfn.UNICHAR(8592)</f>
        <v>←</v>
      </c>
      <c r="L1" s="94" t="str">
        <f>$E$86</f>
        <v>Click here and choose language</v>
      </c>
    </row>
    <row r="2" spans="2:12" ht="11.25" customHeight="1" thickBot="1" x14ac:dyDescent="0.25">
      <c r="F2" s="538"/>
      <c r="G2" s="538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39"/>
      <c r="E3" s="541"/>
      <c r="F3" s="542" t="s">
        <v>60</v>
      </c>
      <c r="G3" s="544" t="s">
        <v>84</v>
      </c>
      <c r="H3" s="536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40"/>
      <c r="E4" s="541"/>
      <c r="F4" s="543"/>
      <c r="G4" s="545"/>
      <c r="H4" s="537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134</v>
      </c>
      <c r="G53" s="69" t="s">
        <v>133</v>
      </c>
      <c r="H53" s="46"/>
    </row>
    <row r="54" spans="5:8" ht="27" customHeight="1" x14ac:dyDescent="0.2">
      <c r="E54" s="222" t="str">
        <f t="shared" si="0"/>
        <v>Individual teams compared for a specific time period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from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Abbreviation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Penalty points</v>
      </c>
      <c r="F65" s="70" t="s">
        <v>148</v>
      </c>
      <c r="G65" s="69" t="s">
        <v>147</v>
      </c>
      <c r="H65" s="223"/>
    </row>
    <row r="66" spans="5:8" x14ac:dyDescent="0.2">
      <c r="E66" s="40" t="str">
        <f t="shared" si="0"/>
        <v>PenPts</v>
      </c>
      <c r="F66" s="70" t="s">
        <v>151</v>
      </c>
      <c r="G66" s="69" t="s">
        <v>152</v>
      </c>
      <c r="H66" s="223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179</v>
      </c>
      <c r="G71" s="409" t="s">
        <v>165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180</v>
      </c>
      <c r="G72" s="409" t="s">
        <v>166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181</v>
      </c>
      <c r="G73" s="409" t="s">
        <v>167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182</v>
      </c>
      <c r="G74" s="409" t="s">
        <v>168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183</v>
      </c>
      <c r="G75" s="409" t="s">
        <v>169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184</v>
      </c>
      <c r="G76" s="409" t="s">
        <v>176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185</v>
      </c>
      <c r="G77" s="409" t="s">
        <v>175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186</v>
      </c>
      <c r="G78" s="409" t="s">
        <v>170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187</v>
      </c>
      <c r="G79" s="409" t="s">
        <v>171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188</v>
      </c>
      <c r="G80" s="409" t="s">
        <v>172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189</v>
      </c>
      <c r="G81" s="409" t="s">
        <v>173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190</v>
      </c>
      <c r="G82" s="409" t="s">
        <v>174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193</v>
      </c>
      <c r="G83" s="409" t="s">
        <v>177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195</v>
      </c>
      <c r="G84" s="409" t="s">
        <v>194</v>
      </c>
      <c r="H84" s="56"/>
    </row>
    <row r="85" spans="5:9" ht="16.5" customHeight="1" x14ac:dyDescent="0.2">
      <c r="E85" s="40" t="str">
        <f t="shared" si="0"/>
        <v>double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Explanation</v>
      </c>
      <c r="F89" s="81" t="s">
        <v>128</v>
      </c>
      <c r="G89" s="93" t="s">
        <v>127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objects="1" scenarios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KO-Round</vt:lpstr>
      <vt:lpstr>Planning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2025-09-01T14:56:39Z</dcterms:modified>
</cp:coreProperties>
</file>