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E4DCCD7E-54C2-44C1-885A-BAF1E78C9C8D}" xr6:coauthVersionLast="36" xr6:coauthVersionMax="47" xr10:uidLastSave="{00000000-0000-0000-0000-000000000000}"/>
  <bookViews>
    <workbookView xWindow="-120" yWindow="-120" windowWidth="29040" windowHeight="15750" tabRatio="712" activeTab="3" xr2:uid="{00000000-000D-0000-FFFF-FFFF00000000}"/>
  </bookViews>
  <sheets>
    <sheet name="Planung" sheetId="22" r:id="rId1"/>
    <sheet name="proof" sheetId="25" state="hidden" r:id="rId2"/>
    <sheet name="Pairings" sheetId="13" state="hidden" r:id="rId3"/>
    <sheet name="Vorrunde" sheetId="6" r:id="rId4"/>
    <sheet name="Endrunde 1" sheetId="21" r:id="rId5"/>
    <sheet name="Endrunde 2" sheetId="24" r:id="rId6"/>
    <sheet name="DirVergleich_A" sheetId="10" state="hidden" r:id="rId7"/>
    <sheet name="DirVergleich_B" sheetId="20" state="hidden" r:id="rId8"/>
    <sheet name="Endrunde 3" sheetId="26" r:id="rId9"/>
    <sheet name="Endrunde 4" sheetId="27" r:id="rId10"/>
    <sheet name="Anstoßzeiten Endrunde 4" sheetId="31" r:id="rId11"/>
    <sheet name="Sprache" sheetId="9" r:id="rId12"/>
    <sheet name="Einstellungen" sheetId="14" r:id="rId13"/>
    <sheet name="Info" sheetId="16" r:id="rId14"/>
    <sheet name="Calc1" sheetId="3" state="hidden" r:id="rId15"/>
    <sheet name="Calc2" sheetId="17" state="hidden" r:id="rId16"/>
    <sheet name="CalcE1" sheetId="28" state="hidden" r:id="rId17"/>
    <sheet name="CalcE2" sheetId="29" state="hidden" r:id="rId18"/>
    <sheet name="CalcE3" sheetId="30" state="hidden" r:id="rId19"/>
  </sheets>
  <definedNames>
    <definedName name="_xlnm.Print_Area" localSheetId="10">'Anstoßzeiten Endrunde 4'!$A$3:$I$63</definedName>
    <definedName name="_xlnm.Print_Area" localSheetId="3">Vorrunde!$B$11:$H$41</definedName>
  </definedNames>
  <calcPr calcId="191029" concurrentCalc="0"/>
</workbook>
</file>

<file path=xl/calcChain.xml><?xml version="1.0" encoding="utf-8"?>
<calcChain xmlns="http://schemas.openxmlformats.org/spreadsheetml/2006/main">
  <c r="C3" i="9" l="1"/>
  <c r="C4" i="9"/>
  <c r="E93" i="9"/>
  <c r="B1" i="31"/>
  <c r="Q69" i="3"/>
  <c r="F9" i="3"/>
  <c r="F13" i="3"/>
  <c r="Q69" i="17"/>
  <c r="F9" i="17"/>
  <c r="F13" i="17"/>
  <c r="F14" i="3"/>
  <c r="I6" i="22" a="1"/>
  <c r="I6" i="22"/>
  <c r="L6" i="22"/>
  <c r="V64" i="3"/>
  <c r="F12" i="6"/>
  <c r="K6" i="22" a="1"/>
  <c r="K6" i="22"/>
  <c r="N6" i="22"/>
  <c r="H12" i="6"/>
  <c r="W64" i="3"/>
  <c r="X64" i="3"/>
  <c r="I7" i="22"/>
  <c r="L7" i="22"/>
  <c r="V65" i="3"/>
  <c r="F13" i="6"/>
  <c r="K7" i="22"/>
  <c r="N7" i="22"/>
  <c r="H13" i="6"/>
  <c r="W65" i="3"/>
  <c r="X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F14" i="6"/>
  <c r="K8" i="22"/>
  <c r="N8" i="22"/>
  <c r="H14" i="6"/>
  <c r="W66" i="3"/>
  <c r="X66" i="3"/>
  <c r="F15" i="6"/>
  <c r="K9" i="22"/>
  <c r="N9" i="22"/>
  <c r="H15" i="6"/>
  <c r="W67" i="3"/>
  <c r="X67" i="3"/>
  <c r="F16" i="6"/>
  <c r="K10" i="22"/>
  <c r="N10" i="22"/>
  <c r="H16" i="6"/>
  <c r="W68" i="3"/>
  <c r="X68" i="3"/>
  <c r="F17" i="6"/>
  <c r="K11" i="22"/>
  <c r="N11" i="22"/>
  <c r="H17" i="6"/>
  <c r="W69" i="3"/>
  <c r="X69" i="3"/>
  <c r="F18" i="6"/>
  <c r="K12" i="22"/>
  <c r="N12" i="22"/>
  <c r="H18" i="6"/>
  <c r="W70" i="3"/>
  <c r="X70" i="3"/>
  <c r="F19" i="6"/>
  <c r="K13" i="22"/>
  <c r="N13" i="22"/>
  <c r="H19" i="6"/>
  <c r="W71" i="3"/>
  <c r="X71" i="3"/>
  <c r="F20" i="6"/>
  <c r="K14" i="22"/>
  <c r="N14" i="22"/>
  <c r="H20" i="6"/>
  <c r="W72" i="3"/>
  <c r="X72" i="3"/>
  <c r="F21" i="6"/>
  <c r="K15" i="22"/>
  <c r="N15" i="22"/>
  <c r="H21" i="6"/>
  <c r="W73" i="3"/>
  <c r="X73" i="3"/>
  <c r="F22" i="6"/>
  <c r="K16" i="22"/>
  <c r="N16" i="22"/>
  <c r="H22" i="6"/>
  <c r="W74" i="3"/>
  <c r="X74" i="3"/>
  <c r="F23" i="6"/>
  <c r="K17" i="22"/>
  <c r="N17" i="22"/>
  <c r="H23" i="6"/>
  <c r="W75" i="3"/>
  <c r="X75" i="3"/>
  <c r="F24" i="6"/>
  <c r="K18" i="22"/>
  <c r="N18" i="22"/>
  <c r="H24" i="6"/>
  <c r="W76" i="3"/>
  <c r="X76" i="3"/>
  <c r="F25" i="6"/>
  <c r="K19" i="22"/>
  <c r="N19" i="22"/>
  <c r="H25" i="6"/>
  <c r="W77" i="3"/>
  <c r="X77" i="3"/>
  <c r="F26" i="6"/>
  <c r="K20" i="22"/>
  <c r="N20" i="22"/>
  <c r="H26" i="6"/>
  <c r="W78" i="3"/>
  <c r="X78" i="3"/>
  <c r="F27" i="6"/>
  <c r="K21" i="22"/>
  <c r="N21" i="22"/>
  <c r="H27" i="6"/>
  <c r="W79" i="3"/>
  <c r="X79" i="3"/>
  <c r="F28" i="6"/>
  <c r="K22" i="22"/>
  <c r="N22" i="22"/>
  <c r="H28" i="6"/>
  <c r="W80" i="3"/>
  <c r="X80" i="3"/>
  <c r="F29" i="6"/>
  <c r="K23" i="22"/>
  <c r="N23" i="22"/>
  <c r="H29" i="6"/>
  <c r="W81" i="3"/>
  <c r="X81" i="3"/>
  <c r="F30" i="6"/>
  <c r="K24" i="22"/>
  <c r="N24" i="22"/>
  <c r="H30" i="6"/>
  <c r="W82" i="3"/>
  <c r="X82" i="3"/>
  <c r="F31" i="6"/>
  <c r="K25" i="22"/>
  <c r="N25" i="22"/>
  <c r="H31" i="6"/>
  <c r="W83" i="3"/>
  <c r="X83" i="3"/>
  <c r="F32" i="6"/>
  <c r="K26" i="22"/>
  <c r="N26" i="22"/>
  <c r="H32" i="6"/>
  <c r="W84" i="3"/>
  <c r="X84" i="3"/>
  <c r="F33" i="6"/>
  <c r="K27" i="22"/>
  <c r="N27" i="22"/>
  <c r="H33" i="6"/>
  <c r="W85" i="3"/>
  <c r="X85" i="3"/>
  <c r="F34" i="6"/>
  <c r="K28" i="22"/>
  <c r="N28" i="22"/>
  <c r="H34" i="6"/>
  <c r="W86" i="3"/>
  <c r="X86" i="3"/>
  <c r="F35" i="6"/>
  <c r="K29" i="22"/>
  <c r="N29" i="22"/>
  <c r="H35" i="6"/>
  <c r="W87" i="3"/>
  <c r="X87" i="3"/>
  <c r="F36" i="6"/>
  <c r="K30" i="22"/>
  <c r="N30" i="22"/>
  <c r="H36" i="6"/>
  <c r="W88" i="3"/>
  <c r="X88" i="3"/>
  <c r="F37" i="6"/>
  <c r="K31" i="22"/>
  <c r="N31" i="22"/>
  <c r="H37" i="6"/>
  <c r="W89" i="3"/>
  <c r="X89" i="3"/>
  <c r="F38" i="6"/>
  <c r="K32" i="22"/>
  <c r="N32" i="22"/>
  <c r="H38" i="6"/>
  <c r="W90" i="3"/>
  <c r="X90" i="3"/>
  <c r="F39" i="6"/>
  <c r="K33" i="22"/>
  <c r="N33" i="22"/>
  <c r="H39" i="6"/>
  <c r="W91" i="3"/>
  <c r="X91" i="3"/>
  <c r="F40" i="6"/>
  <c r="K34" i="22"/>
  <c r="N34" i="22"/>
  <c r="H40" i="6"/>
  <c r="W92" i="3"/>
  <c r="X92" i="3"/>
  <c r="F41" i="6"/>
  <c r="K35" i="22"/>
  <c r="N35" i="22"/>
  <c r="H41" i="6"/>
  <c r="W93" i="3"/>
  <c r="X9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K4" i="3"/>
  <c r="K5" i="3"/>
  <c r="K6" i="3"/>
  <c r="K7" i="3"/>
  <c r="K8" i="3"/>
  <c r="K9" i="3"/>
  <c r="K10" i="3"/>
  <c r="K11" i="3"/>
  <c r="K12" i="3"/>
  <c r="K13" i="3"/>
  <c r="AA64" i="3"/>
  <c r="AE64" i="3"/>
  <c r="AA76" i="3"/>
  <c r="AE76" i="3"/>
  <c r="AA88" i="3"/>
  <c r="AE88" i="3"/>
  <c r="AA70" i="3"/>
  <c r="AF70" i="3"/>
  <c r="AF64" i="3"/>
  <c r="AA65" i="3"/>
  <c r="AF65" i="3"/>
  <c r="AA66" i="3"/>
  <c r="AF66" i="3"/>
  <c r="AA67" i="3"/>
  <c r="AF67" i="3"/>
  <c r="AA68" i="3"/>
  <c r="AF68" i="3"/>
  <c r="AA69" i="3"/>
  <c r="AF69" i="3"/>
  <c r="AA71" i="3"/>
  <c r="AF71" i="3"/>
  <c r="AA72" i="3"/>
  <c r="AF72" i="3"/>
  <c r="AA73" i="3"/>
  <c r="AF73" i="3"/>
  <c r="AA74" i="3"/>
  <c r="AF74" i="3"/>
  <c r="AA75" i="3"/>
  <c r="AF75" i="3"/>
  <c r="AF76" i="3"/>
  <c r="AA77" i="3"/>
  <c r="AF77" i="3"/>
  <c r="AA78" i="3"/>
  <c r="AF78" i="3"/>
  <c r="AA79" i="3"/>
  <c r="AF79" i="3"/>
  <c r="AA80" i="3"/>
  <c r="AF80" i="3"/>
  <c r="AA81" i="3"/>
  <c r="AF81" i="3"/>
  <c r="AA82" i="3"/>
  <c r="AF82" i="3"/>
  <c r="AA83" i="3"/>
  <c r="AF83" i="3"/>
  <c r="AA84" i="3"/>
  <c r="AF84" i="3"/>
  <c r="AA85" i="3"/>
  <c r="AF85" i="3"/>
  <c r="AA86" i="3"/>
  <c r="AF86" i="3"/>
  <c r="AA87" i="3"/>
  <c r="AF87" i="3"/>
  <c r="AF88" i="3"/>
  <c r="AA89" i="3"/>
  <c r="AF89" i="3"/>
  <c r="AA90" i="3"/>
  <c r="AF90" i="3"/>
  <c r="AA91" i="3"/>
  <c r="AF91" i="3"/>
  <c r="AA92" i="3"/>
  <c r="AF92" i="3"/>
  <c r="AA93" i="3"/>
  <c r="AF93" i="3"/>
  <c r="AE72" i="3"/>
  <c r="AE82" i="3"/>
  <c r="J4" i="3"/>
  <c r="K17" i="3"/>
  <c r="G4" i="3"/>
  <c r="H4" i="3"/>
  <c r="I4" i="3"/>
  <c r="J17" i="3"/>
  <c r="H17" i="3"/>
  <c r="L17" i="3"/>
  <c r="AE74" i="3"/>
  <c r="AE84" i="3"/>
  <c r="AE70" i="3"/>
  <c r="J5" i="3"/>
  <c r="K18" i="3"/>
  <c r="G5" i="3"/>
  <c r="H5" i="3"/>
  <c r="I5" i="3"/>
  <c r="J18" i="3"/>
  <c r="H18" i="3"/>
  <c r="L18" i="3"/>
  <c r="AE68" i="3"/>
  <c r="AE78" i="3"/>
  <c r="AE66" i="3"/>
  <c r="J6" i="3"/>
  <c r="K19" i="3"/>
  <c r="G6" i="3"/>
  <c r="H6" i="3"/>
  <c r="I6" i="3"/>
  <c r="J19" i="3"/>
  <c r="H19" i="3"/>
  <c r="L19" i="3"/>
  <c r="AE92" i="3"/>
  <c r="AE80" i="3"/>
  <c r="J7" i="3"/>
  <c r="K20" i="3"/>
  <c r="G7" i="3"/>
  <c r="H7" i="3"/>
  <c r="I7" i="3"/>
  <c r="J20" i="3"/>
  <c r="H20" i="3"/>
  <c r="L20" i="3"/>
  <c r="AE86" i="3"/>
  <c r="J8" i="3"/>
  <c r="K21" i="3"/>
  <c r="G8" i="3"/>
  <c r="H8" i="3"/>
  <c r="I8" i="3"/>
  <c r="J21" i="3"/>
  <c r="H21" i="3"/>
  <c r="L21" i="3"/>
  <c r="AE90" i="3"/>
  <c r="AE85" i="3"/>
  <c r="AE87" i="3"/>
  <c r="AE89" i="3"/>
  <c r="AE91" i="3"/>
  <c r="AE65" i="3"/>
  <c r="AE67" i="3"/>
  <c r="AE69" i="3"/>
  <c r="AE71" i="3"/>
  <c r="AE73" i="3"/>
  <c r="AE75" i="3"/>
  <c r="AE77" i="3"/>
  <c r="AE79" i="3"/>
  <c r="AE81" i="3"/>
  <c r="AE83" i="3"/>
  <c r="AE93" i="3"/>
  <c r="J9" i="3"/>
  <c r="K22" i="3"/>
  <c r="G9" i="3"/>
  <c r="H9" i="3"/>
  <c r="I9" i="3"/>
  <c r="J22" i="3"/>
  <c r="H22" i="3"/>
  <c r="L22" i="3"/>
  <c r="J10" i="3"/>
  <c r="K23" i="3"/>
  <c r="G10" i="3"/>
  <c r="H10" i="3"/>
  <c r="I10" i="3"/>
  <c r="J23" i="3"/>
  <c r="H23" i="3"/>
  <c r="L23" i="3"/>
  <c r="J11" i="3"/>
  <c r="K24" i="3"/>
  <c r="G11" i="3"/>
  <c r="H11" i="3"/>
  <c r="I11" i="3"/>
  <c r="J24" i="3"/>
  <c r="H24" i="3"/>
  <c r="L24" i="3"/>
  <c r="J12" i="3"/>
  <c r="K25" i="3"/>
  <c r="G12" i="3"/>
  <c r="H12" i="3"/>
  <c r="I12" i="3"/>
  <c r="J25" i="3"/>
  <c r="H25" i="3"/>
  <c r="L25" i="3"/>
  <c r="E76" i="9"/>
  <c r="AI1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M22" i="3"/>
  <c r="N22" i="3" a="1"/>
  <c r="N22" i="3"/>
  <c r="O22" i="3"/>
  <c r="C22" i="3"/>
  <c r="BT52" i="3"/>
  <c r="BU52" i="3"/>
  <c r="BV52" i="3"/>
  <c r="BW52" i="3"/>
  <c r="BX51"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R57"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40" i="3"/>
  <c r="BX29" i="3"/>
  <c r="BX30" i="3"/>
  <c r="BR35"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R46"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L4" i="3"/>
  <c r="M4" i="3"/>
  <c r="N4" i="3"/>
  <c r="L5" i="3"/>
  <c r="M5" i="3"/>
  <c r="N5" i="3"/>
  <c r="L6" i="3"/>
  <c r="M6" i="3"/>
  <c r="N6" i="3"/>
  <c r="C7" i="3"/>
  <c r="L7" i="3"/>
  <c r="M7" i="3"/>
  <c r="N7" i="3"/>
  <c r="C8" i="3"/>
  <c r="L8" i="3"/>
  <c r="M8" i="3"/>
  <c r="N8" i="3"/>
  <c r="C9" i="3"/>
  <c r="L9" i="3"/>
  <c r="M9" i="3"/>
  <c r="N9" i="3"/>
  <c r="C10" i="3"/>
  <c r="L10" i="3"/>
  <c r="M10" i="3"/>
  <c r="N10" i="3"/>
  <c r="C11" i="3"/>
  <c r="L11" i="3"/>
  <c r="M11" i="3"/>
  <c r="N11" i="3"/>
  <c r="C12" i="3"/>
  <c r="L12" i="3"/>
  <c r="M12" i="3"/>
  <c r="N12" i="3"/>
  <c r="N16" i="6"/>
  <c r="AE26" i="27"/>
  <c r="E58" i="9"/>
  <c r="Q17" i="27"/>
  <c r="AD17" i="27"/>
  <c r="E59" i="9"/>
  <c r="Q24" i="27"/>
  <c r="AD24" i="27"/>
  <c r="I12" i="27"/>
  <c r="V64" i="17"/>
  <c r="W64" i="17"/>
  <c r="X64" i="17"/>
  <c r="V65" i="17"/>
  <c r="W65" i="17"/>
  <c r="X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W66" i="17"/>
  <c r="X66" i="17"/>
  <c r="W67" i="17"/>
  <c r="X67" i="17"/>
  <c r="W68" i="17"/>
  <c r="X68" i="17"/>
  <c r="W69" i="17"/>
  <c r="X69" i="17"/>
  <c r="W70" i="17"/>
  <c r="X70" i="17"/>
  <c r="W71" i="17"/>
  <c r="X71" i="17"/>
  <c r="W72" i="17"/>
  <c r="X72" i="17"/>
  <c r="W73" i="17"/>
  <c r="X73" i="17"/>
  <c r="W74" i="17"/>
  <c r="X74" i="17"/>
  <c r="W75" i="17"/>
  <c r="X75" i="17"/>
  <c r="W76" i="17"/>
  <c r="X76" i="17"/>
  <c r="W77" i="17"/>
  <c r="X77" i="17"/>
  <c r="W78" i="17"/>
  <c r="X78" i="17"/>
  <c r="W79" i="17"/>
  <c r="X79" i="17"/>
  <c r="W80" i="17"/>
  <c r="X80" i="17"/>
  <c r="W81" i="17"/>
  <c r="X81" i="17"/>
  <c r="W82" i="17"/>
  <c r="X82" i="17"/>
  <c r="W83" i="17"/>
  <c r="X83" i="17"/>
  <c r="W84" i="17"/>
  <c r="X84" i="17"/>
  <c r="W85" i="17"/>
  <c r="X85" i="17"/>
  <c r="W86" i="17"/>
  <c r="X86" i="17"/>
  <c r="W87" i="17"/>
  <c r="X87" i="17"/>
  <c r="W88" i="17"/>
  <c r="X88" i="17"/>
  <c r="W89" i="17"/>
  <c r="X89" i="17"/>
  <c r="W90" i="17"/>
  <c r="X90" i="17"/>
  <c r="W91" i="17"/>
  <c r="X91" i="17"/>
  <c r="W92" i="17"/>
  <c r="X92" i="17"/>
  <c r="W93" i="17"/>
  <c r="X9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K4" i="17"/>
  <c r="K5" i="17"/>
  <c r="K6" i="17"/>
  <c r="K7" i="17"/>
  <c r="K8" i="17"/>
  <c r="K9" i="17"/>
  <c r="K10" i="17"/>
  <c r="K11" i="17"/>
  <c r="K12" i="17"/>
  <c r="K13" i="17"/>
  <c r="AA65" i="17"/>
  <c r="AE65" i="17"/>
  <c r="AA77" i="17"/>
  <c r="AE77" i="17"/>
  <c r="AA89" i="17"/>
  <c r="AE89" i="17"/>
  <c r="AA71" i="17"/>
  <c r="AF71" i="17"/>
  <c r="AA64" i="17"/>
  <c r="AF64" i="17"/>
  <c r="AF65" i="17"/>
  <c r="AA66" i="17"/>
  <c r="AF66" i="17"/>
  <c r="AA67" i="17"/>
  <c r="AF67" i="17"/>
  <c r="AA68" i="17"/>
  <c r="AF68" i="17"/>
  <c r="AA69" i="17"/>
  <c r="AF69" i="17"/>
  <c r="AA70" i="17"/>
  <c r="AF70" i="17"/>
  <c r="AA72" i="17"/>
  <c r="AF72" i="17"/>
  <c r="AA73" i="17"/>
  <c r="AF73" i="17"/>
  <c r="AA74" i="17"/>
  <c r="AF74" i="17"/>
  <c r="AA75" i="17"/>
  <c r="AF75" i="17"/>
  <c r="AA76" i="17"/>
  <c r="AF76" i="17"/>
  <c r="AF77" i="17"/>
  <c r="AA78" i="17"/>
  <c r="AF78" i="17"/>
  <c r="AA79" i="17"/>
  <c r="AF79" i="17"/>
  <c r="AA80" i="17"/>
  <c r="AF80" i="17"/>
  <c r="AA81" i="17"/>
  <c r="AF81" i="17"/>
  <c r="AA82" i="17"/>
  <c r="AF82" i="17"/>
  <c r="AA83" i="17"/>
  <c r="AF83" i="17"/>
  <c r="AA84" i="17"/>
  <c r="AF84" i="17"/>
  <c r="AA85" i="17"/>
  <c r="AF85" i="17"/>
  <c r="AA86" i="17"/>
  <c r="AF86" i="17"/>
  <c r="AA87" i="17"/>
  <c r="AF87" i="17"/>
  <c r="AA88" i="17"/>
  <c r="AF88" i="17"/>
  <c r="AF89" i="17"/>
  <c r="AA90" i="17"/>
  <c r="AF90" i="17"/>
  <c r="AA91" i="17"/>
  <c r="AF91" i="17"/>
  <c r="AA92" i="17"/>
  <c r="AF92" i="17"/>
  <c r="AA93" i="17"/>
  <c r="AF93" i="17"/>
  <c r="AE73" i="17"/>
  <c r="AE83" i="17"/>
  <c r="J4" i="17"/>
  <c r="K17" i="17"/>
  <c r="G4" i="17"/>
  <c r="H4" i="17"/>
  <c r="I4" i="17"/>
  <c r="J17" i="17"/>
  <c r="H17" i="17"/>
  <c r="L17" i="17"/>
  <c r="AE75" i="17"/>
  <c r="AE85" i="17"/>
  <c r="AE71" i="17"/>
  <c r="J5" i="17"/>
  <c r="K18" i="17"/>
  <c r="G5" i="17"/>
  <c r="H5" i="17"/>
  <c r="I5" i="17"/>
  <c r="J18" i="17"/>
  <c r="H18" i="17"/>
  <c r="L18" i="17"/>
  <c r="AE69" i="17"/>
  <c r="AE79" i="17"/>
  <c r="AE67" i="17"/>
  <c r="J6" i="17"/>
  <c r="K19" i="17"/>
  <c r="G6" i="17"/>
  <c r="H6" i="17"/>
  <c r="I6" i="17"/>
  <c r="J19" i="17"/>
  <c r="H19" i="17"/>
  <c r="L19" i="17"/>
  <c r="AE93" i="17"/>
  <c r="AE81" i="17"/>
  <c r="J7" i="17"/>
  <c r="K20" i="17"/>
  <c r="G7" i="17"/>
  <c r="H7" i="17"/>
  <c r="I7" i="17"/>
  <c r="J20" i="17"/>
  <c r="H20" i="17"/>
  <c r="L20" i="17"/>
  <c r="AE87" i="17"/>
  <c r="J8" i="17"/>
  <c r="K21" i="17"/>
  <c r="G8" i="17"/>
  <c r="H8" i="17"/>
  <c r="I8" i="17"/>
  <c r="J21" i="17"/>
  <c r="H21" i="17"/>
  <c r="L21" i="17"/>
  <c r="AE91" i="17"/>
  <c r="AE84" i="17"/>
  <c r="AE86" i="17"/>
  <c r="AE88" i="17"/>
  <c r="AE90" i="17"/>
  <c r="AE64" i="17"/>
  <c r="AE66" i="17"/>
  <c r="AE68" i="17"/>
  <c r="AE70" i="17"/>
  <c r="AE72" i="17"/>
  <c r="AE74" i="17"/>
  <c r="AE76" i="17"/>
  <c r="AE78" i="17"/>
  <c r="AE80" i="17"/>
  <c r="AE82" i="17"/>
  <c r="AE92" i="17"/>
  <c r="J9" i="17"/>
  <c r="K22" i="17"/>
  <c r="G9" i="17"/>
  <c r="H9" i="17"/>
  <c r="I9" i="17"/>
  <c r="J22" i="17"/>
  <c r="H22" i="17"/>
  <c r="L22" i="17"/>
  <c r="J10" i="17"/>
  <c r="K23" i="17"/>
  <c r="G10" i="17"/>
  <c r="H10" i="17"/>
  <c r="I10" i="17"/>
  <c r="J23" i="17"/>
  <c r="H23" i="17"/>
  <c r="L23" i="17"/>
  <c r="J11" i="17"/>
  <c r="K24" i="17"/>
  <c r="G11" i="17"/>
  <c r="H11" i="17"/>
  <c r="I11" i="17"/>
  <c r="J24" i="17"/>
  <c r="H24" i="17"/>
  <c r="L24" i="17"/>
  <c r="J12" i="17"/>
  <c r="K25" i="17"/>
  <c r="G12" i="17"/>
  <c r="H12" i="17"/>
  <c r="I12" i="17"/>
  <c r="J25" i="17"/>
  <c r="H25" i="17"/>
  <c r="L25" i="17"/>
  <c r="AI1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M22" i="17"/>
  <c r="N22" i="17" a="1"/>
  <c r="N22" i="17"/>
  <c r="O22" i="17"/>
  <c r="C22" i="17"/>
  <c r="BT52" i="17"/>
  <c r="BU52" i="17"/>
  <c r="BV52" i="17"/>
  <c r="BW52" i="17"/>
  <c r="BX51"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R57"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40" i="17"/>
  <c r="BX29" i="17"/>
  <c r="BX30" i="17"/>
  <c r="BR35"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R46"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C7" i="17"/>
  <c r="C8" i="17"/>
  <c r="L4" i="17"/>
  <c r="M4" i="17"/>
  <c r="N4" i="17"/>
  <c r="L5" i="17"/>
  <c r="M5" i="17"/>
  <c r="N5" i="17"/>
  <c r="L6" i="17"/>
  <c r="M6" i="17"/>
  <c r="N6" i="17"/>
  <c r="L7" i="17"/>
  <c r="M7" i="17"/>
  <c r="N7" i="17"/>
  <c r="L8" i="17"/>
  <c r="M8" i="17"/>
  <c r="N8" i="17"/>
  <c r="C9" i="17"/>
  <c r="L9" i="17"/>
  <c r="M9" i="17"/>
  <c r="N9" i="17"/>
  <c r="C10" i="17"/>
  <c r="L10" i="17"/>
  <c r="M10" i="17"/>
  <c r="N10" i="17"/>
  <c r="C11" i="17"/>
  <c r="L11" i="17"/>
  <c r="M11" i="17"/>
  <c r="N11" i="17"/>
  <c r="C12" i="17"/>
  <c r="L12" i="17"/>
  <c r="M12" i="17"/>
  <c r="N12" i="17"/>
  <c r="N27" i="6"/>
  <c r="AE29" i="27"/>
  <c r="K12" i="27"/>
  <c r="C59" i="31"/>
  <c r="BS12" i="31"/>
  <c r="BQ12" i="31"/>
  <c r="BP12" i="31"/>
  <c r="N14" i="6"/>
  <c r="AE19" i="27"/>
  <c r="I13" i="27"/>
  <c r="N25" i="6"/>
  <c r="AE22" i="27"/>
  <c r="K13" i="27"/>
  <c r="BS13" i="31"/>
  <c r="BQ13" i="31"/>
  <c r="BP13" i="31"/>
  <c r="N12" i="6"/>
  <c r="AE12" i="27"/>
  <c r="I14" i="27"/>
  <c r="N23" i="6"/>
  <c r="AE15" i="27"/>
  <c r="K14" i="27"/>
  <c r="BS14" i="31"/>
  <c r="BQ14" i="31"/>
  <c r="BP14" i="31"/>
  <c r="N26" i="6"/>
  <c r="AE27" i="27"/>
  <c r="I15" i="27"/>
  <c r="N17" i="6"/>
  <c r="AE28" i="27"/>
  <c r="K15" i="27"/>
  <c r="BS15" i="31"/>
  <c r="BQ15" i="31"/>
  <c r="BP15" i="31"/>
  <c r="N24" i="6"/>
  <c r="AE20" i="27"/>
  <c r="I16" i="27"/>
  <c r="N15" i="6"/>
  <c r="AE21" i="27"/>
  <c r="K16" i="27"/>
  <c r="BS16" i="31"/>
  <c r="BQ16" i="31"/>
  <c r="BP16" i="31"/>
  <c r="N22" i="6"/>
  <c r="AE13" i="27"/>
  <c r="I17" i="27"/>
  <c r="N13" i="6"/>
  <c r="AE14" i="27"/>
  <c r="K17" i="27"/>
  <c r="BS17" i="31"/>
  <c r="U15" i="22"/>
  <c r="U10" i="22"/>
  <c r="U11" i="22"/>
  <c r="B13" i="3"/>
  <c r="B13" i="17"/>
  <c r="B14" i="3"/>
  <c r="R13" i="22" a="1"/>
  <c r="R13" i="22"/>
  <c r="P35" i="22"/>
  <c r="D12" i="27"/>
  <c r="C12" i="27" a="1"/>
  <c r="C12" i="27"/>
  <c r="C17" i="27" a="1"/>
  <c r="C17" i="27"/>
  <c r="D17" i="27" a="1"/>
  <c r="D17" i="27"/>
  <c r="BQ17" i="31"/>
  <c r="BP17" i="31"/>
  <c r="I18" i="27"/>
  <c r="K18" i="27"/>
  <c r="BS18" i="31"/>
  <c r="BQ18" i="31"/>
  <c r="BP18" i="31"/>
  <c r="I19" i="27"/>
  <c r="K19" i="27"/>
  <c r="BS19" i="31"/>
  <c r="BQ19" i="31"/>
  <c r="BP19" i="31"/>
  <c r="I20" i="27"/>
  <c r="K20" i="27"/>
  <c r="BS20" i="31"/>
  <c r="BQ20" i="31"/>
  <c r="BP20" i="31"/>
  <c r="I21" i="27"/>
  <c r="K21" i="27"/>
  <c r="BS21" i="31"/>
  <c r="BQ21" i="31"/>
  <c r="BP21" i="31"/>
  <c r="I22" i="27"/>
  <c r="K22" i="27"/>
  <c r="BS22" i="31"/>
  <c r="BQ22" i="31"/>
  <c r="BP22" i="31"/>
  <c r="I23" i="27"/>
  <c r="K23" i="27"/>
  <c r="BS23" i="31"/>
  <c r="C23" i="27" a="1"/>
  <c r="C23" i="27"/>
  <c r="D23" i="27" a="1"/>
  <c r="D23" i="27"/>
  <c r="BQ23" i="31"/>
  <c r="BP23" i="31"/>
  <c r="I24" i="27"/>
  <c r="K24" i="27"/>
  <c r="BS24" i="31"/>
  <c r="BQ24" i="31"/>
  <c r="BP24" i="31"/>
  <c r="I25" i="27"/>
  <c r="K25" i="27"/>
  <c r="BS25" i="31"/>
  <c r="BQ25" i="31"/>
  <c r="BP25" i="31"/>
  <c r="I26" i="27"/>
  <c r="K26" i="27"/>
  <c r="BS26" i="31"/>
  <c r="BQ26" i="31"/>
  <c r="BP26" i="31"/>
  <c r="I27" i="27"/>
  <c r="K27" i="27"/>
  <c r="BS27" i="31"/>
  <c r="BQ27" i="31"/>
  <c r="BP27" i="31"/>
  <c r="I28" i="27"/>
  <c r="K28" i="27"/>
  <c r="BS28" i="31"/>
  <c r="BQ28" i="31"/>
  <c r="BP28" i="31"/>
  <c r="I29" i="27"/>
  <c r="K29" i="27"/>
  <c r="BS29" i="31"/>
  <c r="C29" i="27" a="1"/>
  <c r="C29" i="27"/>
  <c r="D29" i="27" a="1"/>
  <c r="D29" i="27"/>
  <c r="BQ29" i="31"/>
  <c r="BP29" i="31"/>
  <c r="BT13" i="31"/>
  <c r="F61" i="31"/>
  <c r="BT12" i="31"/>
  <c r="F60" i="31"/>
  <c r="BT14" i="31"/>
  <c r="F62" i="31"/>
  <c r="J61" i="31"/>
  <c r="K61" i="31"/>
  <c r="J62" i="31"/>
  <c r="K62" i="31"/>
  <c r="E39" i="9"/>
  <c r="F59" i="31"/>
  <c r="J60" i="31"/>
  <c r="K60" i="31"/>
  <c r="BN12" i="31"/>
  <c r="BL12" i="31"/>
  <c r="BK12" i="31"/>
  <c r="BN13" i="31"/>
  <c r="C13" i="27" a="1"/>
  <c r="C13" i="27"/>
  <c r="D13" i="27" a="1"/>
  <c r="D13" i="27"/>
  <c r="BL13" i="31"/>
  <c r="BK13" i="31"/>
  <c r="BN14" i="31"/>
  <c r="C14" i="27" a="1"/>
  <c r="C14" i="27"/>
  <c r="D14" i="27" a="1"/>
  <c r="D14" i="27"/>
  <c r="BL14" i="31"/>
  <c r="BK14" i="31"/>
  <c r="BN15" i="31"/>
  <c r="BL15" i="31"/>
  <c r="BK15" i="31"/>
  <c r="BN16" i="31"/>
  <c r="BL16" i="31"/>
  <c r="BK16" i="31"/>
  <c r="BN17" i="31"/>
  <c r="BL17" i="31"/>
  <c r="BK17" i="31"/>
  <c r="BN18" i="31"/>
  <c r="BL18" i="31"/>
  <c r="BK18" i="31"/>
  <c r="BN19" i="31"/>
  <c r="BL19" i="31"/>
  <c r="BK19" i="31"/>
  <c r="BN20" i="31"/>
  <c r="BL20" i="31"/>
  <c r="BK20" i="31"/>
  <c r="BN21" i="31"/>
  <c r="BL21" i="31"/>
  <c r="BK21" i="31"/>
  <c r="BN22" i="31"/>
  <c r="C22" i="27" a="1"/>
  <c r="C22" i="27"/>
  <c r="D22" i="27" a="1"/>
  <c r="D22" i="27"/>
  <c r="BL22" i="31"/>
  <c r="BK22" i="31"/>
  <c r="BN23" i="31"/>
  <c r="BL23" i="31"/>
  <c r="BK23" i="31"/>
  <c r="BN24" i="31"/>
  <c r="BL24" i="31"/>
  <c r="BK24" i="31"/>
  <c r="BN25" i="31"/>
  <c r="C25" i="27" a="1"/>
  <c r="C25" i="27"/>
  <c r="D25" i="27" a="1"/>
  <c r="D25" i="27"/>
  <c r="BL25" i="31"/>
  <c r="BK25" i="31"/>
  <c r="BN26" i="31"/>
  <c r="C26" i="27" a="1"/>
  <c r="C26" i="27"/>
  <c r="D26" i="27" a="1"/>
  <c r="D26" i="27"/>
  <c r="BL26" i="31"/>
  <c r="BK26" i="31"/>
  <c r="BN27" i="31"/>
  <c r="BL27" i="31"/>
  <c r="BK27" i="31"/>
  <c r="BN28" i="31"/>
  <c r="BL28" i="31"/>
  <c r="BK28" i="31"/>
  <c r="BN29" i="31"/>
  <c r="BL29" i="31"/>
  <c r="BK29" i="31"/>
  <c r="BO13" i="31"/>
  <c r="F56" i="31"/>
  <c r="BO12" i="31"/>
  <c r="F55" i="31"/>
  <c r="BO14" i="31"/>
  <c r="F57" i="31"/>
  <c r="L23" i="31"/>
  <c r="L22" i="31"/>
  <c r="E56" i="31"/>
  <c r="J56" i="31"/>
  <c r="K56" i="31"/>
  <c r="L26" i="31"/>
  <c r="L25" i="31"/>
  <c r="E57" i="31"/>
  <c r="J57" i="31"/>
  <c r="K57" i="31"/>
  <c r="F54" i="31"/>
  <c r="J55" i="31"/>
  <c r="K55" i="31"/>
  <c r="BI12" i="31"/>
  <c r="BG12" i="31"/>
  <c r="BF12" i="31"/>
  <c r="BI13" i="31"/>
  <c r="BG13" i="31"/>
  <c r="BF13" i="31"/>
  <c r="BI14" i="31"/>
  <c r="BG14" i="31"/>
  <c r="BF14" i="31"/>
  <c r="BI15" i="31"/>
  <c r="BG15" i="31"/>
  <c r="BF15" i="31"/>
  <c r="BI16" i="31"/>
  <c r="BG16" i="31"/>
  <c r="BF16" i="31"/>
  <c r="BI17" i="31"/>
  <c r="BG17" i="31"/>
  <c r="BF17" i="31"/>
  <c r="BI18" i="31"/>
  <c r="BG18" i="31"/>
  <c r="BF18" i="31"/>
  <c r="BI19" i="31"/>
  <c r="BG19" i="31"/>
  <c r="BF19" i="31"/>
  <c r="BI20" i="31"/>
  <c r="BG20" i="31"/>
  <c r="BF20" i="31"/>
  <c r="BI21" i="31"/>
  <c r="BG21" i="31"/>
  <c r="BF21" i="31"/>
  <c r="BI22" i="31"/>
  <c r="BG22" i="31"/>
  <c r="BF22" i="31"/>
  <c r="BI23" i="31"/>
  <c r="BG23" i="31"/>
  <c r="BF23" i="31"/>
  <c r="BI24" i="31"/>
  <c r="BG24" i="31"/>
  <c r="BF24" i="31"/>
  <c r="BI25" i="31"/>
  <c r="BG25" i="31"/>
  <c r="BF25" i="31"/>
  <c r="BI26" i="31"/>
  <c r="BG26" i="31"/>
  <c r="BF26" i="31"/>
  <c r="BI27" i="31"/>
  <c r="BG27" i="31"/>
  <c r="BF27" i="31"/>
  <c r="BI28" i="31"/>
  <c r="BG28" i="31"/>
  <c r="BF28" i="31"/>
  <c r="BI29" i="31"/>
  <c r="BG29" i="31"/>
  <c r="BF29" i="31"/>
  <c r="BJ13" i="31"/>
  <c r="F51" i="31"/>
  <c r="BJ12" i="31"/>
  <c r="F50" i="31"/>
  <c r="BJ14" i="31"/>
  <c r="F52" i="31"/>
  <c r="E51" i="31"/>
  <c r="J51" i="31"/>
  <c r="K51" i="31"/>
  <c r="L29" i="31"/>
  <c r="E52" i="31"/>
  <c r="J52" i="31"/>
  <c r="K52" i="31"/>
  <c r="F49" i="31"/>
  <c r="J50" i="31"/>
  <c r="K50" i="31"/>
  <c r="BD12" i="31"/>
  <c r="BB12" i="31"/>
  <c r="BA12" i="31"/>
  <c r="BD13" i="31"/>
  <c r="BB13" i="31"/>
  <c r="BA13" i="31"/>
  <c r="BD14" i="31"/>
  <c r="BB14" i="31"/>
  <c r="BA14" i="31"/>
  <c r="BD15" i="31"/>
  <c r="C15" i="27" a="1"/>
  <c r="C15" i="27"/>
  <c r="D15" i="27" a="1"/>
  <c r="D15" i="27"/>
  <c r="BB15" i="31"/>
  <c r="BA15" i="31"/>
  <c r="BD16" i="31"/>
  <c r="BB16" i="31"/>
  <c r="BA16" i="31"/>
  <c r="BD17" i="31"/>
  <c r="BB17" i="31"/>
  <c r="BA17" i="31"/>
  <c r="BD18" i="31"/>
  <c r="BB18" i="31"/>
  <c r="BA18" i="31"/>
  <c r="BD19" i="31"/>
  <c r="BB19" i="31"/>
  <c r="BA19" i="31"/>
  <c r="BD20" i="31"/>
  <c r="BB20" i="31"/>
  <c r="BA20" i="31"/>
  <c r="BD21" i="31"/>
  <c r="C21" i="27" a="1"/>
  <c r="C21" i="27"/>
  <c r="D21" i="27" a="1"/>
  <c r="D21" i="27"/>
  <c r="BB21" i="31"/>
  <c r="BA21" i="31"/>
  <c r="BD22" i="31"/>
  <c r="BB22" i="31"/>
  <c r="BA22" i="31"/>
  <c r="BD23" i="31"/>
  <c r="BB23" i="31"/>
  <c r="BA23" i="31"/>
  <c r="BD24" i="31"/>
  <c r="BB24" i="31"/>
  <c r="BA24" i="31"/>
  <c r="BD25" i="31"/>
  <c r="BB25" i="31"/>
  <c r="BA25" i="31"/>
  <c r="BD26" i="31"/>
  <c r="BB26" i="31"/>
  <c r="BA26" i="31"/>
  <c r="BD27" i="31"/>
  <c r="C27" i="27" a="1"/>
  <c r="C27" i="27"/>
  <c r="D27" i="27" a="1"/>
  <c r="D27" i="27"/>
  <c r="BB27" i="31"/>
  <c r="BA27" i="31"/>
  <c r="BD28" i="31"/>
  <c r="BB28" i="31"/>
  <c r="BA28" i="31"/>
  <c r="BD29" i="31"/>
  <c r="BB29" i="31"/>
  <c r="BA29" i="31"/>
  <c r="BE13" i="31"/>
  <c r="F46" i="31"/>
  <c r="BE12" i="31"/>
  <c r="F45" i="31"/>
  <c r="BE14" i="31"/>
  <c r="F47" i="31"/>
  <c r="J46" i="31"/>
  <c r="K46" i="31"/>
  <c r="J47" i="31"/>
  <c r="K47" i="31"/>
  <c r="F44" i="31"/>
  <c r="J45" i="31"/>
  <c r="K45" i="31"/>
  <c r="AY12" i="31"/>
  <c r="AW12" i="31"/>
  <c r="AV12" i="31"/>
  <c r="AY13" i="31"/>
  <c r="AW13" i="31"/>
  <c r="AV13" i="31"/>
  <c r="AY14" i="31"/>
  <c r="AW14" i="31"/>
  <c r="AV14" i="31"/>
  <c r="AY15" i="31"/>
  <c r="AW15" i="31"/>
  <c r="AV15" i="31"/>
  <c r="AY16" i="31"/>
  <c r="C16" i="27" a="1"/>
  <c r="C16" i="27"/>
  <c r="D16" i="27" a="1"/>
  <c r="D16" i="27"/>
  <c r="AW16" i="31"/>
  <c r="AV16" i="31"/>
  <c r="AY17" i="31"/>
  <c r="AW17" i="31"/>
  <c r="AV17" i="31"/>
  <c r="AY18" i="31"/>
  <c r="AW18" i="31"/>
  <c r="AV18" i="31"/>
  <c r="AY19" i="31"/>
  <c r="AW19" i="31"/>
  <c r="AV19" i="31"/>
  <c r="AY20" i="31"/>
  <c r="AW20" i="31"/>
  <c r="AV20" i="31"/>
  <c r="AY21" i="31"/>
  <c r="AW21" i="31"/>
  <c r="AV21" i="31"/>
  <c r="AY22" i="31"/>
  <c r="AW22" i="31"/>
  <c r="AV22" i="31"/>
  <c r="AY23" i="31"/>
  <c r="AW23" i="31"/>
  <c r="AV23" i="31"/>
  <c r="AY24" i="31"/>
  <c r="AW24" i="31"/>
  <c r="AV24" i="31"/>
  <c r="AY25" i="31"/>
  <c r="AW25" i="31"/>
  <c r="AV25" i="31"/>
  <c r="AY26" i="31"/>
  <c r="AW26" i="31"/>
  <c r="AV26" i="31"/>
  <c r="AY27" i="31"/>
  <c r="AW27" i="31"/>
  <c r="AV27" i="31"/>
  <c r="AY28" i="31"/>
  <c r="C28" i="27" a="1"/>
  <c r="C28" i="27"/>
  <c r="D28" i="27" a="1"/>
  <c r="D28" i="27"/>
  <c r="AW28" i="31"/>
  <c r="AV28" i="31"/>
  <c r="AY29" i="31"/>
  <c r="AW29" i="31"/>
  <c r="AV29" i="31"/>
  <c r="AZ13" i="31"/>
  <c r="F41" i="31"/>
  <c r="AZ12" i="31"/>
  <c r="F40" i="31"/>
  <c r="AZ14" i="31"/>
  <c r="F42" i="31"/>
  <c r="J41" i="31"/>
  <c r="K41" i="31"/>
  <c r="J42" i="31"/>
  <c r="K42" i="31"/>
  <c r="F39" i="31"/>
  <c r="J40" i="31"/>
  <c r="K40" i="31"/>
  <c r="AT12" i="31"/>
  <c r="AR12" i="31"/>
  <c r="AQ12" i="31"/>
  <c r="AT13" i="31"/>
  <c r="AR13" i="31"/>
  <c r="AQ13" i="31"/>
  <c r="AT14" i="31"/>
  <c r="AR14" i="31"/>
  <c r="AQ14" i="31"/>
  <c r="AT15" i="31"/>
  <c r="AR15" i="31"/>
  <c r="AQ15" i="31"/>
  <c r="AT16" i="31"/>
  <c r="AR16" i="31"/>
  <c r="AQ16" i="31"/>
  <c r="AT17" i="31"/>
  <c r="AR17" i="31"/>
  <c r="AQ17" i="31"/>
  <c r="AT18" i="31"/>
  <c r="AR18" i="31"/>
  <c r="AQ18" i="31"/>
  <c r="AT19" i="31"/>
  <c r="AR19" i="31"/>
  <c r="AQ19" i="31"/>
  <c r="AT20" i="31"/>
  <c r="AR20" i="31"/>
  <c r="AQ20" i="31"/>
  <c r="AT21" i="31"/>
  <c r="AR21" i="31"/>
  <c r="AQ21" i="31"/>
  <c r="AT22" i="31"/>
  <c r="AR22" i="31"/>
  <c r="AQ22" i="31"/>
  <c r="AT23" i="31"/>
  <c r="AR23" i="31"/>
  <c r="AQ23" i="31"/>
  <c r="AT24" i="31"/>
  <c r="C24" i="27" a="1"/>
  <c r="C24" i="27"/>
  <c r="D24" i="27" a="1"/>
  <c r="D24" i="27"/>
  <c r="AR24" i="31"/>
  <c r="AQ24" i="31"/>
  <c r="AT25" i="31"/>
  <c r="AR25" i="31"/>
  <c r="AQ25" i="31"/>
  <c r="AT26" i="31"/>
  <c r="AR26" i="31"/>
  <c r="AQ26" i="31"/>
  <c r="AT27" i="31"/>
  <c r="AR27" i="31"/>
  <c r="AQ27" i="31"/>
  <c r="AT28" i="31"/>
  <c r="AR28" i="31"/>
  <c r="AQ28" i="31"/>
  <c r="AT29" i="31"/>
  <c r="AR29" i="31"/>
  <c r="AQ29" i="31"/>
  <c r="AU13" i="31"/>
  <c r="F36" i="31"/>
  <c r="AU12" i="31"/>
  <c r="F35" i="31"/>
  <c r="AU14" i="31"/>
  <c r="F37" i="31"/>
  <c r="J36" i="31"/>
  <c r="K36" i="31"/>
  <c r="J37" i="31"/>
  <c r="K37" i="31"/>
  <c r="F34" i="31"/>
  <c r="J35" i="31"/>
  <c r="K35" i="31"/>
  <c r="C29" i="31"/>
  <c r="AO12" i="31"/>
  <c r="AM12" i="31"/>
  <c r="AL12" i="31"/>
  <c r="AO13" i="31"/>
  <c r="AM13" i="31"/>
  <c r="AL13" i="31"/>
  <c r="AO14" i="31"/>
  <c r="AM14" i="31"/>
  <c r="AL14" i="31"/>
  <c r="AO15" i="31"/>
  <c r="AM15" i="31"/>
  <c r="AL15" i="31"/>
  <c r="AO16" i="31"/>
  <c r="AM16" i="31"/>
  <c r="AL16" i="31"/>
  <c r="AO17" i="31"/>
  <c r="AM17" i="31"/>
  <c r="AL17" i="31"/>
  <c r="AO18" i="31"/>
  <c r="C18" i="27" a="1"/>
  <c r="C18" i="27"/>
  <c r="D18" i="27" a="1"/>
  <c r="D18" i="27"/>
  <c r="AM18" i="31"/>
  <c r="AL18" i="31"/>
  <c r="AO19" i="31"/>
  <c r="AM19" i="31"/>
  <c r="AL19" i="31"/>
  <c r="AO20" i="31"/>
  <c r="AM20" i="31"/>
  <c r="AL20" i="31"/>
  <c r="AO21" i="31"/>
  <c r="AM21" i="31"/>
  <c r="AL21" i="31"/>
  <c r="AO22" i="31"/>
  <c r="AM22" i="31"/>
  <c r="AL22" i="31"/>
  <c r="AO23" i="31"/>
  <c r="AM23" i="31"/>
  <c r="AL23" i="31"/>
  <c r="AO24" i="31"/>
  <c r="AM24" i="31"/>
  <c r="AL24" i="31"/>
  <c r="AO25" i="31"/>
  <c r="AM25" i="31"/>
  <c r="AL25" i="31"/>
  <c r="AO26" i="31"/>
  <c r="AM26" i="31"/>
  <c r="AL26" i="31"/>
  <c r="AO27" i="31"/>
  <c r="AM27" i="31"/>
  <c r="AL27" i="31"/>
  <c r="AO28" i="31"/>
  <c r="AM28" i="31"/>
  <c r="AL28" i="31"/>
  <c r="AO29" i="31"/>
  <c r="AM29" i="31"/>
  <c r="AL29" i="31"/>
  <c r="AP13" i="31"/>
  <c r="F31" i="31"/>
  <c r="AP12" i="31"/>
  <c r="F30" i="31"/>
  <c r="AP14" i="31"/>
  <c r="F32" i="31"/>
  <c r="J31" i="31"/>
  <c r="K31" i="31"/>
  <c r="J32" i="31"/>
  <c r="K32" i="31"/>
  <c r="F29" i="31"/>
  <c r="J30" i="31"/>
  <c r="K30" i="31"/>
  <c r="AJ12" i="31"/>
  <c r="AH12" i="31"/>
  <c r="AG12" i="31"/>
  <c r="AJ13" i="31"/>
  <c r="AH13" i="31"/>
  <c r="AG13" i="31"/>
  <c r="AJ14" i="31"/>
  <c r="AH14" i="31"/>
  <c r="AG14" i="31"/>
  <c r="AJ15" i="31"/>
  <c r="AH15" i="31"/>
  <c r="AG15" i="31"/>
  <c r="AJ16" i="31"/>
  <c r="AH16" i="31"/>
  <c r="AG16" i="31"/>
  <c r="AJ17" i="31"/>
  <c r="AH17" i="31"/>
  <c r="AG17" i="31"/>
  <c r="AJ18" i="31"/>
  <c r="AH18" i="31"/>
  <c r="AG18" i="31"/>
  <c r="AJ19" i="31"/>
  <c r="C19" i="27" a="1"/>
  <c r="C19" i="27"/>
  <c r="D19" i="27" a="1"/>
  <c r="D19" i="27"/>
  <c r="AH19" i="31"/>
  <c r="AG19" i="31"/>
  <c r="AJ20" i="31"/>
  <c r="C20" i="27" a="1"/>
  <c r="C20" i="27"/>
  <c r="D20" i="27" a="1"/>
  <c r="D20" i="27"/>
  <c r="AH20" i="31"/>
  <c r="AG20" i="31"/>
  <c r="AJ21" i="31"/>
  <c r="AH21" i="31"/>
  <c r="AG21" i="31"/>
  <c r="AJ22" i="31"/>
  <c r="AH22" i="31"/>
  <c r="AG22" i="31"/>
  <c r="AJ23" i="31"/>
  <c r="AH23" i="31"/>
  <c r="AG23" i="31"/>
  <c r="AJ24" i="31"/>
  <c r="AH24" i="31"/>
  <c r="AG24" i="31"/>
  <c r="AJ25" i="31"/>
  <c r="AH25" i="31"/>
  <c r="AG25" i="31"/>
  <c r="AJ26" i="31"/>
  <c r="AH26" i="31"/>
  <c r="AG26" i="31"/>
  <c r="AJ27" i="31"/>
  <c r="AH27" i="31"/>
  <c r="AG27" i="31"/>
  <c r="AJ28" i="31"/>
  <c r="AH28" i="31"/>
  <c r="AG28" i="31"/>
  <c r="AJ29" i="31"/>
  <c r="AH29" i="31"/>
  <c r="AG29" i="31"/>
  <c r="AK13" i="31"/>
  <c r="F26" i="31"/>
  <c r="AK12" i="31"/>
  <c r="F25" i="31"/>
  <c r="AK14" i="31"/>
  <c r="F27" i="31"/>
  <c r="L20" i="31"/>
  <c r="L19" i="31"/>
  <c r="E26" i="31"/>
  <c r="J26" i="31"/>
  <c r="K26" i="31"/>
  <c r="J27" i="31"/>
  <c r="K27" i="31"/>
  <c r="L17" i="31"/>
  <c r="L16" i="31"/>
  <c r="E25" i="31"/>
  <c r="F24" i="31"/>
  <c r="J25" i="31"/>
  <c r="K25" i="31"/>
  <c r="AE12" i="31"/>
  <c r="AC12" i="31"/>
  <c r="AB12" i="31"/>
  <c r="AE13" i="31"/>
  <c r="AC13" i="31"/>
  <c r="AB13" i="31"/>
  <c r="AE14" i="31"/>
  <c r="AC14" i="31"/>
  <c r="AB14" i="31"/>
  <c r="AE15" i="31"/>
  <c r="AC15" i="31"/>
  <c r="AB15" i="31"/>
  <c r="AE16" i="31"/>
  <c r="AC16" i="31"/>
  <c r="AB16" i="31"/>
  <c r="AE17" i="31"/>
  <c r="AC17" i="31"/>
  <c r="AB17" i="31"/>
  <c r="AE18" i="31"/>
  <c r="AC18" i="31"/>
  <c r="AB18" i="31"/>
  <c r="AE19" i="31"/>
  <c r="AC19" i="31"/>
  <c r="AB19" i="31"/>
  <c r="AE20" i="31"/>
  <c r="AC20" i="31"/>
  <c r="AB20" i="31"/>
  <c r="AE21" i="31"/>
  <c r="AC21" i="31"/>
  <c r="AB21" i="31"/>
  <c r="AE22" i="31"/>
  <c r="AC22" i="31"/>
  <c r="AB22" i="31"/>
  <c r="AE23" i="31"/>
  <c r="AC23" i="31"/>
  <c r="AB23" i="31"/>
  <c r="AE24" i="31"/>
  <c r="AC24" i="31"/>
  <c r="AB24" i="31"/>
  <c r="AE25" i="31"/>
  <c r="AC25" i="31"/>
  <c r="AB25" i="31"/>
  <c r="AE26" i="31"/>
  <c r="AC26" i="31"/>
  <c r="AB26" i="31"/>
  <c r="AE27" i="31"/>
  <c r="AC27" i="31"/>
  <c r="AB27" i="31"/>
  <c r="AE28" i="31"/>
  <c r="AC28" i="31"/>
  <c r="AB28" i="31"/>
  <c r="AE29" i="31"/>
  <c r="AC29" i="31"/>
  <c r="AB29" i="31"/>
  <c r="AF13" i="31"/>
  <c r="F21" i="31"/>
  <c r="AF12" i="31"/>
  <c r="F20" i="31"/>
  <c r="AF14" i="31"/>
  <c r="F22" i="31"/>
  <c r="J21" i="31"/>
  <c r="K21" i="31"/>
  <c r="J22" i="31"/>
  <c r="K22" i="31"/>
  <c r="F19" i="31"/>
  <c r="J20" i="31"/>
  <c r="K20" i="31"/>
  <c r="Z12" i="31"/>
  <c r="X12" i="31"/>
  <c r="W12" i="31"/>
  <c r="Z13" i="31"/>
  <c r="X13" i="31"/>
  <c r="W13" i="31"/>
  <c r="Z14" i="31"/>
  <c r="X14" i="31"/>
  <c r="W14" i="31"/>
  <c r="Z15" i="31"/>
  <c r="X15" i="31"/>
  <c r="W15" i="31"/>
  <c r="Z16" i="31"/>
  <c r="X16" i="31"/>
  <c r="W16" i="31"/>
  <c r="Z17" i="31"/>
  <c r="X17" i="31"/>
  <c r="W17" i="31"/>
  <c r="Z18" i="31"/>
  <c r="X18" i="31"/>
  <c r="W18" i="31"/>
  <c r="Z19" i="31"/>
  <c r="X19" i="31"/>
  <c r="W19" i="31"/>
  <c r="Z20" i="31"/>
  <c r="X20" i="31"/>
  <c r="W20" i="31"/>
  <c r="Z21" i="31"/>
  <c r="X21" i="31"/>
  <c r="W21" i="31"/>
  <c r="Z22" i="31"/>
  <c r="X22" i="31"/>
  <c r="W22" i="31"/>
  <c r="Z23" i="31"/>
  <c r="X23" i="31"/>
  <c r="W23" i="31"/>
  <c r="Z24" i="31"/>
  <c r="X24" i="31"/>
  <c r="W24" i="31"/>
  <c r="Z25" i="31"/>
  <c r="X25" i="31"/>
  <c r="W25" i="31"/>
  <c r="Z26" i="31"/>
  <c r="X26" i="31"/>
  <c r="W26" i="31"/>
  <c r="Z27" i="31"/>
  <c r="X27" i="31"/>
  <c r="W27" i="31"/>
  <c r="Z28" i="31"/>
  <c r="X28" i="31"/>
  <c r="W28" i="31"/>
  <c r="Z29" i="31"/>
  <c r="X29" i="31"/>
  <c r="W29" i="31"/>
  <c r="AA13" i="31"/>
  <c r="F16" i="31"/>
  <c r="AA12" i="31"/>
  <c r="F15" i="31"/>
  <c r="AA14" i="31"/>
  <c r="F17" i="31"/>
  <c r="E16" i="31"/>
  <c r="J16" i="31"/>
  <c r="K16" i="31"/>
  <c r="J17" i="31"/>
  <c r="K17" i="31"/>
  <c r="L13" i="31"/>
  <c r="E15" i="31"/>
  <c r="F14" i="31"/>
  <c r="J15" i="31"/>
  <c r="K15" i="31"/>
  <c r="U12" i="31"/>
  <c r="S12" i="31"/>
  <c r="R12" i="31"/>
  <c r="U13" i="31"/>
  <c r="S13" i="31"/>
  <c r="R13" i="31"/>
  <c r="U14" i="31"/>
  <c r="S14" i="31"/>
  <c r="R14" i="31"/>
  <c r="U15" i="31"/>
  <c r="S15" i="31"/>
  <c r="R15" i="31"/>
  <c r="U16" i="31"/>
  <c r="S16" i="31"/>
  <c r="R16" i="31"/>
  <c r="U17" i="31"/>
  <c r="S17" i="31"/>
  <c r="R17" i="31"/>
  <c r="U18" i="31"/>
  <c r="S18" i="31"/>
  <c r="R18" i="31"/>
  <c r="U19" i="31"/>
  <c r="S19" i="31"/>
  <c r="R19" i="31"/>
  <c r="U20" i="31"/>
  <c r="S20" i="31"/>
  <c r="R20" i="31"/>
  <c r="U21" i="31"/>
  <c r="S21" i="31"/>
  <c r="R21" i="31"/>
  <c r="U22" i="31"/>
  <c r="S22" i="31"/>
  <c r="R22" i="31"/>
  <c r="U23" i="31"/>
  <c r="S23" i="31"/>
  <c r="R23" i="31"/>
  <c r="U24" i="31"/>
  <c r="S24" i="31"/>
  <c r="R24" i="31"/>
  <c r="U25" i="31"/>
  <c r="S25" i="31"/>
  <c r="R25" i="31"/>
  <c r="U26" i="31"/>
  <c r="S26" i="31"/>
  <c r="R26" i="31"/>
  <c r="U27" i="31"/>
  <c r="S27" i="31"/>
  <c r="R27" i="31"/>
  <c r="U28" i="31"/>
  <c r="S28" i="31"/>
  <c r="R28" i="31"/>
  <c r="U29" i="31"/>
  <c r="S29" i="31"/>
  <c r="R29" i="31"/>
  <c r="V13" i="31"/>
  <c r="F11" i="31"/>
  <c r="V12" i="31"/>
  <c r="F10" i="31"/>
  <c r="V14" i="31"/>
  <c r="F12" i="31"/>
  <c r="E11" i="31"/>
  <c r="J11" i="31"/>
  <c r="K11" i="31"/>
  <c r="J12" i="31"/>
  <c r="K12" i="31"/>
  <c r="L14" i="31"/>
  <c r="E10" i="31"/>
  <c r="F9" i="31"/>
  <c r="J10" i="31"/>
  <c r="K10" i="31"/>
  <c r="P12" i="31"/>
  <c r="N12" i="31"/>
  <c r="M12" i="31"/>
  <c r="P13" i="31"/>
  <c r="N13" i="31"/>
  <c r="M13" i="31"/>
  <c r="P14" i="31"/>
  <c r="N14" i="31"/>
  <c r="M14" i="31"/>
  <c r="P15" i="31"/>
  <c r="N15" i="31"/>
  <c r="M15" i="31"/>
  <c r="P16" i="31"/>
  <c r="N16" i="31"/>
  <c r="M16" i="31"/>
  <c r="P17" i="31"/>
  <c r="N17" i="31"/>
  <c r="M17" i="31"/>
  <c r="P18" i="31"/>
  <c r="N18" i="31"/>
  <c r="M18" i="31"/>
  <c r="P19" i="31"/>
  <c r="N19" i="31"/>
  <c r="M19" i="31"/>
  <c r="P20" i="31"/>
  <c r="N20" i="31"/>
  <c r="M20" i="31"/>
  <c r="P21" i="31"/>
  <c r="N21" i="31"/>
  <c r="M21" i="31"/>
  <c r="P22" i="31"/>
  <c r="N22" i="31"/>
  <c r="M22" i="31"/>
  <c r="P23" i="31"/>
  <c r="N23" i="31"/>
  <c r="M23" i="31"/>
  <c r="P24" i="31"/>
  <c r="N24" i="31"/>
  <c r="M24" i="31"/>
  <c r="P25" i="31"/>
  <c r="N25" i="31"/>
  <c r="M25" i="31"/>
  <c r="P26" i="31"/>
  <c r="N26" i="31"/>
  <c r="M26" i="31"/>
  <c r="P27" i="31"/>
  <c r="N27" i="31"/>
  <c r="M27" i="31"/>
  <c r="P28" i="31"/>
  <c r="N28" i="31"/>
  <c r="M28" i="31"/>
  <c r="P29" i="31"/>
  <c r="N29" i="31"/>
  <c r="M29" i="31"/>
  <c r="Q13" i="31"/>
  <c r="F6" i="31"/>
  <c r="Q12" i="31"/>
  <c r="F5" i="31"/>
  <c r="Q14" i="31"/>
  <c r="F7" i="31"/>
  <c r="J6" i="31"/>
  <c r="K6" i="31"/>
  <c r="J7" i="31"/>
  <c r="K7" i="31"/>
  <c r="F4" i="31"/>
  <c r="J5" i="31"/>
  <c r="K5" i="31"/>
  <c r="J8" i="31"/>
  <c r="J9" i="31"/>
  <c r="J13" i="31"/>
  <c r="J14" i="31"/>
  <c r="J18" i="31"/>
  <c r="J19" i="31"/>
  <c r="J23" i="31"/>
  <c r="J24" i="31"/>
  <c r="J28" i="31"/>
  <c r="J29" i="31"/>
  <c r="J33" i="31"/>
  <c r="J34" i="31"/>
  <c r="J38" i="31"/>
  <c r="J39" i="31"/>
  <c r="J43" i="31"/>
  <c r="J44" i="31"/>
  <c r="J48" i="31"/>
  <c r="J49" i="31"/>
  <c r="J53" i="31"/>
  <c r="J54" i="31"/>
  <c r="J58" i="31"/>
  <c r="J59" i="31"/>
  <c r="C4" i="31"/>
  <c r="C9" i="31"/>
  <c r="C14" i="31"/>
  <c r="C19" i="31"/>
  <c r="C24" i="31"/>
  <c r="C34" i="31"/>
  <c r="C39" i="31"/>
  <c r="C44" i="31"/>
  <c r="C49" i="31"/>
  <c r="C54" i="31"/>
  <c r="H62" i="31"/>
  <c r="E29" i="27"/>
  <c r="BR29" i="31"/>
  <c r="G62" i="31"/>
  <c r="E62" i="31"/>
  <c r="H61" i="31"/>
  <c r="E23" i="27"/>
  <c r="BR23" i="31"/>
  <c r="G61" i="31"/>
  <c r="E61" i="31"/>
  <c r="H60" i="31"/>
  <c r="E17" i="27"/>
  <c r="BR17" i="31"/>
  <c r="G60" i="31"/>
  <c r="E60" i="31"/>
  <c r="H57" i="31"/>
  <c r="E25" i="27"/>
  <c r="BM25" i="31"/>
  <c r="BM29" i="31"/>
  <c r="E26" i="27"/>
  <c r="BM26" i="31"/>
  <c r="G57" i="31"/>
  <c r="H56" i="31"/>
  <c r="E22" i="27"/>
  <c r="BM22" i="31"/>
  <c r="BM23" i="31"/>
  <c r="G56" i="31"/>
  <c r="H55" i="31"/>
  <c r="E13" i="27"/>
  <c r="BM13" i="31"/>
  <c r="BM17" i="31"/>
  <c r="E14" i="27"/>
  <c r="BM14" i="31"/>
  <c r="G55" i="31"/>
  <c r="E55" i="31"/>
  <c r="H52" i="31"/>
  <c r="BH29" i="31"/>
  <c r="E28" i="27"/>
  <c r="BH28" i="31"/>
  <c r="BH25" i="31"/>
  <c r="G52" i="31"/>
  <c r="L28" i="31"/>
  <c r="H51" i="31"/>
  <c r="BH23" i="31"/>
  <c r="BH22" i="31"/>
  <c r="G51" i="31"/>
  <c r="H50" i="31"/>
  <c r="BH17" i="31"/>
  <c r="E16" i="27"/>
  <c r="BH16" i="31"/>
  <c r="BH13" i="31"/>
  <c r="G50" i="31"/>
  <c r="E50" i="31"/>
  <c r="H47" i="31"/>
  <c r="BC25" i="31"/>
  <c r="E27" i="27"/>
  <c r="BC27" i="31"/>
  <c r="G47" i="31"/>
  <c r="L27" i="31"/>
  <c r="E47" i="31"/>
  <c r="H46" i="31"/>
  <c r="BC22" i="31"/>
  <c r="E21" i="27"/>
  <c r="BC21" i="31"/>
  <c r="G46" i="31"/>
  <c r="L21" i="31"/>
  <c r="E46" i="31"/>
  <c r="H45" i="31"/>
  <c r="BC13" i="31"/>
  <c r="E15" i="27"/>
  <c r="BC15" i="31"/>
  <c r="G45" i="31"/>
  <c r="L15" i="31"/>
  <c r="E45" i="31"/>
  <c r="H42" i="31"/>
  <c r="AX26" i="31"/>
  <c r="AX28" i="31"/>
  <c r="G42" i="31"/>
  <c r="E42" i="31"/>
  <c r="H41" i="31"/>
  <c r="AX23" i="31"/>
  <c r="AX22" i="31"/>
  <c r="G41" i="31"/>
  <c r="E41" i="31"/>
  <c r="H40" i="31"/>
  <c r="AX14" i="31"/>
  <c r="AX16" i="31"/>
  <c r="G40" i="31"/>
  <c r="E40" i="31"/>
  <c r="H37" i="31"/>
  <c r="AS28" i="31"/>
  <c r="E24" i="27"/>
  <c r="AS24" i="31"/>
  <c r="G37" i="31"/>
  <c r="L24" i="31"/>
  <c r="E37" i="31"/>
  <c r="H36" i="31"/>
  <c r="AS22" i="31"/>
  <c r="AS27" i="31"/>
  <c r="AS21" i="31"/>
  <c r="G36" i="31"/>
  <c r="E36" i="31"/>
  <c r="H35" i="31"/>
  <c r="AS16" i="31"/>
  <c r="AS15" i="31"/>
  <c r="E12" i="27"/>
  <c r="AS12" i="31"/>
  <c r="G35" i="31"/>
  <c r="L12" i="31"/>
  <c r="E35" i="31"/>
  <c r="H32" i="31"/>
  <c r="AN24" i="31"/>
  <c r="G32" i="31"/>
  <c r="E32" i="31"/>
  <c r="H31" i="31"/>
  <c r="E18" i="27"/>
  <c r="AN18" i="31"/>
  <c r="G31" i="31"/>
  <c r="L18" i="31"/>
  <c r="E31" i="31"/>
  <c r="H30" i="31"/>
  <c r="AN15" i="31"/>
  <c r="G30" i="31"/>
  <c r="E30" i="31"/>
  <c r="H27" i="31"/>
  <c r="AI25" i="31"/>
  <c r="AI26" i="31"/>
  <c r="G27" i="31"/>
  <c r="E27" i="31"/>
  <c r="H26" i="31"/>
  <c r="E19" i="27"/>
  <c r="AI19" i="31"/>
  <c r="E20" i="27"/>
  <c r="AI20" i="31"/>
  <c r="G26" i="31"/>
  <c r="H25" i="31"/>
  <c r="AI16" i="31"/>
  <c r="AI17" i="31"/>
  <c r="G25" i="31"/>
  <c r="H22" i="31"/>
  <c r="AD27" i="31"/>
  <c r="G22" i="31"/>
  <c r="E22" i="31"/>
  <c r="H21" i="31"/>
  <c r="AD18" i="31"/>
  <c r="G21" i="31"/>
  <c r="E21" i="31"/>
  <c r="H20" i="31"/>
  <c r="AD12" i="31"/>
  <c r="G20" i="31"/>
  <c r="E20" i="31"/>
  <c r="H17" i="31"/>
  <c r="Y26" i="31"/>
  <c r="Y25" i="31"/>
  <c r="Y28" i="31"/>
  <c r="G17" i="31"/>
  <c r="E17" i="31"/>
  <c r="H16" i="31"/>
  <c r="Y20" i="31"/>
  <c r="Y19" i="31"/>
  <c r="G16" i="31"/>
  <c r="H15" i="31"/>
  <c r="Y17" i="31"/>
  <c r="Y16" i="31"/>
  <c r="Y13" i="31"/>
  <c r="G15" i="31"/>
  <c r="H12" i="31"/>
  <c r="T29" i="31"/>
  <c r="T28" i="31"/>
  <c r="T25" i="31"/>
  <c r="G12" i="31"/>
  <c r="E12" i="31"/>
  <c r="H11" i="31"/>
  <c r="T20" i="31"/>
  <c r="T19" i="31"/>
  <c r="G11" i="31"/>
  <c r="H10" i="31"/>
  <c r="T14" i="31"/>
  <c r="T13" i="31"/>
  <c r="T16" i="31"/>
  <c r="G10" i="31"/>
  <c r="BM12" i="31"/>
  <c r="BM15" i="31"/>
  <c r="BM16" i="31"/>
  <c r="BM18" i="31"/>
  <c r="BM19" i="31"/>
  <c r="BM20" i="31"/>
  <c r="BM21" i="31"/>
  <c r="BM24" i="31"/>
  <c r="BM27" i="31"/>
  <c r="BM28" i="31"/>
  <c r="BH12" i="31"/>
  <c r="BH14" i="31"/>
  <c r="BH15" i="31"/>
  <c r="BH18" i="31"/>
  <c r="BH19" i="31"/>
  <c r="BH20" i="31"/>
  <c r="BH21" i="31"/>
  <c r="BH24" i="31"/>
  <c r="BH26" i="31"/>
  <c r="BH27" i="31"/>
  <c r="BC12" i="31"/>
  <c r="BC14" i="31"/>
  <c r="BC16" i="31"/>
  <c r="BC17" i="31"/>
  <c r="BC18" i="31"/>
  <c r="BC19" i="31"/>
  <c r="BC20" i="31"/>
  <c r="BC23" i="31"/>
  <c r="BC24" i="31"/>
  <c r="BC26" i="31"/>
  <c r="BC28" i="31"/>
  <c r="BC29" i="31"/>
  <c r="AX12" i="31"/>
  <c r="AX13" i="31"/>
  <c r="AX15" i="31"/>
  <c r="AX17" i="31"/>
  <c r="AX18" i="31"/>
  <c r="AX19" i="31"/>
  <c r="AX20" i="31"/>
  <c r="AX21" i="31"/>
  <c r="AX24" i="31"/>
  <c r="AX25" i="31"/>
  <c r="AX27" i="31"/>
  <c r="AX29" i="31"/>
  <c r="AS13" i="31"/>
  <c r="AS14" i="31"/>
  <c r="AS17" i="31"/>
  <c r="AS18" i="31"/>
  <c r="AS19" i="31"/>
  <c r="AS20" i="31"/>
  <c r="AS23" i="31"/>
  <c r="AS25" i="31"/>
  <c r="AS26" i="31"/>
  <c r="AS29" i="31"/>
  <c r="AI12" i="31"/>
  <c r="AI13" i="31"/>
  <c r="AI14" i="31"/>
  <c r="AI15" i="31"/>
  <c r="AI18" i="31"/>
  <c r="AI21" i="31"/>
  <c r="AI22" i="31"/>
  <c r="AI23" i="31"/>
  <c r="AI24" i="31"/>
  <c r="AI27" i="31"/>
  <c r="AI28" i="31"/>
  <c r="AI29" i="31"/>
  <c r="AD13" i="31"/>
  <c r="AD14" i="31"/>
  <c r="AD15" i="31"/>
  <c r="AD16" i="31"/>
  <c r="AD17" i="31"/>
  <c r="AD19" i="31"/>
  <c r="AD20" i="31"/>
  <c r="AD21" i="31"/>
  <c r="AD22" i="31"/>
  <c r="AD23" i="31"/>
  <c r="AD24" i="31"/>
  <c r="AD25" i="31"/>
  <c r="AD26" i="31"/>
  <c r="AD28" i="31"/>
  <c r="AD29" i="31"/>
  <c r="Y12" i="31"/>
  <c r="Y14" i="31"/>
  <c r="Y15" i="31"/>
  <c r="Y18" i="31"/>
  <c r="Y21" i="31"/>
  <c r="Y22" i="31"/>
  <c r="Y23" i="31"/>
  <c r="Y24" i="31"/>
  <c r="Y27" i="31"/>
  <c r="Y29" i="31"/>
  <c r="T12" i="31"/>
  <c r="T15" i="31"/>
  <c r="T17" i="31"/>
  <c r="T18" i="31"/>
  <c r="T21" i="31"/>
  <c r="T22" i="31"/>
  <c r="T23" i="31"/>
  <c r="T24" i="31"/>
  <c r="T26" i="31"/>
  <c r="T27" i="31"/>
  <c r="O28" i="31"/>
  <c r="O19" i="31"/>
  <c r="O13" i="31"/>
  <c r="E46" i="9"/>
  <c r="H59" i="31"/>
  <c r="E48" i="9"/>
  <c r="G59" i="31"/>
  <c r="E60" i="9"/>
  <c r="E59" i="31"/>
  <c r="H54" i="31"/>
  <c r="G54" i="31"/>
  <c r="E54" i="31"/>
  <c r="H49" i="31"/>
  <c r="G49" i="31"/>
  <c r="E49" i="31"/>
  <c r="H44" i="31"/>
  <c r="G44" i="31"/>
  <c r="E44" i="31"/>
  <c r="H39" i="31"/>
  <c r="G39" i="31"/>
  <c r="E39" i="31"/>
  <c r="H34" i="31"/>
  <c r="G34" i="31"/>
  <c r="E34" i="31"/>
  <c r="H29" i="31"/>
  <c r="G29" i="31"/>
  <c r="E29" i="31"/>
  <c r="H24" i="31"/>
  <c r="G24" i="31"/>
  <c r="E24" i="31"/>
  <c r="H19" i="31"/>
  <c r="G19" i="31"/>
  <c r="E19" i="31"/>
  <c r="H14" i="31"/>
  <c r="G14" i="31"/>
  <c r="E14" i="31"/>
  <c r="H9" i="31"/>
  <c r="G9" i="31"/>
  <c r="E9" i="31"/>
  <c r="H7" i="31"/>
  <c r="H6" i="31"/>
  <c r="H5" i="31"/>
  <c r="O29" i="31"/>
  <c r="G7" i="31"/>
  <c r="O20" i="31"/>
  <c r="G6" i="31"/>
  <c r="O14" i="31"/>
  <c r="G5" i="31"/>
  <c r="E7" i="31"/>
  <c r="E6" i="31"/>
  <c r="E5" i="31"/>
  <c r="BT29" i="31"/>
  <c r="BT28" i="31"/>
  <c r="BT27" i="31"/>
  <c r="BT26" i="31"/>
  <c r="BT25" i="31"/>
  <c r="BT24" i="31"/>
  <c r="BT23" i="31"/>
  <c r="BT22" i="31"/>
  <c r="BT21" i="31"/>
  <c r="BT20" i="31"/>
  <c r="BT19" i="31"/>
  <c r="BT18" i="31"/>
  <c r="BT17" i="31"/>
  <c r="BT16" i="31"/>
  <c r="BT15" i="31"/>
  <c r="BO29" i="31"/>
  <c r="BO28" i="31"/>
  <c r="BO27" i="31"/>
  <c r="BO26" i="31"/>
  <c r="BO25" i="31"/>
  <c r="BO24" i="31"/>
  <c r="BO23" i="31"/>
  <c r="BO22" i="31"/>
  <c r="BO21" i="31"/>
  <c r="BO20" i="31"/>
  <c r="BO19" i="31"/>
  <c r="BO18" i="31"/>
  <c r="BO17" i="31"/>
  <c r="BO16" i="31"/>
  <c r="BO15" i="31"/>
  <c r="BJ29" i="31"/>
  <c r="BJ28" i="31"/>
  <c r="BJ27" i="31"/>
  <c r="BJ26" i="31"/>
  <c r="BJ25" i="31"/>
  <c r="BJ24" i="31"/>
  <c r="BJ23" i="31"/>
  <c r="BJ22" i="31"/>
  <c r="BJ21" i="31"/>
  <c r="BJ20" i="31"/>
  <c r="BJ19" i="31"/>
  <c r="BJ18" i="31"/>
  <c r="BJ17" i="31"/>
  <c r="BJ16" i="31"/>
  <c r="BJ15" i="31"/>
  <c r="BE29" i="31"/>
  <c r="BE28" i="31"/>
  <c r="BE27" i="31"/>
  <c r="BE26" i="31"/>
  <c r="BE25" i="31"/>
  <c r="BE24" i="31"/>
  <c r="BE23" i="31"/>
  <c r="BE22" i="31"/>
  <c r="BE21" i="31"/>
  <c r="BE20" i="31"/>
  <c r="BE19" i="31"/>
  <c r="BE18" i="31"/>
  <c r="BE17" i="31"/>
  <c r="BE16" i="31"/>
  <c r="BE15" i="31"/>
  <c r="AZ29" i="31"/>
  <c r="AZ28" i="31"/>
  <c r="AZ27" i="31"/>
  <c r="AZ26" i="31"/>
  <c r="AZ25" i="31"/>
  <c r="AZ24" i="31"/>
  <c r="AZ23" i="31"/>
  <c r="AZ22" i="31"/>
  <c r="AZ21" i="31"/>
  <c r="AZ20" i="31"/>
  <c r="AZ19" i="31"/>
  <c r="AZ18" i="31"/>
  <c r="AZ17" i="31"/>
  <c r="AZ16" i="31"/>
  <c r="AZ15" i="31"/>
  <c r="AU29" i="31"/>
  <c r="AU28" i="31"/>
  <c r="AU27" i="31"/>
  <c r="AU26" i="31"/>
  <c r="AU25" i="31"/>
  <c r="AU24" i="31"/>
  <c r="AU23" i="31"/>
  <c r="AU22" i="31"/>
  <c r="AU21" i="31"/>
  <c r="AU20" i="31"/>
  <c r="AU19" i="31"/>
  <c r="AU18" i="31"/>
  <c r="AU17" i="31"/>
  <c r="AU16" i="31"/>
  <c r="AU15" i="31"/>
  <c r="AP29" i="31"/>
  <c r="AP28" i="31"/>
  <c r="AP27" i="31"/>
  <c r="AP26" i="31"/>
  <c r="AP25" i="31"/>
  <c r="AP24" i="31"/>
  <c r="AP23" i="31"/>
  <c r="AP22" i="31"/>
  <c r="AP21" i="31"/>
  <c r="AP20" i="31"/>
  <c r="AP19" i="31"/>
  <c r="AP18" i="31"/>
  <c r="AP17" i="31"/>
  <c r="AP16" i="31"/>
  <c r="AP15" i="31"/>
  <c r="AK29" i="31"/>
  <c r="AK28" i="31"/>
  <c r="AK27" i="31"/>
  <c r="AK26" i="31"/>
  <c r="AK25" i="31"/>
  <c r="AK24" i="31"/>
  <c r="AK23" i="31"/>
  <c r="AK22" i="31"/>
  <c r="AK21" i="31"/>
  <c r="AK20" i="31"/>
  <c r="AK19" i="31"/>
  <c r="AK18" i="31"/>
  <c r="AK17" i="31"/>
  <c r="AK16" i="31"/>
  <c r="AK15" i="31"/>
  <c r="AF29" i="31"/>
  <c r="AF28" i="31"/>
  <c r="AF27" i="31"/>
  <c r="AF26" i="31"/>
  <c r="AF25" i="31"/>
  <c r="AF24" i="31"/>
  <c r="AF23" i="31"/>
  <c r="AF22" i="31"/>
  <c r="AF21" i="31"/>
  <c r="AF20" i="31"/>
  <c r="AF19" i="31"/>
  <c r="AF18" i="31"/>
  <c r="AF17" i="31"/>
  <c r="AF16" i="31"/>
  <c r="AF15" i="31"/>
  <c r="AA29" i="31"/>
  <c r="AA28" i="31"/>
  <c r="AA27" i="31"/>
  <c r="AA26" i="31"/>
  <c r="AA25" i="31"/>
  <c r="AA24" i="31"/>
  <c r="AA23" i="31"/>
  <c r="AA22" i="31"/>
  <c r="AA21" i="31"/>
  <c r="AA20" i="31"/>
  <c r="AA19" i="31"/>
  <c r="AA18" i="31"/>
  <c r="AA17" i="31"/>
  <c r="AA16" i="31"/>
  <c r="AA15" i="31"/>
  <c r="V29" i="31"/>
  <c r="V28" i="31"/>
  <c r="V27" i="31"/>
  <c r="V26" i="31"/>
  <c r="V25" i="31"/>
  <c r="V24" i="31"/>
  <c r="V23" i="31"/>
  <c r="V22" i="31"/>
  <c r="V21" i="31"/>
  <c r="V20" i="31"/>
  <c r="V19" i="31"/>
  <c r="V18" i="31"/>
  <c r="V17" i="31"/>
  <c r="V16" i="31"/>
  <c r="V15" i="31"/>
  <c r="H4" i="31"/>
  <c r="E4" i="31"/>
  <c r="E9" i="9"/>
  <c r="L11" i="31"/>
  <c r="BS11" i="31"/>
  <c r="BN11" i="31"/>
  <c r="BI11" i="31"/>
  <c r="BD11" i="31"/>
  <c r="AY11" i="31"/>
  <c r="AT11" i="31"/>
  <c r="AO11" i="31"/>
  <c r="AJ11" i="31"/>
  <c r="AE11" i="31"/>
  <c r="Z11" i="31"/>
  <c r="U11" i="31"/>
  <c r="P11" i="31"/>
  <c r="BR28" i="31"/>
  <c r="BR27" i="31"/>
  <c r="BR26" i="31"/>
  <c r="BR25" i="31"/>
  <c r="BR24" i="31"/>
  <c r="BR22" i="31"/>
  <c r="BR21" i="31"/>
  <c r="BR20" i="31"/>
  <c r="BR19" i="31"/>
  <c r="BR18" i="31"/>
  <c r="BR16" i="31"/>
  <c r="BR15" i="31"/>
  <c r="BR14" i="31"/>
  <c r="BR13" i="31"/>
  <c r="BR12" i="31"/>
  <c r="AN29" i="31"/>
  <c r="AN28" i="31"/>
  <c r="AN27" i="31"/>
  <c r="AN26" i="31"/>
  <c r="AN25" i="31"/>
  <c r="AN23" i="31"/>
  <c r="AN22" i="31"/>
  <c r="AN21" i="31"/>
  <c r="AN20" i="31"/>
  <c r="AN19" i="31"/>
  <c r="AN17" i="31"/>
  <c r="AN16" i="31"/>
  <c r="AN14" i="31"/>
  <c r="AN13" i="31"/>
  <c r="AN12" i="31"/>
  <c r="G4" i="31"/>
  <c r="O27" i="31"/>
  <c r="O26" i="31"/>
  <c r="O25" i="31"/>
  <c r="O24" i="31"/>
  <c r="O23" i="31"/>
  <c r="O22" i="31"/>
  <c r="O21" i="31"/>
  <c r="O18" i="31"/>
  <c r="O17" i="31"/>
  <c r="O16" i="31"/>
  <c r="O15" i="31"/>
  <c r="O12" i="31"/>
  <c r="G12" i="21"/>
  <c r="I12" i="21"/>
  <c r="S12" i="21"/>
  <c r="U12" i="21"/>
  <c r="G34" i="21"/>
  <c r="T12" i="21"/>
  <c r="G33" i="21"/>
  <c r="G13" i="21"/>
  <c r="I13" i="21"/>
  <c r="S13" i="21"/>
  <c r="U13" i="21"/>
  <c r="G32" i="21"/>
  <c r="T13" i="21"/>
  <c r="G31" i="21"/>
  <c r="G14" i="21"/>
  <c r="I14" i="21"/>
  <c r="S14" i="21"/>
  <c r="U14" i="21"/>
  <c r="G30" i="21"/>
  <c r="T14" i="21"/>
  <c r="G29" i="21"/>
  <c r="G15" i="21"/>
  <c r="I15" i="21"/>
  <c r="S15" i="21"/>
  <c r="U15" i="21"/>
  <c r="G28" i="21"/>
  <c r="T15" i="21"/>
  <c r="G27" i="21"/>
  <c r="G12" i="26"/>
  <c r="I12" i="26"/>
  <c r="S12" i="26"/>
  <c r="U12" i="26"/>
  <c r="G15" i="26"/>
  <c r="G13" i="26"/>
  <c r="I13" i="26"/>
  <c r="S13" i="26"/>
  <c r="U13" i="26"/>
  <c r="I15" i="26"/>
  <c r="S15" i="26"/>
  <c r="U15" i="26"/>
  <c r="G25" i="26"/>
  <c r="T15" i="26"/>
  <c r="G24" i="26"/>
  <c r="T12" i="26"/>
  <c r="G16" i="26"/>
  <c r="T13" i="26"/>
  <c r="I16" i="26"/>
  <c r="S16" i="26"/>
  <c r="U16" i="26"/>
  <c r="G23" i="26"/>
  <c r="T16" i="26"/>
  <c r="G22" i="26"/>
  <c r="V16" i="26"/>
  <c r="V15" i="26"/>
  <c r="V13" i="26"/>
  <c r="V12" i="26"/>
  <c r="G12" i="24"/>
  <c r="I12" i="24"/>
  <c r="S12" i="24"/>
  <c r="U12" i="24"/>
  <c r="G38" i="24"/>
  <c r="G13" i="24"/>
  <c r="I13" i="24"/>
  <c r="S13" i="24"/>
  <c r="U13" i="24"/>
  <c r="G36" i="24"/>
  <c r="G14" i="24"/>
  <c r="I14" i="24"/>
  <c r="S14" i="24"/>
  <c r="U14" i="24"/>
  <c r="G34" i="24"/>
  <c r="T12" i="24"/>
  <c r="G37" i="24"/>
  <c r="T13" i="24"/>
  <c r="G35" i="24"/>
  <c r="T14" i="24"/>
  <c r="G33" i="24"/>
  <c r="G15" i="24"/>
  <c r="I15" i="24"/>
  <c r="S15" i="24"/>
  <c r="T15" i="24"/>
  <c r="U15" i="24"/>
  <c r="G32" i="24"/>
  <c r="G31" i="24"/>
  <c r="G17" i="24"/>
  <c r="I17" i="24"/>
  <c r="S17" i="24"/>
  <c r="U17" i="24"/>
  <c r="G20" i="24"/>
  <c r="G18" i="24"/>
  <c r="I18" i="24"/>
  <c r="S18" i="24"/>
  <c r="U18" i="24"/>
  <c r="I20" i="24"/>
  <c r="S20" i="24"/>
  <c r="U20" i="24"/>
  <c r="G30" i="24"/>
  <c r="T20" i="24"/>
  <c r="G29" i="24"/>
  <c r="T17" i="24"/>
  <c r="G21" i="24"/>
  <c r="T18" i="24"/>
  <c r="I21" i="24"/>
  <c r="S21" i="24"/>
  <c r="U21" i="24"/>
  <c r="G28" i="24"/>
  <c r="T21" i="24"/>
  <c r="G27" i="24"/>
  <c r="V21" i="24"/>
  <c r="V20" i="24"/>
  <c r="V18" i="24"/>
  <c r="V17" i="24"/>
  <c r="V15" i="24"/>
  <c r="V14" i="24"/>
  <c r="V13" i="24"/>
  <c r="V12" i="24"/>
  <c r="G16" i="21"/>
  <c r="I16" i="21"/>
  <c r="S16" i="21"/>
  <c r="U16" i="21"/>
  <c r="G26" i="21"/>
  <c r="T16" i="21"/>
  <c r="G25" i="21"/>
  <c r="G17" i="21"/>
  <c r="I17" i="21"/>
  <c r="S17" i="21"/>
  <c r="U17" i="21"/>
  <c r="G24" i="21"/>
  <c r="T17" i="21"/>
  <c r="G23" i="21"/>
  <c r="V13" i="21"/>
  <c r="V14" i="21"/>
  <c r="V15" i="21"/>
  <c r="V16" i="21"/>
  <c r="V17" i="21"/>
  <c r="V12" i="21"/>
  <c r="E71" i="9"/>
  <c r="K12" i="21"/>
  <c r="N12" i="21"/>
  <c r="Q68" i="3"/>
  <c r="F8" i="3"/>
  <c r="Q68" i="17"/>
  <c r="F8" i="17"/>
  <c r="BW51" i="3"/>
  <c r="BR56" i="3"/>
  <c r="BW29" i="3"/>
  <c r="BR34" i="3"/>
  <c r="C21" i="3"/>
  <c r="BW40" i="3"/>
  <c r="BR45" i="3"/>
  <c r="AD17" i="3"/>
  <c r="AG17" i="3"/>
  <c r="AE17" i="3"/>
  <c r="AE18" i="3"/>
  <c r="AE19" i="3"/>
  <c r="AE20" i="3"/>
  <c r="AE21" i="3"/>
  <c r="AE22"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AD25" i="3"/>
  <c r="AG25" i="3"/>
  <c r="AF25" i="3"/>
  <c r="AH25" i="3"/>
  <c r="Q64" i="30"/>
  <c r="F4" i="30"/>
  <c r="V64" i="30"/>
  <c r="C21" i="17"/>
  <c r="BW51" i="17"/>
  <c r="BR56" i="17"/>
  <c r="BW40" i="17"/>
  <c r="BW29" i="17"/>
  <c r="BR34" i="17"/>
  <c r="BR45" i="17"/>
  <c r="AD17" i="17"/>
  <c r="AG17" i="17"/>
  <c r="AE17" i="17"/>
  <c r="AE18" i="17"/>
  <c r="AE19" i="17"/>
  <c r="AE20" i="17"/>
  <c r="AE21" i="17"/>
  <c r="AE22" i="17"/>
  <c r="AF17" i="17"/>
  <c r="AH17" i="17"/>
  <c r="AD18" i="17"/>
  <c r="AG18" i="17"/>
  <c r="AF18" i="17"/>
  <c r="AH18" i="17"/>
  <c r="AD19" i="17"/>
  <c r="AG19" i="17"/>
  <c r="AF19" i="17"/>
  <c r="AH19" i="17"/>
  <c r="AD20" i="17"/>
  <c r="AG20" i="17"/>
  <c r="AF20" i="17"/>
  <c r="AH20" i="17"/>
  <c r="AD21" i="17"/>
  <c r="AG21" i="17"/>
  <c r="AF21" i="17"/>
  <c r="AH21" i="17"/>
  <c r="AD22" i="17"/>
  <c r="AG22" i="17"/>
  <c r="AF22" i="17"/>
  <c r="AH22" i="17"/>
  <c r="AD23" i="17"/>
  <c r="AG23" i="17"/>
  <c r="AF23" i="17"/>
  <c r="AH23" i="17"/>
  <c r="AD24" i="17"/>
  <c r="AG24" i="17"/>
  <c r="AF24" i="17"/>
  <c r="AH24" i="17"/>
  <c r="AD25" i="17"/>
  <c r="AG25" i="17"/>
  <c r="AF25" i="17"/>
  <c r="AH25" i="17"/>
  <c r="W64" i="30"/>
  <c r="X64" i="30"/>
  <c r="Y64" i="30"/>
  <c r="AA64" i="30"/>
  <c r="AE64" i="30"/>
  <c r="V65" i="30"/>
  <c r="V66" i="30"/>
  <c r="V67" i="30"/>
  <c r="V68" i="30"/>
  <c r="V69" i="30"/>
  <c r="V70" i="30"/>
  <c r="V71" i="30"/>
  <c r="V72" i="30"/>
  <c r="V73" i="30"/>
  <c r="V74" i="30"/>
  <c r="V75" i="30"/>
  <c r="V76" i="30"/>
  <c r="V77" i="30"/>
  <c r="V78" i="30"/>
  <c r="V79" i="30"/>
  <c r="V80" i="30"/>
  <c r="V81" i="30"/>
  <c r="W65" i="30"/>
  <c r="X65" i="30"/>
  <c r="Y65" i="30"/>
  <c r="AA65" i="30"/>
  <c r="AE65" i="30"/>
  <c r="W66" i="30"/>
  <c r="X66" i="30"/>
  <c r="Y66" i="30"/>
  <c r="AA66" i="30"/>
  <c r="AE66" i="30"/>
  <c r="W67" i="30"/>
  <c r="X67" i="30"/>
  <c r="Y67" i="30"/>
  <c r="AA67" i="30"/>
  <c r="AE67" i="30"/>
  <c r="W68" i="30"/>
  <c r="X68" i="30"/>
  <c r="Y68" i="30"/>
  <c r="AA68" i="30"/>
  <c r="AE68" i="30"/>
  <c r="W69" i="30"/>
  <c r="X69" i="30"/>
  <c r="Y69" i="30"/>
  <c r="AA69" i="30"/>
  <c r="AE69" i="30"/>
  <c r="W70" i="30"/>
  <c r="X70" i="30"/>
  <c r="Y70" i="30"/>
  <c r="AA70" i="30"/>
  <c r="AE70" i="30"/>
  <c r="W71" i="30"/>
  <c r="X71" i="30"/>
  <c r="Y71" i="30"/>
  <c r="AA71" i="30"/>
  <c r="AE71" i="30"/>
  <c r="W72" i="30"/>
  <c r="X72" i="30"/>
  <c r="Y72" i="30"/>
  <c r="AA72" i="30"/>
  <c r="AE72" i="30"/>
  <c r="W73" i="30"/>
  <c r="X73" i="30"/>
  <c r="Y73" i="30"/>
  <c r="AA73" i="30"/>
  <c r="AE73" i="30"/>
  <c r="W74" i="30"/>
  <c r="X74" i="30"/>
  <c r="Y74" i="30"/>
  <c r="AA74" i="30"/>
  <c r="AE74" i="30"/>
  <c r="W75" i="30"/>
  <c r="X75" i="30"/>
  <c r="Y75" i="30"/>
  <c r="AA75" i="30"/>
  <c r="AE75" i="30"/>
  <c r="W76" i="30"/>
  <c r="X76" i="30"/>
  <c r="Y76" i="30"/>
  <c r="AA76" i="30"/>
  <c r="AE76" i="30"/>
  <c r="W77" i="30"/>
  <c r="X77" i="30"/>
  <c r="Y77" i="30"/>
  <c r="AA77" i="30"/>
  <c r="AE77" i="30"/>
  <c r="W78" i="30"/>
  <c r="X78" i="30"/>
  <c r="Y78" i="30"/>
  <c r="AA78" i="30"/>
  <c r="AE78" i="30"/>
  <c r="W79" i="30"/>
  <c r="X79" i="30"/>
  <c r="Y79" i="30"/>
  <c r="AA79" i="30"/>
  <c r="AE79" i="30"/>
  <c r="W80" i="30"/>
  <c r="X80" i="30"/>
  <c r="Y80" i="30"/>
  <c r="AA80" i="30"/>
  <c r="AE80" i="30"/>
  <c r="W81" i="30"/>
  <c r="X81" i="30"/>
  <c r="Y81" i="30"/>
  <c r="AA81" i="30"/>
  <c r="AE81" i="30"/>
  <c r="AF64" i="30"/>
  <c r="AF65" i="30"/>
  <c r="AF66" i="30"/>
  <c r="AF67" i="30"/>
  <c r="AF68" i="30"/>
  <c r="AF69" i="30"/>
  <c r="AF70" i="30"/>
  <c r="AF71" i="30"/>
  <c r="AF72" i="30"/>
  <c r="AF73" i="30"/>
  <c r="AF74" i="30"/>
  <c r="AF75" i="30"/>
  <c r="AF76" i="30"/>
  <c r="AF77" i="30"/>
  <c r="AF78" i="30"/>
  <c r="AF79" i="30"/>
  <c r="AF80" i="30"/>
  <c r="AF81" i="30"/>
  <c r="J4" i="30"/>
  <c r="K17" i="30"/>
  <c r="G4" i="30"/>
  <c r="H4" i="30"/>
  <c r="I4" i="30"/>
  <c r="J17" i="30"/>
  <c r="H17" i="30"/>
  <c r="L17" i="30"/>
  <c r="Q65" i="30"/>
  <c r="F5" i="30"/>
  <c r="J5" i="30"/>
  <c r="K18" i="30"/>
  <c r="G5" i="30"/>
  <c r="H5" i="30"/>
  <c r="I5" i="30"/>
  <c r="J18" i="30"/>
  <c r="H18" i="30"/>
  <c r="L18" i="30"/>
  <c r="Q66" i="30"/>
  <c r="F6" i="30"/>
  <c r="J6" i="30"/>
  <c r="K19" i="30"/>
  <c r="G6" i="30"/>
  <c r="H6" i="30"/>
  <c r="I6" i="30"/>
  <c r="J19" i="30"/>
  <c r="H19" i="30"/>
  <c r="L19" i="30"/>
  <c r="Q67" i="30"/>
  <c r="F7" i="30"/>
  <c r="J7" i="30"/>
  <c r="K20" i="30"/>
  <c r="G7" i="30"/>
  <c r="H7" i="30"/>
  <c r="I7" i="30"/>
  <c r="J20" i="30"/>
  <c r="H20" i="30"/>
  <c r="L20" i="30"/>
  <c r="J8" i="30"/>
  <c r="K21" i="30"/>
  <c r="G8" i="30"/>
  <c r="H8" i="30"/>
  <c r="I8" i="30"/>
  <c r="J21" i="30"/>
  <c r="H21" i="30"/>
  <c r="L21" i="30"/>
  <c r="J9" i="30"/>
  <c r="K22" i="30"/>
  <c r="G9" i="30"/>
  <c r="H9" i="30"/>
  <c r="I9" i="30"/>
  <c r="J22" i="30"/>
  <c r="H22" i="30"/>
  <c r="L22" i="30"/>
  <c r="J10" i="30"/>
  <c r="K23" i="30"/>
  <c r="G10" i="30"/>
  <c r="H10" i="30"/>
  <c r="I10" i="30"/>
  <c r="J23" i="30"/>
  <c r="H23" i="30"/>
  <c r="L23" i="30"/>
  <c r="J11" i="30"/>
  <c r="K24" i="30"/>
  <c r="G11" i="30"/>
  <c r="H11" i="30"/>
  <c r="I11" i="30"/>
  <c r="J24" i="30"/>
  <c r="H24" i="30"/>
  <c r="L24" i="30"/>
  <c r="J12" i="30"/>
  <c r="K25" i="30"/>
  <c r="G12" i="30"/>
  <c r="H12" i="30"/>
  <c r="I12" i="30"/>
  <c r="J25" i="30"/>
  <c r="H25" i="30"/>
  <c r="L25" i="30"/>
  <c r="AI15" i="30"/>
  <c r="M17" i="30"/>
  <c r="N17" i="30" a="1"/>
  <c r="N17" i="30"/>
  <c r="C17" i="30"/>
  <c r="O17" i="30"/>
  <c r="M18" i="30"/>
  <c r="N18" i="30" a="1"/>
  <c r="N18" i="30"/>
  <c r="C18" i="30"/>
  <c r="O18" i="30"/>
  <c r="M19" i="30"/>
  <c r="N19" i="30" a="1"/>
  <c r="N19" i="30"/>
  <c r="C19" i="30"/>
  <c r="O19" i="30"/>
  <c r="M20" i="30"/>
  <c r="N20" i="30" a="1"/>
  <c r="N20" i="30"/>
  <c r="C20" i="30"/>
  <c r="O20" i="30"/>
  <c r="M21" i="30"/>
  <c r="N21" i="30" a="1"/>
  <c r="N21" i="30"/>
  <c r="O21" i="30"/>
  <c r="M22" i="30"/>
  <c r="N22" i="30" a="1"/>
  <c r="N22" i="30"/>
  <c r="O22" i="30"/>
  <c r="M23" i="30"/>
  <c r="N23" i="30" a="1"/>
  <c r="N23" i="30"/>
  <c r="O23" i="30"/>
  <c r="M24" i="30"/>
  <c r="N24" i="30" a="1"/>
  <c r="N24" i="30"/>
  <c r="O24" i="30"/>
  <c r="M25" i="30"/>
  <c r="N25" i="30" a="1"/>
  <c r="N25" i="30"/>
  <c r="O25" i="30"/>
  <c r="P17" i="30"/>
  <c r="P18" i="30"/>
  <c r="P19" i="30"/>
  <c r="P20" i="30"/>
  <c r="P21" i="30"/>
  <c r="P22" i="30"/>
  <c r="P23" i="30"/>
  <c r="P24" i="30"/>
  <c r="P25" i="30"/>
  <c r="Q17" i="30"/>
  <c r="Q18" i="30"/>
  <c r="Q19" i="30"/>
  <c r="Q20" i="30"/>
  <c r="Q21" i="30"/>
  <c r="Q22" i="30"/>
  <c r="Q23" i="30"/>
  <c r="Q24" i="30"/>
  <c r="Q25" i="30"/>
  <c r="R17" i="30"/>
  <c r="R18" i="30"/>
  <c r="R19" i="30"/>
  <c r="R20" i="30"/>
  <c r="R21" i="30"/>
  <c r="R22" i="30"/>
  <c r="R23" i="30"/>
  <c r="R24" i="30"/>
  <c r="R25" i="30"/>
  <c r="S17" i="30"/>
  <c r="S18" i="30"/>
  <c r="S19" i="30"/>
  <c r="S20" i="30"/>
  <c r="S21" i="30"/>
  <c r="S22" i="30"/>
  <c r="S23" i="30"/>
  <c r="S24" i="30"/>
  <c r="S25" i="30"/>
  <c r="T17" i="30"/>
  <c r="T18" i="30"/>
  <c r="T19" i="30"/>
  <c r="T20" i="30"/>
  <c r="T21" i="30"/>
  <c r="T22" i="30"/>
  <c r="T23" i="30"/>
  <c r="T24" i="30"/>
  <c r="T25" i="30"/>
  <c r="U17" i="30"/>
  <c r="U18" i="30"/>
  <c r="U19" i="30"/>
  <c r="U20" i="30"/>
  <c r="U21" i="30"/>
  <c r="U22" i="30"/>
  <c r="U23" i="30"/>
  <c r="U24" i="30"/>
  <c r="U25" i="30"/>
  <c r="V17" i="30"/>
  <c r="V18" i="30"/>
  <c r="V19" i="30"/>
  <c r="V20" i="30"/>
  <c r="V21" i="30"/>
  <c r="V22" i="30"/>
  <c r="V23" i="30"/>
  <c r="V24" i="30"/>
  <c r="V25"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0" i="30" a="1"/>
  <c r="E30" i="30"/>
  <c r="F30" i="30" a="1"/>
  <c r="F30" i="30"/>
  <c r="G30" i="30" a="1"/>
  <c r="H30" i="30" a="1"/>
  <c r="I30" i="30" a="1"/>
  <c r="J30" i="30" a="1"/>
  <c r="K30" i="30" a="1"/>
  <c r="L30" i="30" a="1"/>
  <c r="M30" i="30" a="1"/>
  <c r="N30" i="30" a="1"/>
  <c r="O30" i="30" a="1"/>
  <c r="P30" i="30" a="1"/>
  <c r="Q30" i="30" a="1"/>
  <c r="R30" i="30" a="1"/>
  <c r="S30" i="30" a="1"/>
  <c r="T30" i="30" a="1"/>
  <c r="U30" i="30" a="1"/>
  <c r="V30" i="30" a="1"/>
  <c r="W30" i="30" a="1"/>
  <c r="X30" i="30" a="1"/>
  <c r="Y30" i="30" a="1"/>
  <c r="Z30" i="30" a="1"/>
  <c r="AA30" i="30" a="1"/>
  <c r="AB30" i="30" a="1"/>
  <c r="AC30" i="30" a="1"/>
  <c r="AD30" i="30" a="1"/>
  <c r="AE30" i="30" a="1"/>
  <c r="AF30" i="30" a="1"/>
  <c r="AG30" i="30" a="1"/>
  <c r="AH30" i="30" a="1"/>
  <c r="AI30" i="30" a="1"/>
  <c r="AJ30" i="30" a="1"/>
  <c r="AK30" i="30" a="1"/>
  <c r="AL30" i="30" a="1"/>
  <c r="AM30" i="30" a="1"/>
  <c r="AN30" i="30" a="1"/>
  <c r="AO30" i="30" a="1"/>
  <c r="AP30" i="30" a="1"/>
  <c r="AQ30" i="30" a="1"/>
  <c r="AR30" i="30" a="1"/>
  <c r="AS30" i="30" a="1"/>
  <c r="AT30" i="30" a="1"/>
  <c r="AU30" i="30" a="1"/>
  <c r="AV30" i="30" a="1"/>
  <c r="AW30" i="30" a="1"/>
  <c r="AX30" i="30" a="1"/>
  <c r="AY30" i="30" a="1"/>
  <c r="AZ30" i="30" a="1"/>
  <c r="BA30" i="30" a="1"/>
  <c r="BB30" i="30" a="1"/>
  <c r="BC30" i="30" a="1"/>
  <c r="BD30" i="30" a="1"/>
  <c r="BE30" i="30" a="1"/>
  <c r="BF30" i="30" a="1"/>
  <c r="BG30" i="30" a="1"/>
  <c r="BH30" i="30" a="1"/>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E31" i="30" a="1"/>
  <c r="E31" i="30"/>
  <c r="F31" i="30" a="1"/>
  <c r="F31" i="30"/>
  <c r="G31" i="30" a="1"/>
  <c r="H31" i="30" a="1"/>
  <c r="I31" i="30" a="1"/>
  <c r="J31" i="30" a="1"/>
  <c r="K31" i="30" a="1"/>
  <c r="L31" i="30" a="1"/>
  <c r="M31" i="30" a="1"/>
  <c r="N31" i="30" a="1"/>
  <c r="O31" i="30" a="1"/>
  <c r="P31" i="30" a="1"/>
  <c r="Q31" i="30" a="1"/>
  <c r="R31" i="30" a="1"/>
  <c r="S31" i="30" a="1"/>
  <c r="T31" i="30" a="1"/>
  <c r="U31" i="30" a="1"/>
  <c r="V31" i="30" a="1"/>
  <c r="W31" i="30" a="1"/>
  <c r="X31" i="30" a="1"/>
  <c r="Y31" i="30" a="1"/>
  <c r="Z31" i="30" a="1"/>
  <c r="AA31" i="30" a="1"/>
  <c r="AB31" i="30" a="1"/>
  <c r="AC31" i="30" a="1"/>
  <c r="AD31" i="30" a="1"/>
  <c r="AE31" i="30" a="1"/>
  <c r="AF31" i="30" a="1"/>
  <c r="AG31" i="30" a="1"/>
  <c r="AH31" i="30" a="1"/>
  <c r="AI31" i="30" a="1"/>
  <c r="AJ31" i="30" a="1"/>
  <c r="AK31" i="30" a="1"/>
  <c r="AL31" i="30" a="1"/>
  <c r="AM31" i="30" a="1"/>
  <c r="AN31" i="30" a="1"/>
  <c r="AO31" i="30" a="1"/>
  <c r="AP31" i="30" a="1"/>
  <c r="AQ31" i="30" a="1"/>
  <c r="AR31" i="30" a="1"/>
  <c r="AS31" i="30" a="1"/>
  <c r="AT31" i="30" a="1"/>
  <c r="AU31" i="30" a="1"/>
  <c r="AV31" i="30" a="1"/>
  <c r="AW31" i="30" a="1"/>
  <c r="AX31" i="30" a="1"/>
  <c r="AY31" i="30" a="1"/>
  <c r="AZ31" i="30" a="1"/>
  <c r="BA31" i="30" a="1"/>
  <c r="BB31" i="30" a="1"/>
  <c r="BC31" i="30" a="1"/>
  <c r="BD31" i="30" a="1"/>
  <c r="BE31" i="30" a="1"/>
  <c r="BF31" i="30" a="1"/>
  <c r="BG31" i="30" a="1"/>
  <c r="BH31" i="30" a="1"/>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E32" i="30" a="1"/>
  <c r="E32" i="30"/>
  <c r="F32" i="30" a="1"/>
  <c r="F32" i="30"/>
  <c r="G32" i="30" a="1"/>
  <c r="H32" i="30" a="1"/>
  <c r="I32" i="30" a="1"/>
  <c r="J32" i="30" a="1"/>
  <c r="K32" i="30" a="1"/>
  <c r="L32" i="30" a="1"/>
  <c r="M32" i="30" a="1"/>
  <c r="N32" i="30" a="1"/>
  <c r="O32" i="30" a="1"/>
  <c r="P32" i="30" a="1"/>
  <c r="Q32" i="30" a="1"/>
  <c r="R32" i="30" a="1"/>
  <c r="S32" i="30" a="1"/>
  <c r="T32" i="30" a="1"/>
  <c r="U32" i="30" a="1"/>
  <c r="V32" i="30" a="1"/>
  <c r="W32" i="30" a="1"/>
  <c r="X32" i="30" a="1"/>
  <c r="Y32" i="30" a="1"/>
  <c r="Z32" i="30" a="1"/>
  <c r="AA32" i="30" a="1"/>
  <c r="AB32" i="30" a="1"/>
  <c r="AC32" i="30" a="1"/>
  <c r="AD32" i="30" a="1"/>
  <c r="AE32" i="30" a="1"/>
  <c r="AF32" i="30" a="1"/>
  <c r="AG32" i="30" a="1"/>
  <c r="AH32" i="30" a="1"/>
  <c r="AI32" i="30" a="1"/>
  <c r="AJ32" i="30" a="1"/>
  <c r="AK32" i="30" a="1"/>
  <c r="AL32" i="30" a="1"/>
  <c r="AM32" i="30" a="1"/>
  <c r="AN32" i="30" a="1"/>
  <c r="AO32" i="30" a="1"/>
  <c r="AP32" i="30" a="1"/>
  <c r="AQ32" i="30" a="1"/>
  <c r="AR32" i="30" a="1"/>
  <c r="AS32" i="30" a="1"/>
  <c r="AT32" i="30" a="1"/>
  <c r="AU32" i="30" a="1"/>
  <c r="AV32" i="30" a="1"/>
  <c r="AW32" i="30" a="1"/>
  <c r="AX32" i="30" a="1"/>
  <c r="AY32" i="30" a="1"/>
  <c r="AZ32" i="30" a="1"/>
  <c r="BA32" i="30" a="1"/>
  <c r="BB32" i="30" a="1"/>
  <c r="BC32" i="30" a="1"/>
  <c r="BD32" i="30" a="1"/>
  <c r="BE32" i="30" a="1"/>
  <c r="BF32" i="30" a="1"/>
  <c r="BG32" i="30" a="1"/>
  <c r="BH32" i="30" a="1"/>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X17" i="30"/>
  <c r="X18" i="30"/>
  <c r="X19" i="30"/>
  <c r="X20" i="30"/>
  <c r="X21" i="30"/>
  <c r="X22" i="30"/>
  <c r="X23" i="30"/>
  <c r="X24" i="30"/>
  <c r="X25" i="30"/>
  <c r="AD17" i="30"/>
  <c r="AG17" i="30"/>
  <c r="AE17" i="30"/>
  <c r="AE18" i="30"/>
  <c r="AE19" i="30"/>
  <c r="AE20" i="30"/>
  <c r="AF17" i="30"/>
  <c r="AH17" i="30"/>
  <c r="AD18" i="30"/>
  <c r="AG18" i="30"/>
  <c r="AF18" i="30"/>
  <c r="AH18" i="30"/>
  <c r="AD19" i="30"/>
  <c r="AG19" i="30"/>
  <c r="AF19" i="30"/>
  <c r="AH19" i="30"/>
  <c r="AD20" i="30"/>
  <c r="AG20" i="30"/>
  <c r="AF20" i="30"/>
  <c r="AH20" i="30"/>
  <c r="AD21" i="30"/>
  <c r="AG21" i="30"/>
  <c r="AF21" i="30"/>
  <c r="AH21" i="30"/>
  <c r="AD22" i="30"/>
  <c r="AG22" i="30"/>
  <c r="AF22" i="30"/>
  <c r="AH22" i="30"/>
  <c r="AD23" i="30"/>
  <c r="AG23" i="30"/>
  <c r="AF23" i="30"/>
  <c r="AH23" i="30"/>
  <c r="AD24" i="30"/>
  <c r="AG24" i="30"/>
  <c r="AF24" i="30"/>
  <c r="AH24" i="30"/>
  <c r="AD25" i="30"/>
  <c r="AG25" i="30"/>
  <c r="AF25" i="30"/>
  <c r="AH25" i="30"/>
  <c r="E4" i="30"/>
  <c r="E5" i="30"/>
  <c r="E6" i="30"/>
  <c r="E7" i="30"/>
  <c r="E8" i="30"/>
  <c r="E9" i="30"/>
  <c r="E10" i="30"/>
  <c r="E11" i="30"/>
  <c r="E12" i="30"/>
  <c r="Z19" i="30"/>
  <c r="Z20" i="30"/>
  <c r="Q64" i="29"/>
  <c r="F4" i="29"/>
  <c r="V64" i="29"/>
  <c r="V65" i="29"/>
  <c r="W65" i="29"/>
  <c r="X65" i="29"/>
  <c r="Y65" i="29"/>
  <c r="AA65" i="29"/>
  <c r="AE65" i="29"/>
  <c r="V66" i="29"/>
  <c r="V67" i="29"/>
  <c r="V68" i="29"/>
  <c r="V69" i="29"/>
  <c r="V70" i="29"/>
  <c r="V71" i="29"/>
  <c r="V72" i="29"/>
  <c r="V73" i="29"/>
  <c r="V74" i="29"/>
  <c r="V75" i="29"/>
  <c r="V76" i="29"/>
  <c r="V77" i="29"/>
  <c r="V78" i="29"/>
  <c r="V79" i="29"/>
  <c r="V80" i="29"/>
  <c r="V81" i="29"/>
  <c r="W64" i="29"/>
  <c r="X64" i="29"/>
  <c r="Y64" i="29"/>
  <c r="AA64" i="29"/>
  <c r="AE64" i="29"/>
  <c r="W66" i="29"/>
  <c r="X66" i="29"/>
  <c r="Y66" i="29"/>
  <c r="AA66" i="29"/>
  <c r="AE66" i="29"/>
  <c r="W67" i="29"/>
  <c r="X67" i="29"/>
  <c r="Y67" i="29"/>
  <c r="AA67" i="29"/>
  <c r="AE67" i="29"/>
  <c r="W68" i="29"/>
  <c r="X68" i="29"/>
  <c r="Y68" i="29"/>
  <c r="AA68" i="29"/>
  <c r="AE68" i="29"/>
  <c r="W69" i="29"/>
  <c r="X69" i="29"/>
  <c r="Y69" i="29"/>
  <c r="AA69" i="29"/>
  <c r="AE69" i="29"/>
  <c r="W70" i="29"/>
  <c r="X70" i="29"/>
  <c r="Y70" i="29"/>
  <c r="AA70" i="29"/>
  <c r="AE70" i="29"/>
  <c r="W71" i="29"/>
  <c r="X71" i="29"/>
  <c r="Y71" i="29"/>
  <c r="AA71" i="29"/>
  <c r="AE71" i="29"/>
  <c r="W72" i="29"/>
  <c r="X72" i="29"/>
  <c r="Y72" i="29"/>
  <c r="AA72" i="29"/>
  <c r="AE72" i="29"/>
  <c r="W73" i="29"/>
  <c r="X73" i="29"/>
  <c r="Y73" i="29"/>
  <c r="AA73" i="29"/>
  <c r="AE73" i="29"/>
  <c r="W74" i="29"/>
  <c r="X74" i="29"/>
  <c r="Y74" i="29"/>
  <c r="AA74" i="29"/>
  <c r="AE74" i="29"/>
  <c r="W75" i="29"/>
  <c r="X75" i="29"/>
  <c r="Y75" i="29"/>
  <c r="AA75" i="29"/>
  <c r="AE75" i="29"/>
  <c r="W76" i="29"/>
  <c r="X76" i="29"/>
  <c r="Y76" i="29"/>
  <c r="AA76" i="29"/>
  <c r="AE76" i="29"/>
  <c r="W77" i="29"/>
  <c r="X77" i="29"/>
  <c r="Y77" i="29"/>
  <c r="AA77" i="29"/>
  <c r="AE77" i="29"/>
  <c r="W78" i="29"/>
  <c r="X78" i="29"/>
  <c r="Y78" i="29"/>
  <c r="AA78" i="29"/>
  <c r="AE78" i="29"/>
  <c r="W79" i="29"/>
  <c r="X79" i="29"/>
  <c r="Y79" i="29"/>
  <c r="AA79" i="29"/>
  <c r="AE79" i="29"/>
  <c r="W80" i="29"/>
  <c r="X80" i="29"/>
  <c r="Y80" i="29"/>
  <c r="AA80" i="29"/>
  <c r="AE80" i="29"/>
  <c r="W81" i="29"/>
  <c r="X81" i="29"/>
  <c r="Y81" i="29"/>
  <c r="AA81" i="29"/>
  <c r="AE81" i="29"/>
  <c r="J4" i="29"/>
  <c r="K17" i="29"/>
  <c r="G4" i="29"/>
  <c r="H4" i="29"/>
  <c r="I4" i="29"/>
  <c r="J17" i="29"/>
  <c r="H17" i="29"/>
  <c r="L17" i="29"/>
  <c r="Q65" i="29"/>
  <c r="F5" i="29"/>
  <c r="AF80" i="29"/>
  <c r="J5" i="29"/>
  <c r="K18" i="29"/>
  <c r="G5" i="29"/>
  <c r="H5" i="29"/>
  <c r="I5" i="29"/>
  <c r="J18" i="29"/>
  <c r="H18" i="29"/>
  <c r="L18" i="29"/>
  <c r="Q66" i="29"/>
  <c r="F6" i="29"/>
  <c r="AF68" i="29"/>
  <c r="AF71" i="29"/>
  <c r="J6" i="29"/>
  <c r="K19" i="29"/>
  <c r="G6" i="29"/>
  <c r="H6" i="29"/>
  <c r="I6" i="29"/>
  <c r="J19" i="29"/>
  <c r="H19" i="29"/>
  <c r="L19" i="29"/>
  <c r="Q67" i="29"/>
  <c r="F7" i="29"/>
  <c r="AF65" i="29"/>
  <c r="AF74" i="29"/>
  <c r="AF77" i="29"/>
  <c r="AF78" i="29"/>
  <c r="J7" i="29"/>
  <c r="K20" i="29"/>
  <c r="G7" i="29"/>
  <c r="H7" i="29"/>
  <c r="I7" i="29"/>
  <c r="J20" i="29"/>
  <c r="H20" i="29"/>
  <c r="L20" i="29"/>
  <c r="AF64" i="29"/>
  <c r="AF67" i="29"/>
  <c r="AF70" i="29"/>
  <c r="AF73" i="29"/>
  <c r="AF66" i="29"/>
  <c r="AF69" i="29"/>
  <c r="AF72" i="29"/>
  <c r="AF75" i="29"/>
  <c r="AF76" i="29"/>
  <c r="AF79" i="29"/>
  <c r="AF81" i="29"/>
  <c r="J8" i="29"/>
  <c r="K21" i="29"/>
  <c r="G8" i="29"/>
  <c r="H8" i="29"/>
  <c r="I8" i="29"/>
  <c r="J21" i="29"/>
  <c r="H21" i="29"/>
  <c r="L21" i="29"/>
  <c r="J9" i="29"/>
  <c r="K22" i="29"/>
  <c r="G9" i="29"/>
  <c r="H9" i="29"/>
  <c r="I9" i="29"/>
  <c r="J22" i="29"/>
  <c r="H22" i="29"/>
  <c r="L22" i="29"/>
  <c r="J10" i="29"/>
  <c r="K23" i="29"/>
  <c r="G10" i="29"/>
  <c r="H10" i="29"/>
  <c r="I10" i="29"/>
  <c r="J23" i="29"/>
  <c r="H23" i="29"/>
  <c r="L23" i="29"/>
  <c r="J11" i="29"/>
  <c r="K24" i="29"/>
  <c r="G11" i="29"/>
  <c r="H11" i="29"/>
  <c r="I11" i="29"/>
  <c r="J24" i="29"/>
  <c r="H24" i="29"/>
  <c r="L24" i="29"/>
  <c r="J12" i="29"/>
  <c r="K25" i="29"/>
  <c r="G12" i="29"/>
  <c r="H12" i="29"/>
  <c r="I12" i="29"/>
  <c r="J25" i="29"/>
  <c r="H25" i="29"/>
  <c r="L25" i="29"/>
  <c r="AI15" i="29"/>
  <c r="M17" i="29"/>
  <c r="N17" i="29" a="1"/>
  <c r="N17" i="29"/>
  <c r="O17" i="29"/>
  <c r="M18" i="29"/>
  <c r="N18" i="29" a="1"/>
  <c r="N18" i="29"/>
  <c r="O18" i="29"/>
  <c r="M19" i="29"/>
  <c r="N19" i="29" a="1"/>
  <c r="N19" i="29"/>
  <c r="O19" i="29"/>
  <c r="M20" i="29"/>
  <c r="N20" i="29" a="1"/>
  <c r="N20" i="29"/>
  <c r="O20" i="29"/>
  <c r="M21" i="29"/>
  <c r="N21" i="29" a="1"/>
  <c r="N21" i="29"/>
  <c r="O21" i="29"/>
  <c r="M22" i="29"/>
  <c r="N22" i="29" a="1"/>
  <c r="N22" i="29"/>
  <c r="O22" i="29"/>
  <c r="M23" i="29"/>
  <c r="N23" i="29" a="1"/>
  <c r="N23" i="29"/>
  <c r="O23" i="29"/>
  <c r="M24" i="29"/>
  <c r="N24" i="29" a="1"/>
  <c r="N24" i="29"/>
  <c r="O24" i="29"/>
  <c r="M25" i="29"/>
  <c r="N25" i="29" a="1"/>
  <c r="N25" i="29"/>
  <c r="O25" i="29"/>
  <c r="P17" i="29"/>
  <c r="P18" i="29"/>
  <c r="P19" i="29"/>
  <c r="P20" i="29"/>
  <c r="P21" i="29"/>
  <c r="P22" i="29"/>
  <c r="P23" i="29"/>
  <c r="P24" i="29"/>
  <c r="P25" i="29"/>
  <c r="Q17" i="29"/>
  <c r="Q18" i="29"/>
  <c r="Q19" i="29"/>
  <c r="Q20" i="29"/>
  <c r="Q21" i="29"/>
  <c r="Q22" i="29"/>
  <c r="Q23" i="29"/>
  <c r="Q24" i="29"/>
  <c r="Q25" i="29"/>
  <c r="R17" i="29"/>
  <c r="R18" i="29"/>
  <c r="C19" i="29"/>
  <c r="R19" i="29"/>
  <c r="R20" i="29"/>
  <c r="R21" i="29"/>
  <c r="R22" i="29"/>
  <c r="R23" i="29"/>
  <c r="R24" i="29"/>
  <c r="R25" i="29"/>
  <c r="S17" i="29"/>
  <c r="S18" i="29"/>
  <c r="S19" i="29"/>
  <c r="S20" i="29"/>
  <c r="S21" i="29"/>
  <c r="S22" i="29"/>
  <c r="S23" i="29"/>
  <c r="S24" i="29"/>
  <c r="S25" i="29"/>
  <c r="T17" i="29"/>
  <c r="T18" i="29"/>
  <c r="T19" i="29"/>
  <c r="T20" i="29"/>
  <c r="T21" i="29"/>
  <c r="T22" i="29"/>
  <c r="T23" i="29"/>
  <c r="T24" i="29"/>
  <c r="T25" i="29"/>
  <c r="U17" i="29"/>
  <c r="U18" i="29"/>
  <c r="U19" i="29"/>
  <c r="U20" i="29"/>
  <c r="U21" i="29"/>
  <c r="U22" i="29"/>
  <c r="U23" i="29"/>
  <c r="U24" i="29"/>
  <c r="U25" i="29"/>
  <c r="V17" i="29"/>
  <c r="V18" i="29"/>
  <c r="V19" i="29"/>
  <c r="V20" i="29"/>
  <c r="V21" i="29"/>
  <c r="V22" i="29"/>
  <c r="V23" i="29"/>
  <c r="V24" i="29"/>
  <c r="V25" i="29"/>
  <c r="C17"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C18"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C20"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X17" i="29"/>
  <c r="X18" i="29"/>
  <c r="X19" i="29"/>
  <c r="X20" i="29"/>
  <c r="X21" i="29"/>
  <c r="X22" i="29"/>
  <c r="X23" i="29"/>
  <c r="X24" i="29"/>
  <c r="X25" i="29"/>
  <c r="AD17" i="29"/>
  <c r="AG17" i="29"/>
  <c r="AE17" i="29"/>
  <c r="AE18" i="29"/>
  <c r="AE19" i="29"/>
  <c r="AE20" i="29"/>
  <c r="AF17" i="29"/>
  <c r="AH17" i="29"/>
  <c r="AD18" i="29"/>
  <c r="AG18" i="29"/>
  <c r="AF18" i="29"/>
  <c r="AH18" i="29"/>
  <c r="AD19" i="29"/>
  <c r="AG19" i="29"/>
  <c r="AF19" i="29"/>
  <c r="AH19" i="29"/>
  <c r="AD20" i="29"/>
  <c r="AG20" i="29"/>
  <c r="AF20" i="29"/>
  <c r="AH20" i="29"/>
  <c r="AD21" i="29"/>
  <c r="AG21" i="29"/>
  <c r="AF21" i="29"/>
  <c r="AH21" i="29"/>
  <c r="AD22" i="29"/>
  <c r="AG22" i="29"/>
  <c r="AF22" i="29"/>
  <c r="AH22" i="29"/>
  <c r="AD23" i="29"/>
  <c r="AG23" i="29"/>
  <c r="AF23" i="29"/>
  <c r="AH23" i="29"/>
  <c r="AD24" i="29"/>
  <c r="AG24" i="29"/>
  <c r="AF24" i="29"/>
  <c r="AH24" i="29"/>
  <c r="AD25" i="29"/>
  <c r="AG25" i="29"/>
  <c r="AF25" i="29"/>
  <c r="AH25" i="29"/>
  <c r="E4" i="29"/>
  <c r="E5" i="29"/>
  <c r="E6" i="29"/>
  <c r="E7" i="29"/>
  <c r="E8" i="29"/>
  <c r="E9" i="29"/>
  <c r="E10" i="29"/>
  <c r="E11" i="29"/>
  <c r="E12" i="29"/>
  <c r="Q64" i="28"/>
  <c r="F4" i="28"/>
  <c r="V64" i="28"/>
  <c r="V65" i="28"/>
  <c r="V66" i="28"/>
  <c r="V67" i="28"/>
  <c r="V68" i="28"/>
  <c r="V69" i="28"/>
  <c r="V70" i="28"/>
  <c r="V71" i="28"/>
  <c r="V72" i="28"/>
  <c r="V73" i="28"/>
  <c r="V74" i="28"/>
  <c r="V75" i="28"/>
  <c r="V76" i="28"/>
  <c r="V77" i="28"/>
  <c r="V78" i="28"/>
  <c r="V79" i="28"/>
  <c r="V80" i="28"/>
  <c r="V81" i="28"/>
  <c r="W64" i="28"/>
  <c r="X64" i="28"/>
  <c r="Y64" i="28"/>
  <c r="AA64" i="28"/>
  <c r="AE64" i="28"/>
  <c r="W65" i="28"/>
  <c r="X65" i="28"/>
  <c r="Y65" i="28"/>
  <c r="AA65" i="28"/>
  <c r="AE65" i="28"/>
  <c r="W66" i="28"/>
  <c r="X66" i="28"/>
  <c r="Y66" i="28"/>
  <c r="AA66" i="28"/>
  <c r="AE66" i="28"/>
  <c r="W67" i="28"/>
  <c r="X67" i="28"/>
  <c r="Y67" i="28"/>
  <c r="AA67" i="28"/>
  <c r="AE67" i="28"/>
  <c r="W68" i="28"/>
  <c r="X68" i="28"/>
  <c r="Y68" i="28"/>
  <c r="AA68" i="28"/>
  <c r="AE68" i="28"/>
  <c r="W69" i="28"/>
  <c r="X69" i="28"/>
  <c r="Y69" i="28"/>
  <c r="AA69" i="28"/>
  <c r="AE69" i="28"/>
  <c r="W70" i="28"/>
  <c r="X70" i="28"/>
  <c r="Y70" i="28"/>
  <c r="AA70" i="28"/>
  <c r="AE70" i="28"/>
  <c r="W71" i="28"/>
  <c r="X71" i="28"/>
  <c r="Y71" i="28"/>
  <c r="AA71" i="28"/>
  <c r="AE71" i="28"/>
  <c r="W72" i="28"/>
  <c r="X72" i="28"/>
  <c r="Y72" i="28"/>
  <c r="AA72" i="28"/>
  <c r="AE72" i="28"/>
  <c r="W73" i="28"/>
  <c r="X73" i="28"/>
  <c r="Y73" i="28"/>
  <c r="AA73" i="28"/>
  <c r="AE73" i="28"/>
  <c r="W74" i="28"/>
  <c r="X74" i="28"/>
  <c r="Y74" i="28"/>
  <c r="AA74" i="28"/>
  <c r="AE74" i="28"/>
  <c r="W75" i="28"/>
  <c r="X75" i="28"/>
  <c r="Y75" i="28"/>
  <c r="AA75" i="28"/>
  <c r="AE75" i="28"/>
  <c r="W76" i="28"/>
  <c r="X76" i="28"/>
  <c r="Y76" i="28"/>
  <c r="AA76" i="28"/>
  <c r="AE76" i="28"/>
  <c r="W77" i="28"/>
  <c r="X77" i="28"/>
  <c r="Y77" i="28"/>
  <c r="AA77" i="28"/>
  <c r="AE77" i="28"/>
  <c r="W78" i="28"/>
  <c r="X78" i="28"/>
  <c r="Y78" i="28"/>
  <c r="AA78" i="28"/>
  <c r="AE78" i="28"/>
  <c r="W79" i="28"/>
  <c r="X79" i="28"/>
  <c r="Y79" i="28"/>
  <c r="AA79" i="28"/>
  <c r="AE79" i="28"/>
  <c r="W80" i="28"/>
  <c r="X80" i="28"/>
  <c r="Y80" i="28"/>
  <c r="AA80" i="28"/>
  <c r="AE80" i="28"/>
  <c r="W81" i="28"/>
  <c r="X81" i="28"/>
  <c r="Y81" i="28"/>
  <c r="AA81" i="28"/>
  <c r="AE81" i="28"/>
  <c r="J4" i="28"/>
  <c r="K17" i="28"/>
  <c r="G4" i="28"/>
  <c r="H4" i="28"/>
  <c r="I4" i="28"/>
  <c r="J17" i="28"/>
  <c r="H17" i="28"/>
  <c r="L17" i="28"/>
  <c r="Q65" i="28"/>
  <c r="F5" i="28"/>
  <c r="AF81" i="28"/>
  <c r="J5" i="28"/>
  <c r="K18" i="28"/>
  <c r="G5" i="28"/>
  <c r="H5" i="28"/>
  <c r="I5" i="28"/>
  <c r="J18" i="28"/>
  <c r="H18" i="28"/>
  <c r="L18" i="28"/>
  <c r="Q66" i="28"/>
  <c r="F6" i="28"/>
  <c r="AF69" i="28"/>
  <c r="AF72" i="28"/>
  <c r="J6" i="28"/>
  <c r="K19" i="28"/>
  <c r="G6" i="28"/>
  <c r="H6" i="28"/>
  <c r="I6" i="28"/>
  <c r="J19" i="28"/>
  <c r="H19" i="28"/>
  <c r="L19" i="28"/>
  <c r="Q67" i="28"/>
  <c r="F7" i="28"/>
  <c r="AF66" i="28"/>
  <c r="AF75" i="28"/>
  <c r="AF78" i="28"/>
  <c r="AF77" i="28"/>
  <c r="J7" i="28"/>
  <c r="K20" i="28"/>
  <c r="G7" i="28"/>
  <c r="H7" i="28"/>
  <c r="I7" i="28"/>
  <c r="J20" i="28"/>
  <c r="H20" i="28"/>
  <c r="L20" i="28"/>
  <c r="AF64" i="28"/>
  <c r="AF67" i="28"/>
  <c r="AF70" i="28"/>
  <c r="AF73" i="28"/>
  <c r="AF65" i="28"/>
  <c r="AF68" i="28"/>
  <c r="AF71" i="28"/>
  <c r="AF74" i="28"/>
  <c r="AF76" i="28"/>
  <c r="AF79" i="28"/>
  <c r="AF80" i="28"/>
  <c r="J8" i="28"/>
  <c r="K21" i="28"/>
  <c r="G8" i="28"/>
  <c r="H8" i="28"/>
  <c r="I8" i="28"/>
  <c r="J21" i="28"/>
  <c r="H21" i="28"/>
  <c r="L21" i="28"/>
  <c r="J9" i="28"/>
  <c r="K22" i="28"/>
  <c r="G9" i="28"/>
  <c r="H9" i="28"/>
  <c r="I9" i="28"/>
  <c r="J22" i="28"/>
  <c r="H22" i="28"/>
  <c r="L22" i="28"/>
  <c r="J10" i="28"/>
  <c r="K23" i="28"/>
  <c r="G10" i="28"/>
  <c r="H10" i="28"/>
  <c r="I10" i="28"/>
  <c r="J23" i="28"/>
  <c r="H23" i="28"/>
  <c r="L23" i="28"/>
  <c r="J11" i="28"/>
  <c r="K24" i="28"/>
  <c r="G11" i="28"/>
  <c r="H11" i="28"/>
  <c r="I11" i="28"/>
  <c r="J24" i="28"/>
  <c r="H24" i="28"/>
  <c r="L24" i="28"/>
  <c r="J12" i="28"/>
  <c r="K25" i="28"/>
  <c r="G12" i="28"/>
  <c r="H12" i="28"/>
  <c r="I12" i="28"/>
  <c r="J25" i="28"/>
  <c r="H25" i="28"/>
  <c r="L25" i="28"/>
  <c r="AI15" i="28"/>
  <c r="M17" i="28"/>
  <c r="N17" i="28" a="1"/>
  <c r="N17" i="28"/>
  <c r="O17" i="28"/>
  <c r="M18" i="28"/>
  <c r="N18" i="28" a="1"/>
  <c r="N18" i="28"/>
  <c r="O18" i="28"/>
  <c r="M19" i="28"/>
  <c r="N19" i="28" a="1"/>
  <c r="N19" i="28"/>
  <c r="O19" i="28"/>
  <c r="M20" i="28"/>
  <c r="N20" i="28" a="1"/>
  <c r="N20" i="28"/>
  <c r="O20" i="28"/>
  <c r="M21" i="28"/>
  <c r="N21" i="28" a="1"/>
  <c r="N21" i="28"/>
  <c r="O21" i="28"/>
  <c r="M22" i="28"/>
  <c r="N22" i="28" a="1"/>
  <c r="N22" i="28"/>
  <c r="O22" i="28"/>
  <c r="M23" i="28"/>
  <c r="N23" i="28" a="1"/>
  <c r="N23" i="28"/>
  <c r="O23" i="28"/>
  <c r="M24" i="28"/>
  <c r="N24" i="28" a="1"/>
  <c r="N24" i="28"/>
  <c r="O24" i="28"/>
  <c r="M25" i="28"/>
  <c r="N25" i="28" a="1"/>
  <c r="N25" i="28"/>
  <c r="O25" i="28"/>
  <c r="O3" i="28"/>
  <c r="P17" i="28"/>
  <c r="P18" i="28"/>
  <c r="P19" i="28"/>
  <c r="P20" i="28"/>
  <c r="P21" i="28"/>
  <c r="P22" i="28"/>
  <c r="P23" i="28"/>
  <c r="P24" i="28"/>
  <c r="P25" i="28"/>
  <c r="P3" i="28"/>
  <c r="Q17" i="28"/>
  <c r="Q18" i="28"/>
  <c r="C19" i="28"/>
  <c r="Q19" i="28"/>
  <c r="C20" i="28"/>
  <c r="Q20" i="28"/>
  <c r="Q21" i="28"/>
  <c r="Q22" i="28"/>
  <c r="Q23" i="28"/>
  <c r="Q24" i="28"/>
  <c r="Q25" i="28"/>
  <c r="Q3" i="28"/>
  <c r="R17" i="28"/>
  <c r="R18" i="28"/>
  <c r="R19" i="28"/>
  <c r="R20" i="28"/>
  <c r="R21" i="28"/>
  <c r="R22" i="28"/>
  <c r="R23" i="28"/>
  <c r="R24" i="28"/>
  <c r="R25" i="28"/>
  <c r="R3" i="28"/>
  <c r="S17" i="28"/>
  <c r="S18" i="28"/>
  <c r="S19" i="28"/>
  <c r="S20" i="28"/>
  <c r="S21" i="28"/>
  <c r="S22" i="28"/>
  <c r="S23" i="28"/>
  <c r="S24" i="28"/>
  <c r="S25" i="28"/>
  <c r="S3" i="28"/>
  <c r="T17" i="28"/>
  <c r="T18" i="28"/>
  <c r="T19" i="28"/>
  <c r="T20" i="28"/>
  <c r="T21" i="28"/>
  <c r="T22" i="28"/>
  <c r="T23" i="28"/>
  <c r="T24" i="28"/>
  <c r="T25" i="28"/>
  <c r="T3" i="28"/>
  <c r="U17" i="28"/>
  <c r="U18" i="28"/>
  <c r="U19" i="28"/>
  <c r="U20" i="28"/>
  <c r="U21" i="28"/>
  <c r="U22" i="28"/>
  <c r="U23" i="28"/>
  <c r="U24" i="28"/>
  <c r="U25" i="28"/>
  <c r="U3" i="28"/>
  <c r="V17" i="28"/>
  <c r="V18" i="28"/>
  <c r="V19" i="28"/>
  <c r="V20" i="28"/>
  <c r="V21" i="28"/>
  <c r="V22" i="28"/>
  <c r="V23" i="28"/>
  <c r="V24" i="28"/>
  <c r="V25" i="28"/>
  <c r="V3" i="28"/>
  <c r="R4"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C18"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E32" i="28" a="1"/>
  <c r="E32" i="28"/>
  <c r="F32" i="28" a="1"/>
  <c r="F32" i="28"/>
  <c r="G32" i="28" a="1"/>
  <c r="H32" i="28" a="1"/>
  <c r="I32" i="28" a="1"/>
  <c r="J32" i="28" a="1"/>
  <c r="K32" i="28" a="1"/>
  <c r="L32" i="28" a="1"/>
  <c r="M32" i="28" a="1"/>
  <c r="N32" i="28" a="1"/>
  <c r="O32" i="28" a="1"/>
  <c r="P32" i="28" a="1"/>
  <c r="Q32" i="28" a="1"/>
  <c r="R32" i="28" a="1"/>
  <c r="S32" i="28" a="1"/>
  <c r="T32" i="28" a="1"/>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X17" i="28"/>
  <c r="X18" i="28"/>
  <c r="X19" i="28"/>
  <c r="X20" i="28"/>
  <c r="X21" i="28"/>
  <c r="X22" i="28"/>
  <c r="X23" i="28"/>
  <c r="X24" i="28"/>
  <c r="X25" i="28"/>
  <c r="AD17" i="28"/>
  <c r="AG17" i="28"/>
  <c r="AE17" i="28"/>
  <c r="AE18" i="28"/>
  <c r="AE19" i="28"/>
  <c r="AE20" i="28"/>
  <c r="AF17" i="28"/>
  <c r="AH17" i="28"/>
  <c r="AD18" i="28"/>
  <c r="AG18" i="28"/>
  <c r="AF18" i="28"/>
  <c r="AH18" i="28"/>
  <c r="AD19" i="28"/>
  <c r="AG19" i="28"/>
  <c r="AF19" i="28"/>
  <c r="AH19" i="28"/>
  <c r="AD20" i="28"/>
  <c r="AG20" i="28"/>
  <c r="AF20" i="28"/>
  <c r="AH20" i="28"/>
  <c r="AD21" i="28"/>
  <c r="AG21" i="28"/>
  <c r="AF21" i="28"/>
  <c r="AH21" i="28"/>
  <c r="AD22" i="28"/>
  <c r="AG22" i="28"/>
  <c r="AF22" i="28"/>
  <c r="AH22" i="28"/>
  <c r="AD23" i="28"/>
  <c r="AG23" i="28"/>
  <c r="AF23" i="28"/>
  <c r="AH23" i="28"/>
  <c r="AD24" i="28"/>
  <c r="AG24" i="28"/>
  <c r="AF24" i="28"/>
  <c r="AH24" i="28"/>
  <c r="AD25" i="28"/>
  <c r="AG25" i="28"/>
  <c r="AF25" i="28"/>
  <c r="AH25" i="28"/>
  <c r="E4" i="28"/>
  <c r="E5" i="28"/>
  <c r="E6" i="28"/>
  <c r="E7" i="28"/>
  <c r="E8" i="28"/>
  <c r="E9" i="28"/>
  <c r="E10" i="28"/>
  <c r="E11" i="28"/>
  <c r="E12" i="28"/>
  <c r="Q4" i="28"/>
  <c r="P4" i="28"/>
  <c r="O4" i="28"/>
  <c r="Z19" i="28"/>
  <c r="Z20" i="28"/>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O12" i="17"/>
  <c r="AO4" i="17"/>
  <c r="AO5" i="17"/>
  <c r="AO6" i="17"/>
  <c r="AO7" i="17"/>
  <c r="AO8" i="17"/>
  <c r="AO9" i="17"/>
  <c r="AO10" i="17"/>
  <c r="AO11" i="17"/>
  <c r="AP12" i="17"/>
  <c r="AP4" i="17"/>
  <c r="AP5" i="17"/>
  <c r="AP6" i="17"/>
  <c r="AP7" i="17"/>
  <c r="AP8" i="17"/>
  <c r="AP9" i="17"/>
  <c r="AP10" i="17"/>
  <c r="AP11" i="17"/>
  <c r="AM12" i="17"/>
  <c r="Q4" i="17"/>
  <c r="AG3" i="17"/>
  <c r="AG12" i="17"/>
  <c r="AI12" i="17"/>
  <c r="AG4" i="17"/>
  <c r="AI4" i="17"/>
  <c r="AG5" i="17"/>
  <c r="AI5" i="17"/>
  <c r="AG6" i="17"/>
  <c r="AI6" i="17"/>
  <c r="AG7" i="17"/>
  <c r="AI7" i="17"/>
  <c r="AG8" i="17"/>
  <c r="AI8" i="17"/>
  <c r="AG9" i="17"/>
  <c r="AI9" i="17"/>
  <c r="AG10" i="17"/>
  <c r="AI10" i="17"/>
  <c r="AG11" i="17"/>
  <c r="AI11" i="17"/>
  <c r="AJ12" i="17"/>
  <c r="AJ4" i="17"/>
  <c r="AJ5" i="17"/>
  <c r="AJ6" i="17"/>
  <c r="AJ7" i="17"/>
  <c r="AJ8" i="17"/>
  <c r="AJ9" i="17"/>
  <c r="AJ10" i="17"/>
  <c r="AJ11" i="17"/>
  <c r="AK12" i="17"/>
  <c r="AK4" i="17"/>
  <c r="AK5" i="17"/>
  <c r="AK6" i="17"/>
  <c r="AK7" i="17"/>
  <c r="AK8" i="17"/>
  <c r="AK9" i="17"/>
  <c r="AK10" i="17"/>
  <c r="AK11" i="17"/>
  <c r="AH12" i="17"/>
  <c r="P4" i="17"/>
  <c r="AB3" i="17"/>
  <c r="AB12" i="17"/>
  <c r="AD12" i="17"/>
  <c r="AB4" i="17"/>
  <c r="AD4" i="17"/>
  <c r="AB5" i="17"/>
  <c r="AD5" i="17"/>
  <c r="AB6" i="17"/>
  <c r="AD6" i="17"/>
  <c r="AB7" i="17"/>
  <c r="AD7" i="17"/>
  <c r="AB8" i="17"/>
  <c r="AD8" i="17"/>
  <c r="AB9" i="17"/>
  <c r="AD9" i="17"/>
  <c r="AB10" i="17"/>
  <c r="AD10" i="17"/>
  <c r="AB11" i="17"/>
  <c r="AD11" i="17"/>
  <c r="AE12" i="17"/>
  <c r="AE4" i="17"/>
  <c r="AE5" i="17"/>
  <c r="AE6" i="17"/>
  <c r="AE7" i="17"/>
  <c r="AE8" i="17"/>
  <c r="AE9" i="17"/>
  <c r="AE10" i="17"/>
  <c r="AE11" i="17"/>
  <c r="AF12" i="17"/>
  <c r="AF4" i="17"/>
  <c r="AF5" i="17"/>
  <c r="AF6" i="17"/>
  <c r="AF7" i="17"/>
  <c r="AF8" i="17"/>
  <c r="AF9" i="17"/>
  <c r="AF10" i="17"/>
  <c r="AF11" i="17"/>
  <c r="AC12" i="17"/>
  <c r="O4" i="17"/>
  <c r="W3" i="17"/>
  <c r="W12" i="17"/>
  <c r="Y12" i="17"/>
  <c r="W4" i="17"/>
  <c r="Y4" i="17"/>
  <c r="W5" i="17"/>
  <c r="Y5" i="17"/>
  <c r="W6" i="17"/>
  <c r="Y6" i="17"/>
  <c r="W7" i="17"/>
  <c r="Y7" i="17"/>
  <c r="W8"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3"/>
  <c r="P3" i="3"/>
  <c r="Q3" i="3"/>
  <c r="R3" i="3"/>
  <c r="S3" i="3"/>
  <c r="T3" i="3"/>
  <c r="U3" i="3"/>
  <c r="V3" i="3"/>
  <c r="R4" i="3"/>
  <c r="AL3" i="3"/>
  <c r="AL12" i="3"/>
  <c r="AN12" i="3"/>
  <c r="AL4" i="3"/>
  <c r="AN4" i="3"/>
  <c r="AL5" i="3"/>
  <c r="AN5" i="3"/>
  <c r="AL6" i="3"/>
  <c r="AN6" i="3"/>
  <c r="AL7" i="3"/>
  <c r="AN7" i="3"/>
  <c r="AL8" i="3"/>
  <c r="AN8" i="3"/>
  <c r="AL9" i="3"/>
  <c r="AN9" i="3"/>
  <c r="AL10" i="3"/>
  <c r="AN10" i="3"/>
  <c r="AL11" i="3"/>
  <c r="AN11" i="3"/>
  <c r="AO12" i="3"/>
  <c r="AO4" i="3"/>
  <c r="AO5" i="3"/>
  <c r="AO6" i="3"/>
  <c r="AO7" i="3"/>
  <c r="AO8" i="3"/>
  <c r="AO9" i="3"/>
  <c r="AO10" i="3"/>
  <c r="AO11" i="3"/>
  <c r="AP12" i="3"/>
  <c r="AP4" i="3"/>
  <c r="AP5" i="3"/>
  <c r="AP6" i="3"/>
  <c r="AP7" i="3"/>
  <c r="AP8" i="3"/>
  <c r="AP9" i="3"/>
  <c r="AP10" i="3"/>
  <c r="AP11" i="3"/>
  <c r="AM12" i="3"/>
  <c r="Q4" i="3"/>
  <c r="AG3" i="3"/>
  <c r="AG12" i="3"/>
  <c r="AI12" i="3"/>
  <c r="AG4" i="3"/>
  <c r="AI4" i="3"/>
  <c r="AG5" i="3"/>
  <c r="AI5" i="3"/>
  <c r="AG6" i="3"/>
  <c r="AI6" i="3"/>
  <c r="AG7" i="3"/>
  <c r="AI7" i="3"/>
  <c r="AG8" i="3"/>
  <c r="AI8" i="3"/>
  <c r="AG9" i="3"/>
  <c r="AI9" i="3"/>
  <c r="AG10" i="3"/>
  <c r="AI10" i="3"/>
  <c r="AG11" i="3"/>
  <c r="AI11" i="3"/>
  <c r="AJ12" i="3"/>
  <c r="AJ4" i="3"/>
  <c r="AJ5" i="3"/>
  <c r="AJ6" i="3"/>
  <c r="AJ7" i="3"/>
  <c r="AJ8" i="3"/>
  <c r="AJ9" i="3"/>
  <c r="AJ10" i="3"/>
  <c r="AJ11" i="3"/>
  <c r="AK12" i="3"/>
  <c r="AK4" i="3"/>
  <c r="AK5" i="3"/>
  <c r="AK6" i="3"/>
  <c r="AK7" i="3"/>
  <c r="AK8" i="3"/>
  <c r="AK9" i="3"/>
  <c r="AK10" i="3"/>
  <c r="AK11" i="3"/>
  <c r="AH12" i="3"/>
  <c r="P4" i="3"/>
  <c r="AB3" i="3"/>
  <c r="AB12" i="3"/>
  <c r="AD12" i="3"/>
  <c r="AB4" i="3"/>
  <c r="AD4" i="3"/>
  <c r="AB5" i="3"/>
  <c r="AD5" i="3"/>
  <c r="AB6" i="3"/>
  <c r="AD6" i="3"/>
  <c r="AB7" i="3"/>
  <c r="AD7" i="3"/>
  <c r="AB8" i="3"/>
  <c r="AD8" i="3"/>
  <c r="AB9" i="3"/>
  <c r="AD9" i="3"/>
  <c r="AB10" i="3"/>
  <c r="AD10" i="3"/>
  <c r="AB11" i="3"/>
  <c r="AD11" i="3"/>
  <c r="AE12" i="3"/>
  <c r="AE4" i="3"/>
  <c r="AE5" i="3"/>
  <c r="AE6" i="3"/>
  <c r="AE7" i="3"/>
  <c r="AE8" i="3"/>
  <c r="AE9" i="3"/>
  <c r="AE10" i="3"/>
  <c r="AE11" i="3"/>
  <c r="AF12" i="3"/>
  <c r="AF4" i="3"/>
  <c r="AF5" i="3"/>
  <c r="AF6" i="3"/>
  <c r="AF7" i="3"/>
  <c r="AF8" i="3"/>
  <c r="AF9" i="3"/>
  <c r="AF10" i="3"/>
  <c r="AF11" i="3"/>
  <c r="AC12" i="3"/>
  <c r="O4" i="3"/>
  <c r="W3" i="3"/>
  <c r="W12" i="3"/>
  <c r="Y12" i="3"/>
  <c r="W4" i="3"/>
  <c r="Z17" i="3"/>
  <c r="Y4" i="3"/>
  <c r="W5" i="3"/>
  <c r="Y5" i="3"/>
  <c r="W6" i="3"/>
  <c r="Z19" i="3"/>
  <c r="Y6" i="3"/>
  <c r="W7" i="3"/>
  <c r="Z20" i="3"/>
  <c r="Y7" i="3"/>
  <c r="W8" i="3"/>
  <c r="Z21" i="3"/>
  <c r="Y8" i="3"/>
  <c r="W9" i="3"/>
  <c r="Y9" i="3"/>
  <c r="W10" i="3"/>
  <c r="Y10" i="3"/>
  <c r="W11" i="3"/>
  <c r="Y11" i="3"/>
  <c r="Z12" i="3"/>
  <c r="Z4" i="3"/>
  <c r="Z5" i="3"/>
  <c r="Z6" i="3"/>
  <c r="Z7" i="3"/>
  <c r="Z8" i="3"/>
  <c r="Z9" i="3"/>
  <c r="Z10" i="3"/>
  <c r="Z11" i="3"/>
  <c r="AA12" i="3"/>
  <c r="AA4" i="3"/>
  <c r="AA5" i="3"/>
  <c r="AA6" i="3"/>
  <c r="AA7" i="3"/>
  <c r="AA8" i="3"/>
  <c r="AA9" i="3"/>
  <c r="AA10" i="3"/>
  <c r="AA11" i="3"/>
  <c r="X12" i="3"/>
  <c r="AM11" i="3"/>
  <c r="AH11" i="3"/>
  <c r="AC11" i="3"/>
  <c r="X11" i="3"/>
  <c r="AM10" i="3"/>
  <c r="AH10" i="3"/>
  <c r="AC10" i="3"/>
  <c r="X10" i="3"/>
  <c r="AM9" i="3"/>
  <c r="AH9" i="3"/>
  <c r="AC9" i="3"/>
  <c r="X9" i="3"/>
  <c r="AM8" i="3"/>
  <c r="AH8" i="3"/>
  <c r="AC8" i="3"/>
  <c r="X8" i="3"/>
  <c r="AM7" i="3"/>
  <c r="AH7" i="3"/>
  <c r="AC7" i="3"/>
  <c r="X7" i="3"/>
  <c r="AM6" i="3"/>
  <c r="AH6" i="3"/>
  <c r="AC6" i="3"/>
  <c r="X6" i="3"/>
  <c r="AM5" i="3"/>
  <c r="AH5" i="3"/>
  <c r="AC5" i="3"/>
  <c r="X5" i="3"/>
  <c r="AM4" i="3"/>
  <c r="AH4" i="3"/>
  <c r="AC4" i="3"/>
  <c r="X4" i="3"/>
  <c r="Q67" i="3"/>
  <c r="F7" i="3"/>
  <c r="Q64" i="3"/>
  <c r="F4" i="3"/>
  <c r="Q65" i="3"/>
  <c r="F5" i="3"/>
  <c r="Q66" i="3"/>
  <c r="F6" i="3"/>
  <c r="Q66" i="17"/>
  <c r="F6" i="17"/>
  <c r="Q67" i="17"/>
  <c r="F7" i="17"/>
  <c r="Q64" i="17"/>
  <c r="F4" i="17"/>
  <c r="Q65" i="17"/>
  <c r="F5" i="17"/>
  <c r="C17" i="3"/>
  <c r="C18" i="3"/>
  <c r="C19" i="3"/>
  <c r="C20" i="3"/>
  <c r="BR52" i="3"/>
  <c r="BT51" i="3"/>
  <c r="BU51" i="3"/>
  <c r="BV51" i="3"/>
  <c r="BR53" i="3"/>
  <c r="BS51" i="3"/>
  <c r="BR54" i="3"/>
  <c r="BR55" i="3"/>
  <c r="BR30" i="3"/>
  <c r="BT29" i="3"/>
  <c r="BR31" i="3"/>
  <c r="BS29" i="3"/>
  <c r="BU29" i="3"/>
  <c r="BR32" i="3"/>
  <c r="BV40" i="3"/>
  <c r="BV29" i="3"/>
  <c r="BR33" i="3"/>
  <c r="BR44" i="3"/>
  <c r="BR41" i="3"/>
  <c r="BS40" i="3"/>
  <c r="BT40" i="3"/>
  <c r="BU40" i="3"/>
  <c r="BR42" i="3"/>
  <c r="BR43" i="3"/>
  <c r="BR52" i="17"/>
  <c r="BT51" i="17"/>
  <c r="BU51" i="17"/>
  <c r="BV51" i="17"/>
  <c r="BR53" i="17"/>
  <c r="BS51" i="17"/>
  <c r="BR54" i="17"/>
  <c r="BR55" i="17"/>
  <c r="C17" i="17"/>
  <c r="C19" i="17"/>
  <c r="C20" i="17"/>
  <c r="BR30" i="17"/>
  <c r="BT29" i="17"/>
  <c r="BR31" i="17"/>
  <c r="BS29" i="17"/>
  <c r="BU40" i="17"/>
  <c r="BU29" i="17"/>
  <c r="BR32" i="17"/>
  <c r="BV40" i="17"/>
  <c r="BV29" i="17"/>
  <c r="BR33" i="17"/>
  <c r="BR43" i="17"/>
  <c r="BR44" i="17"/>
  <c r="C18" i="17"/>
  <c r="BR41" i="17"/>
  <c r="BS40" i="17"/>
  <c r="BT40" i="17"/>
  <c r="BR42" i="17"/>
  <c r="K4" i="30"/>
  <c r="K5" i="30"/>
  <c r="K6" i="30"/>
  <c r="K7" i="30"/>
  <c r="K8" i="30"/>
  <c r="K9" i="30"/>
  <c r="K10" i="30"/>
  <c r="K11" i="30"/>
  <c r="K12" i="30"/>
  <c r="K13" i="30"/>
  <c r="F13" i="30"/>
  <c r="AE30" i="27" a="1"/>
  <c r="AE30" i="27"/>
  <c r="D4" i="30"/>
  <c r="D5" i="30"/>
  <c r="D6" i="30"/>
  <c r="D7" i="30"/>
  <c r="D8" i="30"/>
  <c r="D9" i="30"/>
  <c r="D10" i="30"/>
  <c r="D11" i="30"/>
  <c r="D12" i="30"/>
  <c r="C4" i="30"/>
  <c r="C5" i="30"/>
  <c r="R26" i="27"/>
  <c r="I42" i="27"/>
  <c r="K4" i="29"/>
  <c r="K5" i="29"/>
  <c r="K6" i="29"/>
  <c r="K7" i="29"/>
  <c r="K8" i="29"/>
  <c r="K9" i="29"/>
  <c r="K10" i="29"/>
  <c r="K11" i="29"/>
  <c r="K12" i="29"/>
  <c r="K13" i="29"/>
  <c r="F13" i="29"/>
  <c r="AE23" i="27" a="1"/>
  <c r="AE23" i="27"/>
  <c r="D4" i="29"/>
  <c r="D5" i="29"/>
  <c r="D6" i="29"/>
  <c r="D7" i="29"/>
  <c r="D8" i="29"/>
  <c r="D9" i="29"/>
  <c r="D10" i="29"/>
  <c r="D11" i="29"/>
  <c r="D12" i="29"/>
  <c r="C4" i="29"/>
  <c r="C5" i="29"/>
  <c r="R19" i="27"/>
  <c r="I38" i="27"/>
  <c r="C6" i="30"/>
  <c r="C7" i="30"/>
  <c r="R29" i="27"/>
  <c r="I45" i="27"/>
  <c r="R28" i="27"/>
  <c r="I44" i="27"/>
  <c r="R27" i="27"/>
  <c r="I43" i="27"/>
  <c r="C6" i="29"/>
  <c r="R22" i="27"/>
  <c r="I41" i="27"/>
  <c r="C7" i="29"/>
  <c r="R21" i="27"/>
  <c r="I40" i="27"/>
  <c r="R20" i="27"/>
  <c r="I39" i="27"/>
  <c r="K4" i="28"/>
  <c r="K5" i="28"/>
  <c r="K6" i="28"/>
  <c r="K7" i="28"/>
  <c r="K8" i="28"/>
  <c r="K9" i="28"/>
  <c r="K10" i="28"/>
  <c r="K11" i="28"/>
  <c r="K12" i="28"/>
  <c r="K13" i="28"/>
  <c r="D4" i="28"/>
  <c r="D5" i="28"/>
  <c r="D6" i="28"/>
  <c r="D7" i="28"/>
  <c r="D8" i="28"/>
  <c r="D9" i="28"/>
  <c r="D10" i="28"/>
  <c r="D11" i="28"/>
  <c r="D12" i="28"/>
  <c r="C4" i="28"/>
  <c r="C5" i="28"/>
  <c r="C6" i="28"/>
  <c r="C7" i="28"/>
  <c r="R15" i="27"/>
  <c r="I37" i="27"/>
  <c r="R14" i="27"/>
  <c r="I36" i="27"/>
  <c r="R13" i="27"/>
  <c r="I35" i="27"/>
  <c r="R12" i="27"/>
  <c r="I34" i="27"/>
  <c r="L4" i="30"/>
  <c r="M4" i="30"/>
  <c r="N4" i="30"/>
  <c r="L5" i="30"/>
  <c r="M5" i="30"/>
  <c r="N5" i="30"/>
  <c r="L6" i="30"/>
  <c r="M6" i="30"/>
  <c r="N6" i="30"/>
  <c r="L7" i="30"/>
  <c r="M7" i="30"/>
  <c r="N7" i="30"/>
  <c r="C8" i="30"/>
  <c r="L8" i="30"/>
  <c r="M8" i="30"/>
  <c r="N8" i="30"/>
  <c r="C9" i="30"/>
  <c r="L9" i="30"/>
  <c r="M9" i="30"/>
  <c r="N9" i="30"/>
  <c r="C10" i="30"/>
  <c r="L10" i="30"/>
  <c r="M10" i="30"/>
  <c r="N10" i="30"/>
  <c r="C11" i="30"/>
  <c r="L11" i="30"/>
  <c r="M11" i="30"/>
  <c r="N11" i="30"/>
  <c r="C12" i="30"/>
  <c r="L12" i="30"/>
  <c r="M12" i="30"/>
  <c r="N12" i="30"/>
  <c r="E87" i="9"/>
  <c r="Q18" i="22"/>
  <c r="E88" i="9"/>
  <c r="E49" i="9"/>
  <c r="AD7" i="6"/>
  <c r="Y18" i="30"/>
  <c r="Y19" i="30"/>
  <c r="Y20" i="30"/>
  <c r="Y17" i="30"/>
  <c r="Y18" i="29"/>
  <c r="Y19" i="29"/>
  <c r="Y20" i="29"/>
  <c r="Y17" i="29"/>
  <c r="Y17" i="28"/>
  <c r="Y18" i="28"/>
  <c r="Y19" i="28"/>
  <c r="Y20" i="28"/>
  <c r="L4" i="28"/>
  <c r="M4" i="28"/>
  <c r="N4" i="28"/>
  <c r="L5" i="28"/>
  <c r="M5" i="28"/>
  <c r="N5" i="28"/>
  <c r="L6" i="28"/>
  <c r="M6" i="28"/>
  <c r="N6" i="28"/>
  <c r="L7" i="28"/>
  <c r="M7" i="28"/>
  <c r="N7" i="28"/>
  <c r="C8" i="28"/>
  <c r="L8" i="28"/>
  <c r="M8" i="28"/>
  <c r="N8" i="28"/>
  <c r="C9" i="28"/>
  <c r="L9" i="28"/>
  <c r="M9" i="28"/>
  <c r="N9" i="28"/>
  <c r="C10" i="28"/>
  <c r="L10" i="28"/>
  <c r="M10" i="28"/>
  <c r="N10" i="28"/>
  <c r="C11" i="28"/>
  <c r="L11" i="28"/>
  <c r="M11" i="28"/>
  <c r="N11" i="28"/>
  <c r="C12" i="28"/>
  <c r="L12" i="28"/>
  <c r="M12" i="28"/>
  <c r="N12" i="28"/>
  <c r="AA29" i="27"/>
  <c r="Z29" i="27"/>
  <c r="Y29" i="27"/>
  <c r="W29" i="27"/>
  <c r="V29" i="27"/>
  <c r="U29" i="27"/>
  <c r="T29" i="27"/>
  <c r="S29" i="27"/>
  <c r="AA28" i="27"/>
  <c r="Z28" i="27"/>
  <c r="Y28" i="27"/>
  <c r="W28" i="27"/>
  <c r="V28" i="27"/>
  <c r="U28" i="27"/>
  <c r="T28" i="27"/>
  <c r="S28" i="27"/>
  <c r="AA27" i="27"/>
  <c r="Z27" i="27"/>
  <c r="Y27" i="27"/>
  <c r="W27" i="27"/>
  <c r="V27" i="27"/>
  <c r="U27" i="27"/>
  <c r="T27" i="27"/>
  <c r="S27" i="27"/>
  <c r="AA26" i="27"/>
  <c r="Z26" i="27"/>
  <c r="Y26" i="27"/>
  <c r="W26" i="27"/>
  <c r="V26" i="27"/>
  <c r="U26" i="27"/>
  <c r="T26" i="27"/>
  <c r="S26" i="27"/>
  <c r="AA22" i="27"/>
  <c r="Z22" i="27"/>
  <c r="Y22" i="27"/>
  <c r="W22" i="27"/>
  <c r="N6" i="29"/>
  <c r="N4" i="29"/>
  <c r="V22" i="27"/>
  <c r="M6" i="29"/>
  <c r="M4" i="29"/>
  <c r="U22" i="27"/>
  <c r="L6" i="29"/>
  <c r="L4" i="29"/>
  <c r="T22" i="27"/>
  <c r="S22" i="27"/>
  <c r="AA21" i="27"/>
  <c r="Z21" i="27"/>
  <c r="Y21" i="27"/>
  <c r="W21" i="27"/>
  <c r="N7" i="29"/>
  <c r="V21" i="27"/>
  <c r="M7" i="29"/>
  <c r="U21" i="27"/>
  <c r="L7" i="29"/>
  <c r="T21" i="27"/>
  <c r="S21" i="27"/>
  <c r="AA20" i="27"/>
  <c r="Z20" i="27"/>
  <c r="Y20" i="27"/>
  <c r="W20" i="27"/>
  <c r="V20" i="27"/>
  <c r="U20" i="27"/>
  <c r="T20" i="27"/>
  <c r="S20" i="27"/>
  <c r="AA19" i="27"/>
  <c r="Z19" i="27"/>
  <c r="Y19" i="27"/>
  <c r="W19" i="27"/>
  <c r="N5" i="29"/>
  <c r="V19" i="27"/>
  <c r="M5" i="29"/>
  <c r="U19" i="27"/>
  <c r="L5" i="29"/>
  <c r="T19" i="27"/>
  <c r="S19" i="27"/>
  <c r="Q26" i="27"/>
  <c r="Q27" i="27"/>
  <c r="Q28" i="27"/>
  <c r="Q29" i="27"/>
  <c r="Q19" i="27"/>
  <c r="Q20" i="27"/>
  <c r="Q21" i="27"/>
  <c r="Q22" i="27"/>
  <c r="C8" i="29"/>
  <c r="C9" i="29"/>
  <c r="C10" i="29"/>
  <c r="C11" i="29"/>
  <c r="C12" i="29"/>
  <c r="Q12" i="27"/>
  <c r="Q13" i="27"/>
  <c r="Q14" i="27"/>
  <c r="Q15" i="27"/>
  <c r="X29" i="27"/>
  <c r="X28" i="27"/>
  <c r="X27" i="27"/>
  <c r="X26" i="27"/>
  <c r="AF25" i="27"/>
  <c r="E10" i="9"/>
  <c r="AE25" i="27"/>
  <c r="E27" i="9"/>
  <c r="AA25" i="27"/>
  <c r="E26" i="9"/>
  <c r="Z25" i="27"/>
  <c r="E25" i="9"/>
  <c r="W25" i="27"/>
  <c r="E24" i="9"/>
  <c r="V25" i="27"/>
  <c r="E23" i="9"/>
  <c r="U25" i="27"/>
  <c r="E22" i="9"/>
  <c r="T25" i="27"/>
  <c r="E21" i="9"/>
  <c r="S25" i="27"/>
  <c r="X22" i="27"/>
  <c r="X21" i="27"/>
  <c r="X20" i="27"/>
  <c r="X19" i="27"/>
  <c r="AF18" i="27"/>
  <c r="AE18" i="27"/>
  <c r="AA18" i="27"/>
  <c r="Z18" i="27"/>
  <c r="W18" i="27"/>
  <c r="V18" i="27"/>
  <c r="U18" i="27"/>
  <c r="T18" i="27"/>
  <c r="S18" i="27"/>
  <c r="AA15" i="27"/>
  <c r="AA14" i="27"/>
  <c r="AA13" i="27"/>
  <c r="AA12" i="27"/>
  <c r="Z15" i="27"/>
  <c r="Z14" i="27"/>
  <c r="Z13" i="27"/>
  <c r="Z12" i="27"/>
  <c r="Y15" i="27"/>
  <c r="Y14" i="27"/>
  <c r="Y13" i="27"/>
  <c r="Y12" i="27"/>
  <c r="W15" i="27"/>
  <c r="W14" i="27"/>
  <c r="W13" i="27"/>
  <c r="W12" i="27"/>
  <c r="V13" i="27"/>
  <c r="V12" i="27"/>
  <c r="V15" i="27"/>
  <c r="V14" i="27"/>
  <c r="U15" i="27"/>
  <c r="U14" i="27"/>
  <c r="U13" i="27"/>
  <c r="U12" i="27"/>
  <c r="T15" i="27"/>
  <c r="T14" i="27"/>
  <c r="T13" i="27"/>
  <c r="T12" i="27"/>
  <c r="S15" i="27"/>
  <c r="S14" i="27"/>
  <c r="S13" i="27"/>
  <c r="S12" i="27"/>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V100" i="30"/>
  <c r="W100" i="30"/>
  <c r="X100" i="30"/>
  <c r="Y100" i="30"/>
  <c r="AA100" i="30"/>
  <c r="AA172" i="30"/>
  <c r="AB172" i="30"/>
  <c r="Z172" i="30"/>
  <c r="V99" i="30"/>
  <c r="W99" i="30"/>
  <c r="X99" i="30"/>
  <c r="Y99" i="30"/>
  <c r="AA99" i="30"/>
  <c r="AA171" i="30"/>
  <c r="AB171" i="30"/>
  <c r="Z171" i="30"/>
  <c r="V98" i="30"/>
  <c r="W98" i="30"/>
  <c r="X98" i="30"/>
  <c r="Y98" i="30"/>
  <c r="AA98" i="30"/>
  <c r="AA170" i="30"/>
  <c r="AB170" i="30"/>
  <c r="Z170" i="30"/>
  <c r="V97" i="30"/>
  <c r="W97" i="30"/>
  <c r="X97" i="30"/>
  <c r="Y97" i="30"/>
  <c r="AA97" i="30"/>
  <c r="AA169" i="30"/>
  <c r="AB169" i="30"/>
  <c r="Z169" i="30"/>
  <c r="V96" i="30"/>
  <c r="W96" i="30"/>
  <c r="X96" i="30"/>
  <c r="Y96" i="30"/>
  <c r="AA96" i="30"/>
  <c r="AA168" i="30"/>
  <c r="AB168" i="30"/>
  <c r="Z168" i="30"/>
  <c r="V95" i="30"/>
  <c r="W95" i="30"/>
  <c r="X95" i="30"/>
  <c r="Y95" i="30"/>
  <c r="AA95" i="30"/>
  <c r="AA167" i="30"/>
  <c r="AB167" i="30"/>
  <c r="Z167" i="30"/>
  <c r="V94" i="30"/>
  <c r="W94" i="30"/>
  <c r="X94" i="30"/>
  <c r="Y94" i="30"/>
  <c r="AA94" i="30"/>
  <c r="AA166" i="30"/>
  <c r="AB166" i="30"/>
  <c r="Z166" i="30"/>
  <c r="V93" i="30"/>
  <c r="W93" i="30"/>
  <c r="X93" i="30"/>
  <c r="Y93" i="30"/>
  <c r="AA93" i="30"/>
  <c r="AA165" i="30"/>
  <c r="AB165" i="30"/>
  <c r="Z165" i="30"/>
  <c r="V92" i="30"/>
  <c r="W92" i="30"/>
  <c r="X92" i="30"/>
  <c r="Y92" i="30"/>
  <c r="AA92" i="30"/>
  <c r="AA164" i="30"/>
  <c r="AB164" i="30"/>
  <c r="Z164" i="30"/>
  <c r="V91" i="30"/>
  <c r="W91" i="30"/>
  <c r="X91" i="30"/>
  <c r="Y91" i="30"/>
  <c r="AA91" i="30"/>
  <c r="AA163" i="30"/>
  <c r="AB163" i="30"/>
  <c r="Z163" i="30"/>
  <c r="V90" i="30"/>
  <c r="W90" i="30"/>
  <c r="X90" i="30"/>
  <c r="Y90" i="30"/>
  <c r="AA90" i="30"/>
  <c r="AA162" i="30"/>
  <c r="AB162" i="30"/>
  <c r="Z162" i="30"/>
  <c r="V89" i="30"/>
  <c r="W89" i="30"/>
  <c r="X89" i="30"/>
  <c r="Y89" i="30"/>
  <c r="AA89" i="30"/>
  <c r="AA161" i="30"/>
  <c r="AB161" i="30"/>
  <c r="Z161" i="30"/>
  <c r="V88" i="30"/>
  <c r="W88" i="30"/>
  <c r="X88" i="30"/>
  <c r="Y88" i="30"/>
  <c r="AA88" i="30"/>
  <c r="AA160" i="30"/>
  <c r="AB160" i="30"/>
  <c r="Z160" i="30"/>
  <c r="V87" i="30"/>
  <c r="W87" i="30"/>
  <c r="X87" i="30"/>
  <c r="Y87" i="30"/>
  <c r="AA87" i="30"/>
  <c r="AA159" i="30"/>
  <c r="AB159" i="30"/>
  <c r="Z159" i="30"/>
  <c r="V86" i="30"/>
  <c r="W86" i="30"/>
  <c r="X86" i="30"/>
  <c r="Y86" i="30"/>
  <c r="AA86" i="30"/>
  <c r="AA158" i="30"/>
  <c r="AB158" i="30"/>
  <c r="Z158" i="30"/>
  <c r="V85" i="30"/>
  <c r="W85" i="30"/>
  <c r="X85" i="30"/>
  <c r="Y85" i="30"/>
  <c r="AA85" i="30"/>
  <c r="AA157" i="30"/>
  <c r="AB157" i="30"/>
  <c r="Z157" i="30"/>
  <c r="V84" i="30"/>
  <c r="W84" i="30"/>
  <c r="X84" i="30"/>
  <c r="Y84" i="30"/>
  <c r="AA84" i="30"/>
  <c r="AA156" i="30"/>
  <c r="AB156" i="30"/>
  <c r="Z156" i="30"/>
  <c r="V83" i="30"/>
  <c r="W83" i="30"/>
  <c r="X83" i="30"/>
  <c r="Y83" i="30"/>
  <c r="AA83" i="30"/>
  <c r="AA155" i="30"/>
  <c r="AB155" i="30"/>
  <c r="Z155" i="30"/>
  <c r="V82" i="30"/>
  <c r="W82" i="30"/>
  <c r="X82" i="30"/>
  <c r="Y82" i="30"/>
  <c r="AA82" i="30"/>
  <c r="AA154" i="30"/>
  <c r="AB154" i="30"/>
  <c r="Z154" i="30"/>
  <c r="AA153" i="30"/>
  <c r="AB153" i="30"/>
  <c r="Z153" i="30"/>
  <c r="AA152" i="30"/>
  <c r="AB152" i="30"/>
  <c r="Z152" i="30"/>
  <c r="AA151" i="30"/>
  <c r="AB151" i="30"/>
  <c r="Z151" i="30"/>
  <c r="AA150" i="30"/>
  <c r="AB150" i="30"/>
  <c r="Z150" i="30"/>
  <c r="AA149" i="30"/>
  <c r="AB149" i="30"/>
  <c r="Z149" i="30"/>
  <c r="AA148" i="30"/>
  <c r="AB148" i="30"/>
  <c r="Z148" i="30"/>
  <c r="AA147" i="30"/>
  <c r="AB147" i="30"/>
  <c r="Z147" i="30"/>
  <c r="AA146" i="30"/>
  <c r="AB146" i="30"/>
  <c r="Z146" i="30"/>
  <c r="AA145" i="30"/>
  <c r="AB145" i="30"/>
  <c r="Z145" i="30"/>
  <c r="AA144" i="30"/>
  <c r="AB144" i="30"/>
  <c r="Z144" i="30"/>
  <c r="AA143" i="30"/>
  <c r="AB143" i="30"/>
  <c r="Z143" i="30"/>
  <c r="AA142" i="30"/>
  <c r="AB142" i="30"/>
  <c r="Z142" i="30"/>
  <c r="AA141" i="30"/>
  <c r="AB141" i="30"/>
  <c r="Z141" i="30"/>
  <c r="AA140" i="30"/>
  <c r="AB140" i="30"/>
  <c r="Z140" i="30"/>
  <c r="AA139" i="30"/>
  <c r="AB139" i="30"/>
  <c r="Z139" i="30"/>
  <c r="AA138" i="30"/>
  <c r="AB138" i="30"/>
  <c r="Z138" i="30"/>
  <c r="AA137" i="30"/>
  <c r="AB137" i="30"/>
  <c r="Z137" i="30"/>
  <c r="AA136" i="30"/>
  <c r="AB136" i="30"/>
  <c r="Z136"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F100" i="30"/>
  <c r="AE100" i="30"/>
  <c r="AB100" i="30"/>
  <c r="Z100" i="30"/>
  <c r="AF99" i="30"/>
  <c r="AE99" i="30"/>
  <c r="AB99" i="30"/>
  <c r="Z99" i="30"/>
  <c r="AF98" i="30"/>
  <c r="AE98" i="30"/>
  <c r="AB98" i="30"/>
  <c r="Z98" i="30"/>
  <c r="AF97" i="30"/>
  <c r="AE97" i="30"/>
  <c r="AB97" i="30"/>
  <c r="Z97" i="30"/>
  <c r="AF96" i="30"/>
  <c r="AE96" i="30"/>
  <c r="AB96" i="30"/>
  <c r="Z96" i="30"/>
  <c r="AF95" i="30"/>
  <c r="AE95" i="30"/>
  <c r="AB95" i="30"/>
  <c r="Z95" i="30"/>
  <c r="AF94" i="30"/>
  <c r="AE94" i="30"/>
  <c r="AB94" i="30"/>
  <c r="Z94" i="30"/>
  <c r="AF93" i="30"/>
  <c r="AE93" i="30"/>
  <c r="AB93" i="30"/>
  <c r="Z93" i="30"/>
  <c r="AF92" i="30"/>
  <c r="AE92" i="30"/>
  <c r="AB92" i="30"/>
  <c r="Z92" i="30"/>
  <c r="AF91" i="30"/>
  <c r="AE91" i="30"/>
  <c r="AB91" i="30"/>
  <c r="Z91" i="30"/>
  <c r="AF90" i="30"/>
  <c r="AE90" i="30"/>
  <c r="AB90" i="30"/>
  <c r="Z90" i="30"/>
  <c r="AF89" i="30"/>
  <c r="AE89" i="30"/>
  <c r="AB89" i="30"/>
  <c r="Z89" i="30"/>
  <c r="AF88" i="30"/>
  <c r="AE88" i="30"/>
  <c r="AB88" i="30"/>
  <c r="Z88" i="30"/>
  <c r="AF87" i="30"/>
  <c r="AE87" i="30"/>
  <c r="AB87" i="30"/>
  <c r="Z87" i="30"/>
  <c r="AF86" i="30"/>
  <c r="AE86" i="30"/>
  <c r="AB86" i="30"/>
  <c r="Z86" i="30"/>
  <c r="AF85" i="30"/>
  <c r="AE85" i="30"/>
  <c r="AB85" i="30"/>
  <c r="Z85" i="30"/>
  <c r="AF84" i="30"/>
  <c r="AE84" i="30"/>
  <c r="AB84" i="30"/>
  <c r="Z84" i="30"/>
  <c r="AF83" i="30"/>
  <c r="AE83" i="30"/>
  <c r="AB83" i="30"/>
  <c r="Z83" i="30"/>
  <c r="AF82" i="30"/>
  <c r="AE82" i="30"/>
  <c r="AB82" i="30"/>
  <c r="Z82" i="30"/>
  <c r="AB81" i="30"/>
  <c r="Z81" i="30"/>
  <c r="AB80" i="30"/>
  <c r="Z80" i="30"/>
  <c r="AB79" i="30"/>
  <c r="Z79" i="30"/>
  <c r="AB78" i="30"/>
  <c r="Z78" i="30"/>
  <c r="AB77" i="30"/>
  <c r="Z77" i="30"/>
  <c r="AB76" i="30"/>
  <c r="Z76" i="30"/>
  <c r="AB75" i="30"/>
  <c r="Z75" i="30"/>
  <c r="AB74" i="30"/>
  <c r="Z74" i="30"/>
  <c r="AB73" i="30"/>
  <c r="Z73" i="30"/>
  <c r="AB72" i="30"/>
  <c r="Z72" i="30"/>
  <c r="Q72" i="30"/>
  <c r="AB71" i="30"/>
  <c r="Z71" i="30"/>
  <c r="Q71" i="30"/>
  <c r="AB70" i="30"/>
  <c r="Z70" i="30"/>
  <c r="Q70" i="30"/>
  <c r="AB69" i="30"/>
  <c r="Z69" i="30"/>
  <c r="Q69" i="30"/>
  <c r="AB68" i="30"/>
  <c r="Z68" i="30"/>
  <c r="Q68" i="30"/>
  <c r="AB67" i="30"/>
  <c r="Z67" i="30"/>
  <c r="AB66" i="30"/>
  <c r="Z66" i="30"/>
  <c r="AB65" i="30"/>
  <c r="Z65" i="30"/>
  <c r="AB64" i="30"/>
  <c r="Z64" i="30"/>
  <c r="F12" i="30"/>
  <c r="BR60" i="30"/>
  <c r="F11" i="30"/>
  <c r="BZ51" i="30"/>
  <c r="F10" i="30"/>
  <c r="BY51" i="30"/>
  <c r="F9" i="30"/>
  <c r="BX51" i="30"/>
  <c r="F8" i="30"/>
  <c r="BW51" i="30"/>
  <c r="C25" i="30"/>
  <c r="BR59" i="30"/>
  <c r="CA51" i="30"/>
  <c r="C24" i="30"/>
  <c r="BR58" i="30"/>
  <c r="C23" i="30"/>
  <c r="BR57" i="30"/>
  <c r="C22" i="30"/>
  <c r="BR56" i="30"/>
  <c r="C21" i="30"/>
  <c r="BW29" i="30"/>
  <c r="BX29" i="30"/>
  <c r="BY29" i="30"/>
  <c r="BZ29" i="30"/>
  <c r="CA29" i="30"/>
  <c r="BR34" i="30"/>
  <c r="BR35" i="30"/>
  <c r="BR36" i="30"/>
  <c r="BR37" i="30"/>
  <c r="BR38" i="30"/>
  <c r="BR49" i="30"/>
  <c r="BR48" i="30"/>
  <c r="BR47" i="30"/>
  <c r="BR46" i="30"/>
  <c r="BR45" i="30"/>
  <c r="BW40" i="30"/>
  <c r="BX40" i="30"/>
  <c r="BY40" i="30"/>
  <c r="BZ40" i="30"/>
  <c r="CA40" i="30"/>
  <c r="BP38" i="30" a="1"/>
  <c r="BP38" i="30"/>
  <c r="BO38" i="30" a="1"/>
  <c r="BO38" i="30"/>
  <c r="BN38" i="30" a="1"/>
  <c r="BN38" i="30"/>
  <c r="BM38" i="30" a="1"/>
  <c r="BM38" i="30"/>
  <c r="BL38" i="30" a="1"/>
  <c r="BL38" i="30"/>
  <c r="BK38" i="30" a="1"/>
  <c r="BK38" i="30"/>
  <c r="BJ38" i="30" a="1"/>
  <c r="BJ38" i="30"/>
  <c r="BI38" i="30" a="1"/>
  <c r="BI38" i="30"/>
  <c r="BH38" i="30" a="1"/>
  <c r="BH38" i="30"/>
  <c r="BG38" i="30" a="1"/>
  <c r="BG38" i="30"/>
  <c r="BF38" i="30" a="1"/>
  <c r="BF38" i="30"/>
  <c r="BE38" i="30" a="1"/>
  <c r="BE38" i="30"/>
  <c r="BD38" i="30" a="1"/>
  <c r="BD38" i="30"/>
  <c r="BC38" i="30" a="1"/>
  <c r="BC38" i="30"/>
  <c r="BB38" i="30" a="1"/>
  <c r="BB38" i="30"/>
  <c r="BA38" i="30" a="1"/>
  <c r="BA38" i="30"/>
  <c r="AZ38" i="30" a="1"/>
  <c r="AZ38" i="30"/>
  <c r="AY38" i="30" a="1"/>
  <c r="AY38" i="30"/>
  <c r="AX38" i="30" a="1"/>
  <c r="AX38" i="30"/>
  <c r="AW38" i="30" a="1"/>
  <c r="AW38" i="30"/>
  <c r="AV38" i="30" a="1"/>
  <c r="AV38" i="30"/>
  <c r="AU38" i="30" a="1"/>
  <c r="AU38" i="30"/>
  <c r="AT38" i="30" a="1"/>
  <c r="AT38" i="30"/>
  <c r="AS38" i="30" a="1"/>
  <c r="AS38" i="30"/>
  <c r="AR38" i="30" a="1"/>
  <c r="AR38" i="30"/>
  <c r="AQ38" i="30" a="1"/>
  <c r="AQ38" i="30"/>
  <c r="AP38" i="30" a="1"/>
  <c r="AP38" i="30"/>
  <c r="AO38" i="30" a="1"/>
  <c r="AO38" i="30"/>
  <c r="AN38" i="30" a="1"/>
  <c r="AN38" i="30"/>
  <c r="AM38" i="30" a="1"/>
  <c r="AM38" i="30"/>
  <c r="AL38" i="30" a="1"/>
  <c r="AL38" i="30"/>
  <c r="AK38" i="30" a="1"/>
  <c r="AK38" i="30"/>
  <c r="AJ38" i="30" a="1"/>
  <c r="AJ38" i="30"/>
  <c r="AI38" i="30" a="1"/>
  <c r="AI38" i="30"/>
  <c r="AH38" i="30" a="1"/>
  <c r="AH38" i="30"/>
  <c r="AG38" i="30" a="1"/>
  <c r="AG38" i="30"/>
  <c r="AF38" i="30" a="1"/>
  <c r="AF38" i="30"/>
  <c r="AE38" i="30" a="1"/>
  <c r="AE38" i="30"/>
  <c r="AD38" i="30" a="1"/>
  <c r="AD38" i="30"/>
  <c r="AC38" i="30" a="1"/>
  <c r="AC38" i="30"/>
  <c r="AB38" i="30" a="1"/>
  <c r="AB38" i="30"/>
  <c r="AA38" i="30" a="1"/>
  <c r="AA38" i="30"/>
  <c r="Z38" i="30" a="1"/>
  <c r="Z38" i="30"/>
  <c r="Y38" i="30" a="1"/>
  <c r="Y38" i="30"/>
  <c r="X38" i="30" a="1"/>
  <c r="X38" i="30"/>
  <c r="W38" i="30" a="1"/>
  <c r="W38" i="30"/>
  <c r="V38" i="30" a="1"/>
  <c r="V38" i="30"/>
  <c r="U38" i="30" a="1"/>
  <c r="U38" i="30"/>
  <c r="T38" i="30" a="1"/>
  <c r="T38" i="30"/>
  <c r="S38" i="30" a="1"/>
  <c r="S38" i="30"/>
  <c r="R38" i="30" a="1"/>
  <c r="R38" i="30"/>
  <c r="Q38" i="30" a="1"/>
  <c r="Q38" i="30"/>
  <c r="P38" i="30" a="1"/>
  <c r="P38" i="30"/>
  <c r="O38" i="30" a="1"/>
  <c r="O38" i="30"/>
  <c r="N38" i="30" a="1"/>
  <c r="N38" i="30"/>
  <c r="M38" i="30" a="1"/>
  <c r="M38" i="30"/>
  <c r="L38" i="30" a="1"/>
  <c r="L38" i="30"/>
  <c r="K38" i="30" a="1"/>
  <c r="K38" i="30"/>
  <c r="J38" i="30" a="1"/>
  <c r="J38" i="30"/>
  <c r="I38" i="30" a="1"/>
  <c r="I38" i="30"/>
  <c r="H38" i="30" a="1"/>
  <c r="H38" i="30"/>
  <c r="G38" i="30" a="1"/>
  <c r="G38" i="30"/>
  <c r="F38" i="30" a="1"/>
  <c r="F38" i="30"/>
  <c r="E38" i="30" a="1"/>
  <c r="E38" i="30"/>
  <c r="C38" i="30"/>
  <c r="BP37" i="30" a="1"/>
  <c r="BP37" i="30"/>
  <c r="BO37" i="30" a="1"/>
  <c r="BO37" i="30"/>
  <c r="BN37" i="30" a="1"/>
  <c r="BN37" i="30"/>
  <c r="BM37" i="30" a="1"/>
  <c r="BM37" i="30"/>
  <c r="BL37" i="30" a="1"/>
  <c r="BL37" i="30"/>
  <c r="BK37" i="30" a="1"/>
  <c r="BK37" i="30"/>
  <c r="BJ37" i="30" a="1"/>
  <c r="BJ37" i="30"/>
  <c r="BI37" i="30" a="1"/>
  <c r="BI37" i="30"/>
  <c r="BH37" i="30" a="1"/>
  <c r="BH37" i="30"/>
  <c r="BG37" i="30" a="1"/>
  <c r="BG37" i="30"/>
  <c r="BF37" i="30" a="1"/>
  <c r="BF37" i="30"/>
  <c r="BE37" i="30" a="1"/>
  <c r="BE37" i="30"/>
  <c r="BD37" i="30" a="1"/>
  <c r="BD37" i="30"/>
  <c r="BC37" i="30" a="1"/>
  <c r="BC37" i="30"/>
  <c r="BB37" i="30" a="1"/>
  <c r="BB37" i="30"/>
  <c r="BA37" i="30" a="1"/>
  <c r="BA37" i="30"/>
  <c r="AZ37" i="30" a="1"/>
  <c r="AZ37" i="30"/>
  <c r="AY37" i="30" a="1"/>
  <c r="AY37" i="30"/>
  <c r="AX37" i="30" a="1"/>
  <c r="AX37" i="30"/>
  <c r="AW37" i="30" a="1"/>
  <c r="AW37" i="30"/>
  <c r="AV37" i="30" a="1"/>
  <c r="AV37" i="30"/>
  <c r="AU37" i="30" a="1"/>
  <c r="AU37" i="30"/>
  <c r="AT37" i="30" a="1"/>
  <c r="AT37" i="30"/>
  <c r="AS37" i="30" a="1"/>
  <c r="AS37" i="30"/>
  <c r="AR37" i="30" a="1"/>
  <c r="AR37" i="30"/>
  <c r="AQ37" i="30" a="1"/>
  <c r="AQ37" i="30"/>
  <c r="AP37" i="30" a="1"/>
  <c r="AP37" i="30"/>
  <c r="AO37" i="30" a="1"/>
  <c r="AO37" i="30"/>
  <c r="AN37" i="30" a="1"/>
  <c r="AN37" i="30"/>
  <c r="AM37" i="30" a="1"/>
  <c r="AM37" i="30"/>
  <c r="AL37" i="30" a="1"/>
  <c r="AL37" i="30"/>
  <c r="AK37" i="30" a="1"/>
  <c r="AK37" i="30"/>
  <c r="AJ37" i="30" a="1"/>
  <c r="AJ37" i="30"/>
  <c r="AI37" i="30" a="1"/>
  <c r="AI37" i="30"/>
  <c r="AH37" i="30" a="1"/>
  <c r="AH37" i="30"/>
  <c r="AG37" i="30" a="1"/>
  <c r="AG37" i="30"/>
  <c r="AF37" i="30" a="1"/>
  <c r="AF37" i="30"/>
  <c r="AE37" i="30" a="1"/>
  <c r="AE37" i="30"/>
  <c r="AD37" i="30" a="1"/>
  <c r="AD37" i="30"/>
  <c r="AC37" i="30" a="1"/>
  <c r="AC37" i="30"/>
  <c r="AB37" i="30" a="1"/>
  <c r="AB37" i="30"/>
  <c r="AA37" i="30" a="1"/>
  <c r="AA37" i="30"/>
  <c r="Z37" i="30" a="1"/>
  <c r="Z37" i="30"/>
  <c r="Y37" i="30" a="1"/>
  <c r="Y37" i="30"/>
  <c r="X37" i="30" a="1"/>
  <c r="X37" i="30"/>
  <c r="W37" i="30" a="1"/>
  <c r="W37" i="30"/>
  <c r="V37" i="30" a="1"/>
  <c r="V37" i="30"/>
  <c r="U37" i="30" a="1"/>
  <c r="U37" i="30"/>
  <c r="T37" i="30" a="1"/>
  <c r="T37" i="30"/>
  <c r="S37" i="30" a="1"/>
  <c r="S37" i="30"/>
  <c r="R37" i="30" a="1"/>
  <c r="R37" i="30"/>
  <c r="Q37" i="30" a="1"/>
  <c r="Q37" i="30"/>
  <c r="P37" i="30" a="1"/>
  <c r="P37" i="30"/>
  <c r="O37" i="30" a="1"/>
  <c r="O37" i="30"/>
  <c r="N37" i="30" a="1"/>
  <c r="N37" i="30"/>
  <c r="M37" i="30" a="1"/>
  <c r="M37" i="30"/>
  <c r="L37" i="30" a="1"/>
  <c r="L37" i="30"/>
  <c r="K37" i="30" a="1"/>
  <c r="K37" i="30"/>
  <c r="J37" i="30" a="1"/>
  <c r="J37" i="30"/>
  <c r="I37" i="30" a="1"/>
  <c r="I37" i="30"/>
  <c r="H37" i="30" a="1"/>
  <c r="H37" i="30"/>
  <c r="G37" i="30" a="1"/>
  <c r="G37" i="30"/>
  <c r="F37" i="30" a="1"/>
  <c r="F37" i="30"/>
  <c r="E37" i="30" a="1"/>
  <c r="E37" i="30"/>
  <c r="C37" i="30"/>
  <c r="BP36" i="30" a="1"/>
  <c r="BP36" i="30"/>
  <c r="BO36" i="30" a="1"/>
  <c r="BO36" i="30"/>
  <c r="BN36" i="30" a="1"/>
  <c r="BN36" i="30"/>
  <c r="BM36" i="30" a="1"/>
  <c r="BM36" i="30"/>
  <c r="BL36" i="30" a="1"/>
  <c r="BL36" i="30"/>
  <c r="BK36" i="30" a="1"/>
  <c r="BK36" i="30"/>
  <c r="BJ36" i="30" a="1"/>
  <c r="BJ36" i="30"/>
  <c r="BI36" i="30" a="1"/>
  <c r="BI36" i="30"/>
  <c r="BH36" i="30" a="1"/>
  <c r="BH36" i="30"/>
  <c r="BG36" i="30" a="1"/>
  <c r="BG36" i="30"/>
  <c r="BF36" i="30" a="1"/>
  <c r="BF36" i="30"/>
  <c r="BE36" i="30" a="1"/>
  <c r="BE36" i="30"/>
  <c r="BD36" i="30" a="1"/>
  <c r="BD36" i="30"/>
  <c r="BC36" i="30" a="1"/>
  <c r="BC36" i="30"/>
  <c r="BB36" i="30" a="1"/>
  <c r="BB36" i="30"/>
  <c r="BA36" i="30" a="1"/>
  <c r="BA36" i="30"/>
  <c r="AZ36" i="30" a="1"/>
  <c r="AZ36" i="30"/>
  <c r="AY36" i="30" a="1"/>
  <c r="AY36" i="30"/>
  <c r="AX36" i="30" a="1"/>
  <c r="AX36" i="30"/>
  <c r="AW36" i="30" a="1"/>
  <c r="AW36" i="30"/>
  <c r="AV36" i="30" a="1"/>
  <c r="AV36" i="30"/>
  <c r="AU36" i="30" a="1"/>
  <c r="AU36" i="30"/>
  <c r="AT36" i="30" a="1"/>
  <c r="AT36" i="30"/>
  <c r="AS36" i="30" a="1"/>
  <c r="AS36" i="30"/>
  <c r="AR36" i="30" a="1"/>
  <c r="AR36" i="30"/>
  <c r="AQ36" i="30" a="1"/>
  <c r="AQ36" i="30"/>
  <c r="AP36" i="30" a="1"/>
  <c r="AP36" i="30"/>
  <c r="AO36" i="30" a="1"/>
  <c r="AO36" i="30"/>
  <c r="AN36" i="30" a="1"/>
  <c r="AN36" i="30"/>
  <c r="AM36" i="30" a="1"/>
  <c r="AM36" i="30"/>
  <c r="AL36" i="30" a="1"/>
  <c r="AL36" i="30"/>
  <c r="AK36" i="30" a="1"/>
  <c r="AK36" i="30"/>
  <c r="AJ36" i="30" a="1"/>
  <c r="AJ36" i="30"/>
  <c r="AI36" i="30" a="1"/>
  <c r="AI36" i="30"/>
  <c r="AH36" i="30" a="1"/>
  <c r="AH36" i="30"/>
  <c r="AG36" i="30" a="1"/>
  <c r="AG36" i="30"/>
  <c r="AF36" i="30" a="1"/>
  <c r="AF36" i="30"/>
  <c r="AE36" i="30" a="1"/>
  <c r="AE36" i="30"/>
  <c r="AD36" i="30" a="1"/>
  <c r="AD36" i="30"/>
  <c r="AC36" i="30" a="1"/>
  <c r="AC36" i="30"/>
  <c r="AB36" i="30" a="1"/>
  <c r="AB36" i="30"/>
  <c r="AA36" i="30" a="1"/>
  <c r="AA36" i="30"/>
  <c r="Z36" i="30" a="1"/>
  <c r="Z36" i="30"/>
  <c r="Y36" i="30" a="1"/>
  <c r="Y36" i="30"/>
  <c r="X36" i="30" a="1"/>
  <c r="X36" i="30"/>
  <c r="W36" i="30" a="1"/>
  <c r="W36" i="30"/>
  <c r="V36" i="30" a="1"/>
  <c r="V36" i="30"/>
  <c r="U36" i="30" a="1"/>
  <c r="U36" i="30"/>
  <c r="T36" i="30" a="1"/>
  <c r="T36" i="30"/>
  <c r="S36" i="30" a="1"/>
  <c r="S36" i="30"/>
  <c r="R36" i="30" a="1"/>
  <c r="R36" i="30"/>
  <c r="Q36" i="30" a="1"/>
  <c r="Q36" i="30"/>
  <c r="P36" i="30" a="1"/>
  <c r="P36" i="30"/>
  <c r="O36" i="30" a="1"/>
  <c r="O36" i="30"/>
  <c r="N36" i="30" a="1"/>
  <c r="N36" i="30"/>
  <c r="M36" i="30" a="1"/>
  <c r="M36" i="30"/>
  <c r="L36" i="30" a="1"/>
  <c r="L36" i="30"/>
  <c r="K36" i="30" a="1"/>
  <c r="K36" i="30"/>
  <c r="J36" i="30" a="1"/>
  <c r="J36" i="30"/>
  <c r="I36" i="30" a="1"/>
  <c r="I36" i="30"/>
  <c r="H36" i="30" a="1"/>
  <c r="H36" i="30"/>
  <c r="G36" i="30" a="1"/>
  <c r="G36" i="30"/>
  <c r="F36" i="30" a="1"/>
  <c r="F36" i="30"/>
  <c r="E36" i="30" a="1"/>
  <c r="E36" i="30"/>
  <c r="C36" i="30"/>
  <c r="BP35" i="30" a="1"/>
  <c r="BP35" i="30"/>
  <c r="BO35" i="30" a="1"/>
  <c r="BO35" i="30"/>
  <c r="BN35" i="30" a="1"/>
  <c r="BN35" i="30"/>
  <c r="BM35" i="30" a="1"/>
  <c r="BM35" i="30"/>
  <c r="BL35" i="30" a="1"/>
  <c r="BL35" i="30"/>
  <c r="BK35" i="30" a="1"/>
  <c r="BK35" i="30"/>
  <c r="BJ35" i="30" a="1"/>
  <c r="BJ35" i="30"/>
  <c r="BI35" i="30" a="1"/>
  <c r="BI35" i="30"/>
  <c r="BH35" i="30" a="1"/>
  <c r="BH35" i="30"/>
  <c r="BG35" i="30" a="1"/>
  <c r="BG35" i="30"/>
  <c r="BF35" i="30" a="1"/>
  <c r="BF35" i="30"/>
  <c r="BE35" i="30" a="1"/>
  <c r="BE35" i="30"/>
  <c r="BD35" i="30" a="1"/>
  <c r="BD35" i="30"/>
  <c r="BC35" i="30" a="1"/>
  <c r="BC35" i="30"/>
  <c r="BB35" i="30" a="1"/>
  <c r="BB35" i="30"/>
  <c r="BA35" i="30" a="1"/>
  <c r="BA35" i="30"/>
  <c r="AZ35" i="30" a="1"/>
  <c r="AZ35" i="30"/>
  <c r="AY35" i="30" a="1"/>
  <c r="AY35" i="30"/>
  <c r="AX35" i="30" a="1"/>
  <c r="AX35" i="30"/>
  <c r="AW35" i="30" a="1"/>
  <c r="AW35" i="30"/>
  <c r="AV35" i="30" a="1"/>
  <c r="AV35" i="30"/>
  <c r="AU35" i="30" a="1"/>
  <c r="AU35" i="30"/>
  <c r="AT35" i="30" a="1"/>
  <c r="AT35" i="30"/>
  <c r="AS35" i="30" a="1"/>
  <c r="AS35" i="30"/>
  <c r="AR35" i="30" a="1"/>
  <c r="AR35" i="30"/>
  <c r="AQ35" i="30" a="1"/>
  <c r="AQ35" i="30"/>
  <c r="AP35" i="30" a="1"/>
  <c r="AP35" i="30"/>
  <c r="AO35" i="30" a="1"/>
  <c r="AO35" i="30"/>
  <c r="AN35" i="30" a="1"/>
  <c r="AN35" i="30"/>
  <c r="AM35" i="30" a="1"/>
  <c r="AM35" i="30"/>
  <c r="AL35" i="30" a="1"/>
  <c r="AL35" i="30"/>
  <c r="AK35" i="30" a="1"/>
  <c r="AK35" i="30"/>
  <c r="AJ35" i="30" a="1"/>
  <c r="AJ35" i="30"/>
  <c r="AI35" i="30" a="1"/>
  <c r="AI35" i="30"/>
  <c r="AH35" i="30" a="1"/>
  <c r="AH35" i="30"/>
  <c r="AG35" i="30" a="1"/>
  <c r="AG35" i="30"/>
  <c r="AF35" i="30" a="1"/>
  <c r="AF35" i="30"/>
  <c r="AE35" i="30" a="1"/>
  <c r="AE35" i="30"/>
  <c r="AD35" i="30" a="1"/>
  <c r="AD35" i="30"/>
  <c r="AC35" i="30" a="1"/>
  <c r="AC35" i="30"/>
  <c r="AB35" i="30" a="1"/>
  <c r="AB35" i="30"/>
  <c r="AA35" i="30" a="1"/>
  <c r="AA35" i="30"/>
  <c r="Z35" i="30" a="1"/>
  <c r="Z35" i="30"/>
  <c r="Y35" i="30" a="1"/>
  <c r="Y35" i="30"/>
  <c r="X35" i="30" a="1"/>
  <c r="X35" i="30"/>
  <c r="W35" i="30" a="1"/>
  <c r="W35" i="30"/>
  <c r="V35" i="30" a="1"/>
  <c r="V35" i="30"/>
  <c r="U35" i="30" a="1"/>
  <c r="U35" i="30"/>
  <c r="T35" i="30" a="1"/>
  <c r="T35" i="30"/>
  <c r="S35" i="30" a="1"/>
  <c r="S35" i="30"/>
  <c r="R35" i="30" a="1"/>
  <c r="R35" i="30"/>
  <c r="Q35" i="30" a="1"/>
  <c r="Q35" i="30"/>
  <c r="P35" i="30" a="1"/>
  <c r="P35" i="30"/>
  <c r="O35" i="30" a="1"/>
  <c r="O35" i="30"/>
  <c r="N35" i="30" a="1"/>
  <c r="N35" i="30"/>
  <c r="M35" i="30" a="1"/>
  <c r="M35" i="30"/>
  <c r="L35" i="30" a="1"/>
  <c r="L35" i="30"/>
  <c r="K35" i="30" a="1"/>
  <c r="K35" i="30"/>
  <c r="J35" i="30" a="1"/>
  <c r="J35" i="30"/>
  <c r="I35" i="30" a="1"/>
  <c r="I35" i="30"/>
  <c r="H35" i="30" a="1"/>
  <c r="H35" i="30"/>
  <c r="G35" i="30" a="1"/>
  <c r="G35" i="30"/>
  <c r="F35" i="30" a="1"/>
  <c r="F35" i="30"/>
  <c r="E35" i="30" a="1"/>
  <c r="E35" i="30"/>
  <c r="C35" i="30"/>
  <c r="BP34" i="30" a="1"/>
  <c r="BP34" i="30"/>
  <c r="BO34" i="30" a="1"/>
  <c r="BO34" i="30"/>
  <c r="BN34" i="30" a="1"/>
  <c r="BN34" i="30"/>
  <c r="BM34" i="30" a="1"/>
  <c r="BM34" i="30"/>
  <c r="BL34" i="30" a="1"/>
  <c r="BL34" i="30"/>
  <c r="BK34" i="30" a="1"/>
  <c r="BK34" i="30"/>
  <c r="BJ34" i="30" a="1"/>
  <c r="BJ34" i="30"/>
  <c r="BI34" i="30" a="1"/>
  <c r="BI34" i="30"/>
  <c r="BH34" i="30" a="1"/>
  <c r="BH34" i="30"/>
  <c r="BG34" i="30" a="1"/>
  <c r="BG34" i="30"/>
  <c r="BF34" i="30" a="1"/>
  <c r="BF34" i="30"/>
  <c r="BE34" i="30" a="1"/>
  <c r="BE34" i="30"/>
  <c r="BD34" i="30" a="1"/>
  <c r="BD34" i="30"/>
  <c r="BC34" i="30" a="1"/>
  <c r="BC34" i="30"/>
  <c r="BB34" i="30" a="1"/>
  <c r="BB34" i="30"/>
  <c r="BA34" i="30" a="1"/>
  <c r="BA34" i="30"/>
  <c r="AZ34" i="30" a="1"/>
  <c r="AZ34" i="30"/>
  <c r="AY34" i="30" a="1"/>
  <c r="AY34" i="30"/>
  <c r="AX34" i="30" a="1"/>
  <c r="AX34" i="30"/>
  <c r="AW34" i="30" a="1"/>
  <c r="AW34" i="30"/>
  <c r="AV34" i="30" a="1"/>
  <c r="AV34" i="30"/>
  <c r="AU34" i="30" a="1"/>
  <c r="AU34" i="30"/>
  <c r="AT34" i="30" a="1"/>
  <c r="AT34" i="30"/>
  <c r="AS34" i="30" a="1"/>
  <c r="AS34" i="30"/>
  <c r="AR34" i="30" a="1"/>
  <c r="AR34" i="30"/>
  <c r="AQ34" i="30" a="1"/>
  <c r="AQ34" i="30"/>
  <c r="AP34" i="30" a="1"/>
  <c r="AP34" i="30"/>
  <c r="AO34" i="30" a="1"/>
  <c r="AO34" i="30"/>
  <c r="AN34" i="30" a="1"/>
  <c r="AN34" i="30"/>
  <c r="AM34" i="30" a="1"/>
  <c r="AM34" i="30"/>
  <c r="AL34" i="30" a="1"/>
  <c r="AL34" i="30"/>
  <c r="AK34" i="30" a="1"/>
  <c r="AK34" i="30"/>
  <c r="AJ34" i="30" a="1"/>
  <c r="AJ34" i="30"/>
  <c r="AI34" i="30" a="1"/>
  <c r="AI34" i="30"/>
  <c r="AH34" i="30" a="1"/>
  <c r="AH34" i="30"/>
  <c r="AG34" i="30" a="1"/>
  <c r="AG34" i="30"/>
  <c r="AF34" i="30" a="1"/>
  <c r="AF34" i="30"/>
  <c r="AE34" i="30" a="1"/>
  <c r="AE34" i="30"/>
  <c r="AD34" i="30" a="1"/>
  <c r="AD34" i="30"/>
  <c r="AC34" i="30" a="1"/>
  <c r="AC34" i="30"/>
  <c r="AB34" i="30" a="1"/>
  <c r="AB34" i="30"/>
  <c r="AA34" i="30" a="1"/>
  <c r="AA34" i="30"/>
  <c r="Z34" i="30" a="1"/>
  <c r="Z34" i="30"/>
  <c r="Y34" i="30" a="1"/>
  <c r="Y34" i="30"/>
  <c r="X34" i="30" a="1"/>
  <c r="X34" i="30"/>
  <c r="W34" i="30" a="1"/>
  <c r="W34" i="30"/>
  <c r="V34" i="30" a="1"/>
  <c r="V34" i="30"/>
  <c r="U34" i="30" a="1"/>
  <c r="U34" i="30"/>
  <c r="T34" i="30" a="1"/>
  <c r="T34" i="30"/>
  <c r="S34" i="30" a="1"/>
  <c r="S34" i="30"/>
  <c r="R34" i="30" a="1"/>
  <c r="R34" i="30"/>
  <c r="Q34" i="30" a="1"/>
  <c r="Q34" i="30"/>
  <c r="P34" i="30" a="1"/>
  <c r="P34" i="30"/>
  <c r="O34" i="30" a="1"/>
  <c r="O34" i="30"/>
  <c r="N34" i="30" a="1"/>
  <c r="N34" i="30"/>
  <c r="M34" i="30" a="1"/>
  <c r="M34" i="30"/>
  <c r="L34" i="30" a="1"/>
  <c r="L34" i="30"/>
  <c r="K34" i="30" a="1"/>
  <c r="K34" i="30"/>
  <c r="J34" i="30" a="1"/>
  <c r="J34" i="30"/>
  <c r="I34" i="30" a="1"/>
  <c r="I34" i="30"/>
  <c r="H34" i="30" a="1"/>
  <c r="H34" i="30"/>
  <c r="G34" i="30" a="1"/>
  <c r="G34" i="30"/>
  <c r="F34" i="30" a="1"/>
  <c r="F34" i="30"/>
  <c r="E34" i="30" a="1"/>
  <c r="E34" i="30"/>
  <c r="C34" i="30"/>
  <c r="C33" i="30"/>
  <c r="C32" i="30"/>
  <c r="C31" i="30"/>
  <c r="C30" i="30"/>
  <c r="AA25" i="30"/>
  <c r="I25" i="30"/>
  <c r="G25" i="30"/>
  <c r="F25" i="30"/>
  <c r="E25" i="30"/>
  <c r="D25" i="30"/>
  <c r="AA24" i="30"/>
  <c r="I24" i="30"/>
  <c r="G24" i="30"/>
  <c r="F24" i="30"/>
  <c r="E24" i="30"/>
  <c r="D24" i="30"/>
  <c r="AA23" i="30"/>
  <c r="I23" i="30"/>
  <c r="G23" i="30"/>
  <c r="F23" i="30"/>
  <c r="E23" i="30"/>
  <c r="D23" i="30"/>
  <c r="AA22" i="30"/>
  <c r="I22" i="30"/>
  <c r="G22" i="30"/>
  <c r="F22" i="30"/>
  <c r="E22" i="30"/>
  <c r="D22" i="30"/>
  <c r="AA21" i="30"/>
  <c r="I21" i="30"/>
  <c r="G21" i="30"/>
  <c r="F21" i="30"/>
  <c r="E21" i="30"/>
  <c r="D21" i="30"/>
  <c r="I20" i="30"/>
  <c r="G20" i="30"/>
  <c r="F20" i="30"/>
  <c r="E20" i="30"/>
  <c r="D20" i="30"/>
  <c r="I19" i="30"/>
  <c r="G19" i="30"/>
  <c r="F19" i="30"/>
  <c r="E19" i="30"/>
  <c r="D19" i="30"/>
  <c r="I18" i="30"/>
  <c r="G18" i="30"/>
  <c r="F18" i="30"/>
  <c r="E18" i="30"/>
  <c r="D18" i="30"/>
  <c r="I17" i="30"/>
  <c r="G17" i="30"/>
  <c r="F17" i="30"/>
  <c r="E17" i="30"/>
  <c r="D17" i="30"/>
  <c r="B13" i="30"/>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V100" i="29"/>
  <c r="W100" i="29"/>
  <c r="X100" i="29"/>
  <c r="Y100" i="29"/>
  <c r="AA100" i="29"/>
  <c r="AA172" i="29"/>
  <c r="AB172" i="29"/>
  <c r="Z172" i="29"/>
  <c r="V99" i="29"/>
  <c r="W99" i="29"/>
  <c r="X99" i="29"/>
  <c r="Y99" i="29"/>
  <c r="AA99" i="29"/>
  <c r="AA171" i="29"/>
  <c r="AB171" i="29"/>
  <c r="Z171" i="29"/>
  <c r="V98" i="29"/>
  <c r="W98" i="29"/>
  <c r="X98" i="29"/>
  <c r="Y98" i="29"/>
  <c r="AA98" i="29"/>
  <c r="AA170" i="29"/>
  <c r="AB170" i="29"/>
  <c r="Z170" i="29"/>
  <c r="V97" i="29"/>
  <c r="W97" i="29"/>
  <c r="X97" i="29"/>
  <c r="Y97" i="29"/>
  <c r="AA97" i="29"/>
  <c r="AA169" i="29"/>
  <c r="AB169" i="29"/>
  <c r="Z169" i="29"/>
  <c r="V96" i="29"/>
  <c r="W96" i="29"/>
  <c r="X96" i="29"/>
  <c r="Y96" i="29"/>
  <c r="AA96" i="29"/>
  <c r="AA168" i="29"/>
  <c r="AB168" i="29"/>
  <c r="Z168" i="29"/>
  <c r="V95" i="29"/>
  <c r="W95" i="29"/>
  <c r="X95" i="29"/>
  <c r="Y95" i="29"/>
  <c r="AA95" i="29"/>
  <c r="AA167" i="29"/>
  <c r="AB167" i="29"/>
  <c r="Z167" i="29"/>
  <c r="V94" i="29"/>
  <c r="W94" i="29"/>
  <c r="X94" i="29"/>
  <c r="Y94" i="29"/>
  <c r="AA94" i="29"/>
  <c r="AA166" i="29"/>
  <c r="AB166" i="29"/>
  <c r="Z166" i="29"/>
  <c r="V93" i="29"/>
  <c r="W93" i="29"/>
  <c r="X93" i="29"/>
  <c r="Y93" i="29"/>
  <c r="AA93" i="29"/>
  <c r="AA165" i="29"/>
  <c r="AB165" i="29"/>
  <c r="Z165" i="29"/>
  <c r="V92" i="29"/>
  <c r="W92" i="29"/>
  <c r="X92" i="29"/>
  <c r="Y92" i="29"/>
  <c r="AA92" i="29"/>
  <c r="AA164" i="29"/>
  <c r="AB164" i="29"/>
  <c r="Z164" i="29"/>
  <c r="V91" i="29"/>
  <c r="W91" i="29"/>
  <c r="X91" i="29"/>
  <c r="Y91" i="29"/>
  <c r="AA91" i="29"/>
  <c r="AA163" i="29"/>
  <c r="AB163" i="29"/>
  <c r="Z163" i="29"/>
  <c r="V90" i="29"/>
  <c r="W90" i="29"/>
  <c r="X90" i="29"/>
  <c r="Y90" i="29"/>
  <c r="AA90" i="29"/>
  <c r="AA162" i="29"/>
  <c r="AB162" i="29"/>
  <c r="Z162" i="29"/>
  <c r="V89" i="29"/>
  <c r="W89" i="29"/>
  <c r="X89" i="29"/>
  <c r="Y89" i="29"/>
  <c r="AA89" i="29"/>
  <c r="AA161" i="29"/>
  <c r="AB161" i="29"/>
  <c r="Z161" i="29"/>
  <c r="V88" i="29"/>
  <c r="W88" i="29"/>
  <c r="X88" i="29"/>
  <c r="Y88" i="29"/>
  <c r="AA88" i="29"/>
  <c r="AA160" i="29"/>
  <c r="AB160" i="29"/>
  <c r="Z160" i="29"/>
  <c r="V87" i="29"/>
  <c r="W87" i="29"/>
  <c r="X87" i="29"/>
  <c r="Y87" i="29"/>
  <c r="AA87" i="29"/>
  <c r="AA159" i="29"/>
  <c r="AB159" i="29"/>
  <c r="Z159" i="29"/>
  <c r="V86" i="29"/>
  <c r="W86" i="29"/>
  <c r="X86" i="29"/>
  <c r="Y86" i="29"/>
  <c r="AA86" i="29"/>
  <c r="AA158" i="29"/>
  <c r="AB158" i="29"/>
  <c r="Z158" i="29"/>
  <c r="V85" i="29"/>
  <c r="W85" i="29"/>
  <c r="X85" i="29"/>
  <c r="Y85" i="29"/>
  <c r="AA85" i="29"/>
  <c r="AA157" i="29"/>
  <c r="AB157" i="29"/>
  <c r="Z157" i="29"/>
  <c r="V84" i="29"/>
  <c r="W84" i="29"/>
  <c r="X84" i="29"/>
  <c r="Y84" i="29"/>
  <c r="AA84" i="29"/>
  <c r="AA156" i="29"/>
  <c r="AB156" i="29"/>
  <c r="Z156" i="29"/>
  <c r="V83" i="29"/>
  <c r="W83" i="29"/>
  <c r="X83" i="29"/>
  <c r="Y83" i="29"/>
  <c r="AA83" i="29"/>
  <c r="AA155" i="29"/>
  <c r="AB155" i="29"/>
  <c r="Z155" i="29"/>
  <c r="V82" i="29"/>
  <c r="W82" i="29"/>
  <c r="X82" i="29"/>
  <c r="Y82" i="29"/>
  <c r="AA82" i="29"/>
  <c r="AA154" i="29"/>
  <c r="AB154" i="29"/>
  <c r="Z154" i="29"/>
  <c r="AA153" i="29"/>
  <c r="AB153" i="29"/>
  <c r="Z153" i="29"/>
  <c r="AA152" i="29"/>
  <c r="AB152" i="29"/>
  <c r="Z152" i="29"/>
  <c r="AA151" i="29"/>
  <c r="AB151" i="29"/>
  <c r="Z151" i="29"/>
  <c r="AA150" i="29"/>
  <c r="AB150" i="29"/>
  <c r="Z150" i="29"/>
  <c r="AA149" i="29"/>
  <c r="AB149" i="29"/>
  <c r="Z149" i="29"/>
  <c r="AA148" i="29"/>
  <c r="AB148" i="29"/>
  <c r="Z148" i="29"/>
  <c r="AA147" i="29"/>
  <c r="AB147" i="29"/>
  <c r="Z147" i="29"/>
  <c r="AA146" i="29"/>
  <c r="AB146" i="29"/>
  <c r="Z146" i="29"/>
  <c r="AA145" i="29"/>
  <c r="AB145" i="29"/>
  <c r="Z145" i="29"/>
  <c r="AA144" i="29"/>
  <c r="AB144" i="29"/>
  <c r="Z144" i="29"/>
  <c r="AA143" i="29"/>
  <c r="AB143" i="29"/>
  <c r="Z143" i="29"/>
  <c r="AA142" i="29"/>
  <c r="AB142" i="29"/>
  <c r="Z142" i="29"/>
  <c r="AA141" i="29"/>
  <c r="AB141" i="29"/>
  <c r="Z141" i="29"/>
  <c r="AA140" i="29"/>
  <c r="AB140" i="29"/>
  <c r="Z140" i="29"/>
  <c r="AA139" i="29"/>
  <c r="AB139" i="29"/>
  <c r="Z139" i="29"/>
  <c r="AA138" i="29"/>
  <c r="AB138" i="29"/>
  <c r="Z138" i="29"/>
  <c r="AA137" i="29"/>
  <c r="AB137" i="29"/>
  <c r="Z137" i="29"/>
  <c r="AA136" i="29"/>
  <c r="AB136" i="29"/>
  <c r="Z136"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F100" i="29"/>
  <c r="AE100" i="29"/>
  <c r="AB100" i="29"/>
  <c r="Z100" i="29"/>
  <c r="AF99" i="29"/>
  <c r="AE99" i="29"/>
  <c r="AB99" i="29"/>
  <c r="Z99" i="29"/>
  <c r="AF98" i="29"/>
  <c r="AE98" i="29"/>
  <c r="AB98" i="29"/>
  <c r="Z98" i="29"/>
  <c r="AF97" i="29"/>
  <c r="AE97" i="29"/>
  <c r="AB97" i="29"/>
  <c r="Z97" i="29"/>
  <c r="AF96" i="29"/>
  <c r="AE96" i="29"/>
  <c r="AB96" i="29"/>
  <c r="Z96" i="29"/>
  <c r="AF95" i="29"/>
  <c r="AE95" i="29"/>
  <c r="AB95" i="29"/>
  <c r="Z95" i="29"/>
  <c r="AF94" i="29"/>
  <c r="AE94" i="29"/>
  <c r="AB94" i="29"/>
  <c r="Z94" i="29"/>
  <c r="AF93" i="29"/>
  <c r="AE93" i="29"/>
  <c r="AB93" i="29"/>
  <c r="Z93" i="29"/>
  <c r="AF92" i="29"/>
  <c r="AE92" i="29"/>
  <c r="AB92" i="29"/>
  <c r="Z92" i="29"/>
  <c r="AF91" i="29"/>
  <c r="AE91" i="29"/>
  <c r="AB91" i="29"/>
  <c r="Z91" i="29"/>
  <c r="AF90" i="29"/>
  <c r="AE90" i="29"/>
  <c r="AB90" i="29"/>
  <c r="Z90" i="29"/>
  <c r="AF89" i="29"/>
  <c r="AE89" i="29"/>
  <c r="AB89" i="29"/>
  <c r="Z89" i="29"/>
  <c r="AF88" i="29"/>
  <c r="AE88" i="29"/>
  <c r="AB88" i="29"/>
  <c r="Z88" i="29"/>
  <c r="AF87" i="29"/>
  <c r="AE87" i="29"/>
  <c r="AB87" i="29"/>
  <c r="Z87" i="29"/>
  <c r="AF86" i="29"/>
  <c r="AE86" i="29"/>
  <c r="AB86" i="29"/>
  <c r="Z86" i="29"/>
  <c r="AF85" i="29"/>
  <c r="AE85" i="29"/>
  <c r="AB85" i="29"/>
  <c r="Z85" i="29"/>
  <c r="AF84" i="29"/>
  <c r="AE84" i="29"/>
  <c r="AB84" i="29"/>
  <c r="Z84" i="29"/>
  <c r="AF83" i="29"/>
  <c r="AE83" i="29"/>
  <c r="AB83" i="29"/>
  <c r="Z83" i="29"/>
  <c r="AF82" i="29"/>
  <c r="AE82" i="29"/>
  <c r="AB82" i="29"/>
  <c r="Z82" i="29"/>
  <c r="AB81" i="29"/>
  <c r="Z81" i="29"/>
  <c r="AB80" i="29"/>
  <c r="Z80" i="29"/>
  <c r="AB79" i="29"/>
  <c r="Z79" i="29"/>
  <c r="AB78" i="29"/>
  <c r="Z78" i="29"/>
  <c r="AB77" i="29"/>
  <c r="Z77" i="29"/>
  <c r="AB76" i="29"/>
  <c r="Z76" i="29"/>
  <c r="AB75" i="29"/>
  <c r="Z75" i="29"/>
  <c r="AB74" i="29"/>
  <c r="Z74" i="29"/>
  <c r="AB73" i="29"/>
  <c r="Z73" i="29"/>
  <c r="AB72" i="29"/>
  <c r="Z72" i="29"/>
  <c r="Q72" i="29"/>
  <c r="AB71" i="29"/>
  <c r="Z71" i="29"/>
  <c r="Q71" i="29"/>
  <c r="AB70" i="29"/>
  <c r="Z70" i="29"/>
  <c r="Q70" i="29"/>
  <c r="AB69" i="29"/>
  <c r="Z69" i="29"/>
  <c r="Q69" i="29"/>
  <c r="AB68" i="29"/>
  <c r="Z68" i="29"/>
  <c r="Q68" i="29"/>
  <c r="AB67" i="29"/>
  <c r="Z67" i="29"/>
  <c r="AB66" i="29"/>
  <c r="Z66" i="29"/>
  <c r="AB65" i="29"/>
  <c r="Z65" i="29"/>
  <c r="AB64" i="29"/>
  <c r="Z64" i="29"/>
  <c r="F12" i="29"/>
  <c r="BR60" i="29"/>
  <c r="F11" i="29"/>
  <c r="BZ51" i="29"/>
  <c r="F10" i="29"/>
  <c r="BY51" i="29"/>
  <c r="F9" i="29"/>
  <c r="BX51" i="29"/>
  <c r="F8" i="29"/>
  <c r="BW51" i="29"/>
  <c r="C25" i="29"/>
  <c r="BR59" i="29"/>
  <c r="CA51" i="29"/>
  <c r="C24" i="29"/>
  <c r="BR58" i="29"/>
  <c r="C23" i="29"/>
  <c r="BR57" i="29"/>
  <c r="C22" i="29"/>
  <c r="BR56" i="29"/>
  <c r="C21" i="29"/>
  <c r="BW29" i="29"/>
  <c r="BX29" i="29"/>
  <c r="BY29" i="29"/>
  <c r="BZ29" i="29"/>
  <c r="CA29" i="29"/>
  <c r="BR34" i="29"/>
  <c r="BR35" i="29"/>
  <c r="BR36" i="29"/>
  <c r="BR37" i="29"/>
  <c r="BR38" i="29"/>
  <c r="BR49" i="29"/>
  <c r="BR48" i="29"/>
  <c r="BR47" i="29"/>
  <c r="BR46" i="29"/>
  <c r="BR45" i="29"/>
  <c r="CA40" i="29"/>
  <c r="BZ40" i="29"/>
  <c r="BY40" i="29"/>
  <c r="BX40" i="29"/>
  <c r="BW40"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BP35" i="29" a="1"/>
  <c r="BP35" i="29"/>
  <c r="BO35" i="29" a="1"/>
  <c r="BO35" i="29"/>
  <c r="BN35" i="29" a="1"/>
  <c r="BN35" i="29"/>
  <c r="BM35" i="29" a="1"/>
  <c r="BM35" i="29"/>
  <c r="BL35" i="29" a="1"/>
  <c r="BL35" i="29"/>
  <c r="BK35" i="29" a="1"/>
  <c r="BK35" i="29"/>
  <c r="BJ35" i="29" a="1"/>
  <c r="BJ35" i="29"/>
  <c r="BI35" i="29" a="1"/>
  <c r="BI35" i="29"/>
  <c r="BH35" i="29" a="1"/>
  <c r="BH35" i="29"/>
  <c r="BG35" i="29" a="1"/>
  <c r="BG35" i="29"/>
  <c r="BF35" i="29" a="1"/>
  <c r="BF35" i="29"/>
  <c r="BE35" i="29" a="1"/>
  <c r="BE35" i="29"/>
  <c r="BD35" i="29" a="1"/>
  <c r="BD35" i="29"/>
  <c r="BC35" i="29" a="1"/>
  <c r="BC35" i="29"/>
  <c r="BB35" i="29" a="1"/>
  <c r="BB35" i="29"/>
  <c r="BA35" i="29" a="1"/>
  <c r="BA35" i="29"/>
  <c r="AZ35" i="29" a="1"/>
  <c r="AZ35" i="29"/>
  <c r="AY35" i="29" a="1"/>
  <c r="AY35" i="29"/>
  <c r="AX35" i="29" a="1"/>
  <c r="AX35" i="29"/>
  <c r="AW35" i="29" a="1"/>
  <c r="AW35" i="29"/>
  <c r="AV35" i="29" a="1"/>
  <c r="AV35" i="29"/>
  <c r="AU35" i="29" a="1"/>
  <c r="AU35" i="29"/>
  <c r="AT35" i="29" a="1"/>
  <c r="AT35" i="29"/>
  <c r="AS35" i="29" a="1"/>
  <c r="AS35" i="29"/>
  <c r="AR35" i="29" a="1"/>
  <c r="AR35" i="29"/>
  <c r="AQ35" i="29" a="1"/>
  <c r="AQ35" i="29"/>
  <c r="AP35" i="29" a="1"/>
  <c r="AP35" i="29"/>
  <c r="AO35" i="29" a="1"/>
  <c r="AO35" i="29"/>
  <c r="AN35" i="29" a="1"/>
  <c r="AN35" i="29"/>
  <c r="AM35" i="29" a="1"/>
  <c r="AM35" i="29"/>
  <c r="AL35" i="29" a="1"/>
  <c r="AL35" i="29"/>
  <c r="AK35" i="29" a="1"/>
  <c r="AK35" i="29"/>
  <c r="AJ35" i="29" a="1"/>
  <c r="AJ35" i="29"/>
  <c r="AI35" i="29" a="1"/>
  <c r="AI35" i="29"/>
  <c r="AH35" i="29" a="1"/>
  <c r="AH35" i="29"/>
  <c r="AG35" i="29" a="1"/>
  <c r="AG35" i="29"/>
  <c r="AF35" i="29" a="1"/>
  <c r="AF35" i="29"/>
  <c r="AE35" i="29" a="1"/>
  <c r="AE35" i="29"/>
  <c r="AD35" i="29" a="1"/>
  <c r="AD35" i="29"/>
  <c r="AC35" i="29" a="1"/>
  <c r="AC35" i="29"/>
  <c r="AB35" i="29" a="1"/>
  <c r="AB35" i="29"/>
  <c r="AA35" i="29" a="1"/>
  <c r="AA35" i="29"/>
  <c r="Z35" i="29" a="1"/>
  <c r="Z35" i="29"/>
  <c r="Y35" i="29" a="1"/>
  <c r="Y35" i="29"/>
  <c r="X35" i="29" a="1"/>
  <c r="X35" i="29"/>
  <c r="W35" i="29" a="1"/>
  <c r="W35" i="29"/>
  <c r="V35" i="29" a="1"/>
  <c r="V35" i="29"/>
  <c r="U35" i="29" a="1"/>
  <c r="U35" i="29"/>
  <c r="T35" i="29" a="1"/>
  <c r="T35" i="29"/>
  <c r="S35" i="29" a="1"/>
  <c r="S35" i="29"/>
  <c r="R35" i="29" a="1"/>
  <c r="R35" i="29"/>
  <c r="Q35" i="29" a="1"/>
  <c r="Q35" i="29"/>
  <c r="P35" i="29" a="1"/>
  <c r="P35" i="29"/>
  <c r="O35" i="29" a="1"/>
  <c r="O35" i="29"/>
  <c r="N35" i="29" a="1"/>
  <c r="N35" i="29"/>
  <c r="M35" i="29" a="1"/>
  <c r="M35" i="29"/>
  <c r="L35" i="29" a="1"/>
  <c r="L35" i="29"/>
  <c r="K35" i="29" a="1"/>
  <c r="K35" i="29"/>
  <c r="J35" i="29" a="1"/>
  <c r="J35" i="29"/>
  <c r="I35" i="29" a="1"/>
  <c r="I35" i="29"/>
  <c r="H35" i="29" a="1"/>
  <c r="H35" i="29"/>
  <c r="G35" i="29" a="1"/>
  <c r="G35" i="29"/>
  <c r="F35" i="29" a="1"/>
  <c r="F35" i="29"/>
  <c r="E35" i="29" a="1"/>
  <c r="E35" i="29"/>
  <c r="C35" i="29"/>
  <c r="BP34" i="29" a="1"/>
  <c r="BP34" i="29"/>
  <c r="BO34" i="29" a="1"/>
  <c r="BO34" i="29"/>
  <c r="BN34" i="29" a="1"/>
  <c r="BN34" i="29"/>
  <c r="BM34" i="29" a="1"/>
  <c r="BM34" i="29"/>
  <c r="BL34" i="29" a="1"/>
  <c r="BL34" i="29"/>
  <c r="BK34" i="29" a="1"/>
  <c r="BK34" i="29"/>
  <c r="BJ34" i="29" a="1"/>
  <c r="BJ34" i="29"/>
  <c r="BI34" i="29" a="1"/>
  <c r="BI34" i="29"/>
  <c r="BH34" i="29" a="1"/>
  <c r="BH34" i="29"/>
  <c r="BG34" i="29" a="1"/>
  <c r="BG34" i="29"/>
  <c r="BF34" i="29" a="1"/>
  <c r="BF34" i="29"/>
  <c r="BE34" i="29" a="1"/>
  <c r="BE34" i="29"/>
  <c r="BD34" i="29" a="1"/>
  <c r="BD34" i="29"/>
  <c r="BC34" i="29" a="1"/>
  <c r="BC34" i="29"/>
  <c r="BB34" i="29" a="1"/>
  <c r="BB34" i="29"/>
  <c r="BA34" i="29" a="1"/>
  <c r="BA34" i="29"/>
  <c r="AZ34" i="29" a="1"/>
  <c r="AZ34" i="29"/>
  <c r="AY34" i="29" a="1"/>
  <c r="AY34" i="29"/>
  <c r="AX34" i="29" a="1"/>
  <c r="AX34" i="29"/>
  <c r="AW34" i="29" a="1"/>
  <c r="AW34" i="29"/>
  <c r="AV34" i="29" a="1"/>
  <c r="AV34" i="29"/>
  <c r="AU34" i="29" a="1"/>
  <c r="AU34" i="29"/>
  <c r="AT34" i="29" a="1"/>
  <c r="AT34" i="29"/>
  <c r="AS34" i="29" a="1"/>
  <c r="AS34" i="29"/>
  <c r="AR34" i="29" a="1"/>
  <c r="AR34" i="29"/>
  <c r="AQ34" i="29" a="1"/>
  <c r="AQ34" i="29"/>
  <c r="AP34" i="29" a="1"/>
  <c r="AP34" i="29"/>
  <c r="AO34" i="29" a="1"/>
  <c r="AO34" i="29"/>
  <c r="AN34" i="29" a="1"/>
  <c r="AN34" i="29"/>
  <c r="AM34" i="29" a="1"/>
  <c r="AM34" i="29"/>
  <c r="AL34" i="29" a="1"/>
  <c r="AL34" i="29"/>
  <c r="AK34" i="29" a="1"/>
  <c r="AK34" i="29"/>
  <c r="AJ34" i="29" a="1"/>
  <c r="AJ34" i="29"/>
  <c r="AI34" i="29" a="1"/>
  <c r="AI34" i="29"/>
  <c r="AH34" i="29" a="1"/>
  <c r="AH34" i="29"/>
  <c r="AG34" i="29" a="1"/>
  <c r="AG34" i="29"/>
  <c r="AF34" i="29" a="1"/>
  <c r="AF34" i="29"/>
  <c r="AE34" i="29" a="1"/>
  <c r="AE34" i="29"/>
  <c r="AD34" i="29" a="1"/>
  <c r="AD34" i="29"/>
  <c r="AC34" i="29" a="1"/>
  <c r="AC34" i="29"/>
  <c r="AB34" i="29" a="1"/>
  <c r="AB34" i="29"/>
  <c r="AA34" i="29" a="1"/>
  <c r="AA34" i="29"/>
  <c r="Z34" i="29" a="1"/>
  <c r="Z34" i="29"/>
  <c r="Y34" i="29" a="1"/>
  <c r="Y34" i="29"/>
  <c r="X34" i="29" a="1"/>
  <c r="X34" i="29"/>
  <c r="W34" i="29" a="1"/>
  <c r="W34" i="29"/>
  <c r="V34" i="29" a="1"/>
  <c r="V34" i="29"/>
  <c r="U34" i="29" a="1"/>
  <c r="U34" i="29"/>
  <c r="T34" i="29" a="1"/>
  <c r="T34" i="29"/>
  <c r="S34" i="29" a="1"/>
  <c r="S34" i="29"/>
  <c r="R34" i="29" a="1"/>
  <c r="R34" i="29"/>
  <c r="Q34" i="29" a="1"/>
  <c r="Q34" i="29"/>
  <c r="P34" i="29" a="1"/>
  <c r="P34" i="29"/>
  <c r="O34" i="29" a="1"/>
  <c r="O34" i="29"/>
  <c r="N34" i="29" a="1"/>
  <c r="N34" i="29"/>
  <c r="M34" i="29" a="1"/>
  <c r="M34" i="29"/>
  <c r="L34" i="29" a="1"/>
  <c r="L34" i="29"/>
  <c r="K34" i="29" a="1"/>
  <c r="K34" i="29"/>
  <c r="J34" i="29" a="1"/>
  <c r="J34" i="29"/>
  <c r="I34" i="29" a="1"/>
  <c r="I34" i="29"/>
  <c r="H34" i="29" a="1"/>
  <c r="H34" i="29"/>
  <c r="G34" i="29" a="1"/>
  <c r="G34" i="29"/>
  <c r="F34" i="29" a="1"/>
  <c r="F34" i="29"/>
  <c r="E34" i="29" a="1"/>
  <c r="E34" i="29"/>
  <c r="C34" i="29"/>
  <c r="C33" i="29"/>
  <c r="C32" i="29"/>
  <c r="C31" i="29"/>
  <c r="C30" i="29"/>
  <c r="AA25" i="29"/>
  <c r="I25" i="29"/>
  <c r="N12" i="29"/>
  <c r="G25" i="29"/>
  <c r="M12" i="29"/>
  <c r="F25" i="29"/>
  <c r="L12" i="29"/>
  <c r="E25" i="29"/>
  <c r="D25" i="29"/>
  <c r="AA24" i="29"/>
  <c r="I24" i="29"/>
  <c r="N11" i="29"/>
  <c r="G24" i="29"/>
  <c r="M11" i="29"/>
  <c r="F24" i="29"/>
  <c r="L11" i="29"/>
  <c r="E24" i="29"/>
  <c r="D24" i="29"/>
  <c r="AA23" i="29"/>
  <c r="I23" i="29"/>
  <c r="N10" i="29"/>
  <c r="G23" i="29"/>
  <c r="M10" i="29"/>
  <c r="F23" i="29"/>
  <c r="L10" i="29"/>
  <c r="E23" i="29"/>
  <c r="D23" i="29"/>
  <c r="AA22" i="29"/>
  <c r="I22" i="29"/>
  <c r="N9" i="29"/>
  <c r="G22" i="29"/>
  <c r="M9" i="29"/>
  <c r="F22" i="29"/>
  <c r="L9" i="29"/>
  <c r="E22" i="29"/>
  <c r="D22" i="29"/>
  <c r="AA21" i="29"/>
  <c r="I21" i="29"/>
  <c r="N8" i="29"/>
  <c r="G21" i="29"/>
  <c r="M8" i="29"/>
  <c r="F21" i="29"/>
  <c r="L8" i="29"/>
  <c r="E21" i="29"/>
  <c r="D21" i="29"/>
  <c r="I20" i="29"/>
  <c r="G20" i="29"/>
  <c r="F20" i="29"/>
  <c r="E20" i="29"/>
  <c r="D20" i="29"/>
  <c r="I19" i="29"/>
  <c r="G19" i="29"/>
  <c r="F19" i="29"/>
  <c r="E19" i="29"/>
  <c r="D19" i="29"/>
  <c r="I18" i="29"/>
  <c r="G18" i="29"/>
  <c r="F18" i="29"/>
  <c r="E18" i="29"/>
  <c r="D18" i="29"/>
  <c r="I17" i="29"/>
  <c r="G17" i="29"/>
  <c r="F17" i="29"/>
  <c r="E17" i="29"/>
  <c r="D17" i="29"/>
  <c r="B13" i="29"/>
  <c r="Z20" i="29"/>
  <c r="Z19" i="29"/>
  <c r="V82" i="28"/>
  <c r="W82" i="28"/>
  <c r="X82" i="28"/>
  <c r="Y82" i="28"/>
  <c r="V83" i="28"/>
  <c r="W83" i="28"/>
  <c r="X83" i="28"/>
  <c r="Y83" i="28"/>
  <c r="V84" i="28"/>
  <c r="W84" i="28"/>
  <c r="X84" i="28"/>
  <c r="Y84" i="28"/>
  <c r="V85" i="28"/>
  <c r="W85" i="28"/>
  <c r="X85" i="28"/>
  <c r="Y85" i="28"/>
  <c r="V86" i="28"/>
  <c r="W86" i="28"/>
  <c r="X86" i="28"/>
  <c r="Y86" i="28"/>
  <c r="V87" i="28"/>
  <c r="W87" i="28"/>
  <c r="X87" i="28"/>
  <c r="Y87" i="28"/>
  <c r="V88" i="28"/>
  <c r="W88" i="28"/>
  <c r="X88" i="28"/>
  <c r="Y88" i="28"/>
  <c r="V89" i="28"/>
  <c r="W89" i="28"/>
  <c r="X89" i="28"/>
  <c r="Y89" i="28"/>
  <c r="V90" i="28"/>
  <c r="W90" i="28"/>
  <c r="X90" i="28"/>
  <c r="Y90" i="28"/>
  <c r="V91" i="28"/>
  <c r="W91" i="28"/>
  <c r="X91" i="28"/>
  <c r="Y91" i="28"/>
  <c r="V92" i="28"/>
  <c r="W92" i="28"/>
  <c r="X92" i="28"/>
  <c r="Y92" i="28"/>
  <c r="V93" i="28"/>
  <c r="W93" i="28"/>
  <c r="X93" i="28"/>
  <c r="Y93" i="28"/>
  <c r="V94" i="28"/>
  <c r="W94" i="28"/>
  <c r="X94" i="28"/>
  <c r="Y94" i="28"/>
  <c r="V95" i="28"/>
  <c r="W95" i="28"/>
  <c r="X95" i="28"/>
  <c r="Y95" i="28"/>
  <c r="V96" i="28"/>
  <c r="W96" i="28"/>
  <c r="X96" i="28"/>
  <c r="Y96" i="28"/>
  <c r="M17" i="27"/>
  <c r="M18" i="27"/>
  <c r="M19" i="27"/>
  <c r="M20" i="27"/>
  <c r="M21" i="27"/>
  <c r="M22" i="27"/>
  <c r="M23" i="27"/>
  <c r="M24" i="27"/>
  <c r="M25" i="27"/>
  <c r="M26" i="27"/>
  <c r="M27" i="27"/>
  <c r="M28" i="27"/>
  <c r="M29" i="27"/>
  <c r="E79" i="9"/>
  <c r="H33" i="27"/>
  <c r="Q68" i="28"/>
  <c r="Q69" i="28"/>
  <c r="E57" i="9"/>
  <c r="Q10" i="27"/>
  <c r="AD10" i="27"/>
  <c r="X13" i="27"/>
  <c r="X14" i="27"/>
  <c r="X15" i="27"/>
  <c r="X12" i="27"/>
  <c r="AF11" i="27"/>
  <c r="AE11" i="27"/>
  <c r="AA11" i="27"/>
  <c r="Z11" i="27"/>
  <c r="W11" i="27"/>
  <c r="V11" i="27"/>
  <c r="U11" i="27"/>
  <c r="T11" i="27"/>
  <c r="S11" i="27"/>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V100" i="28"/>
  <c r="W100" i="28"/>
  <c r="X100" i="28"/>
  <c r="Y100" i="28"/>
  <c r="AA100" i="28"/>
  <c r="AA172" i="28"/>
  <c r="AB172" i="28"/>
  <c r="Z172" i="28"/>
  <c r="V99" i="28"/>
  <c r="W99" i="28"/>
  <c r="X99" i="28"/>
  <c r="Y99" i="28"/>
  <c r="AA99" i="28"/>
  <c r="AA171" i="28"/>
  <c r="AB171" i="28"/>
  <c r="Z171" i="28"/>
  <c r="V98" i="28"/>
  <c r="W98" i="28"/>
  <c r="X98" i="28"/>
  <c r="Y98" i="28"/>
  <c r="AA98" i="28"/>
  <c r="AA170" i="28"/>
  <c r="AB170" i="28"/>
  <c r="Z170" i="28"/>
  <c r="V97" i="28"/>
  <c r="W97" i="28"/>
  <c r="X97" i="28"/>
  <c r="Y97" i="28"/>
  <c r="AA97" i="28"/>
  <c r="AA169" i="28"/>
  <c r="AB169" i="28"/>
  <c r="Z169" i="28"/>
  <c r="AA96" i="28"/>
  <c r="AA168" i="28"/>
  <c r="AB168" i="28"/>
  <c r="Z168" i="28"/>
  <c r="AA95" i="28"/>
  <c r="AA167" i="28"/>
  <c r="AB167" i="28"/>
  <c r="Z167" i="28"/>
  <c r="AA94" i="28"/>
  <c r="AA166" i="28"/>
  <c r="AB166" i="28"/>
  <c r="Z166" i="28"/>
  <c r="AA93" i="28"/>
  <c r="AA165" i="28"/>
  <c r="AB165" i="28"/>
  <c r="Z165" i="28"/>
  <c r="AA92" i="28"/>
  <c r="AA164" i="28"/>
  <c r="AB164" i="28"/>
  <c r="Z164" i="28"/>
  <c r="AA91" i="28"/>
  <c r="AA163" i="28"/>
  <c r="AB163" i="28"/>
  <c r="Z163" i="28"/>
  <c r="AA90" i="28"/>
  <c r="AA162" i="28"/>
  <c r="AB162" i="28"/>
  <c r="Z162" i="28"/>
  <c r="AA89" i="28"/>
  <c r="AA161" i="28"/>
  <c r="AB161" i="28"/>
  <c r="Z161" i="28"/>
  <c r="AA88" i="28"/>
  <c r="AA160" i="28"/>
  <c r="AB160" i="28"/>
  <c r="Z160" i="28"/>
  <c r="AA87" i="28"/>
  <c r="AA159" i="28"/>
  <c r="AB159" i="28"/>
  <c r="Z159" i="28"/>
  <c r="AA86" i="28"/>
  <c r="AA158" i="28"/>
  <c r="AB158" i="28"/>
  <c r="Z158" i="28"/>
  <c r="AA85" i="28"/>
  <c r="AA157" i="28"/>
  <c r="AB157" i="28"/>
  <c r="Z157" i="28"/>
  <c r="AA84" i="28"/>
  <c r="AA156" i="28"/>
  <c r="AB156" i="28"/>
  <c r="Z156" i="28"/>
  <c r="AA83" i="28"/>
  <c r="AA155" i="28"/>
  <c r="AB155" i="28"/>
  <c r="Z155" i="28"/>
  <c r="AA82" i="28"/>
  <c r="AA154" i="28"/>
  <c r="AB154" i="28"/>
  <c r="Z154" i="28"/>
  <c r="AA153" i="28"/>
  <c r="AB153" i="28"/>
  <c r="Z153" i="28"/>
  <c r="AA152" i="28"/>
  <c r="AB152" i="28"/>
  <c r="Z152" i="28"/>
  <c r="AA151" i="28"/>
  <c r="AB151" i="28"/>
  <c r="Z151" i="28"/>
  <c r="AA150" i="28"/>
  <c r="AB150" i="28"/>
  <c r="Z150" i="28"/>
  <c r="AA149" i="28"/>
  <c r="AB149" i="28"/>
  <c r="Z149" i="28"/>
  <c r="AA148" i="28"/>
  <c r="AB148" i="28"/>
  <c r="Z148" i="28"/>
  <c r="AA147" i="28"/>
  <c r="AB147" i="28"/>
  <c r="Z147" i="28"/>
  <c r="AA146" i="28"/>
  <c r="AB146" i="28"/>
  <c r="Z146" i="28"/>
  <c r="AA145" i="28"/>
  <c r="AB145" i="28"/>
  <c r="Z145" i="28"/>
  <c r="AA144" i="28"/>
  <c r="AB144" i="28"/>
  <c r="Z144" i="28"/>
  <c r="AA143" i="28"/>
  <c r="AB143" i="28"/>
  <c r="Z143" i="28"/>
  <c r="AA142" i="28"/>
  <c r="AB142" i="28"/>
  <c r="Z142" i="28"/>
  <c r="AA141" i="28"/>
  <c r="AB141" i="28"/>
  <c r="Z141" i="28"/>
  <c r="AA140" i="28"/>
  <c r="AB140" i="28"/>
  <c r="Z140" i="28"/>
  <c r="AA139" i="28"/>
  <c r="AB139" i="28"/>
  <c r="Z139" i="28"/>
  <c r="AA138" i="28"/>
  <c r="AB138" i="28"/>
  <c r="Z138" i="28"/>
  <c r="AA137" i="28"/>
  <c r="AB137" i="28"/>
  <c r="Z137" i="28"/>
  <c r="AA136" i="28"/>
  <c r="AB136" i="28"/>
  <c r="Z136"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F100" i="28"/>
  <c r="AE100" i="28"/>
  <c r="AB100" i="28"/>
  <c r="Z100" i="28"/>
  <c r="AF99" i="28"/>
  <c r="AE99" i="28"/>
  <c r="AB99" i="28"/>
  <c r="Z99" i="28"/>
  <c r="AF98" i="28"/>
  <c r="AE98" i="28"/>
  <c r="AB98" i="28"/>
  <c r="Z98" i="28"/>
  <c r="AF97" i="28"/>
  <c r="AE97" i="28"/>
  <c r="AB97" i="28"/>
  <c r="Z97" i="28"/>
  <c r="AF96" i="28"/>
  <c r="AE96" i="28"/>
  <c r="AB96" i="28"/>
  <c r="Z96" i="28"/>
  <c r="AF95" i="28"/>
  <c r="AE95" i="28"/>
  <c r="AB95" i="28"/>
  <c r="Z95" i="28"/>
  <c r="AF94" i="28"/>
  <c r="AE94" i="28"/>
  <c r="AB94" i="28"/>
  <c r="Z94" i="28"/>
  <c r="AF93" i="28"/>
  <c r="AE93" i="28"/>
  <c r="AB93" i="28"/>
  <c r="Z93" i="28"/>
  <c r="AF92" i="28"/>
  <c r="AE92" i="28"/>
  <c r="AB92" i="28"/>
  <c r="Z92" i="28"/>
  <c r="AF91" i="28"/>
  <c r="AE91" i="28"/>
  <c r="AB91" i="28"/>
  <c r="Z91" i="28"/>
  <c r="AF90" i="28"/>
  <c r="AE90" i="28"/>
  <c r="AB90" i="28"/>
  <c r="Z90" i="28"/>
  <c r="AF89" i="28"/>
  <c r="AE89" i="28"/>
  <c r="AB89" i="28"/>
  <c r="Z89" i="28"/>
  <c r="AF88" i="28"/>
  <c r="AE88" i="28"/>
  <c r="AB88" i="28"/>
  <c r="Z88" i="28"/>
  <c r="AF87" i="28"/>
  <c r="AE87" i="28"/>
  <c r="AB87" i="28"/>
  <c r="Z87" i="28"/>
  <c r="AF86" i="28"/>
  <c r="AE86" i="28"/>
  <c r="AB86" i="28"/>
  <c r="Z86" i="28"/>
  <c r="AF85" i="28"/>
  <c r="AE85" i="28"/>
  <c r="AB85" i="28"/>
  <c r="Z85" i="28"/>
  <c r="AF84" i="28"/>
  <c r="AE84" i="28"/>
  <c r="AB84" i="28"/>
  <c r="Z84" i="28"/>
  <c r="AF83" i="28"/>
  <c r="AE83" i="28"/>
  <c r="AB83" i="28"/>
  <c r="Z83" i="28"/>
  <c r="AF82" i="28"/>
  <c r="AE82" i="28"/>
  <c r="AB82" i="28"/>
  <c r="Z82" i="28"/>
  <c r="AB81" i="28"/>
  <c r="Z81" i="28"/>
  <c r="AB80" i="28"/>
  <c r="Z80" i="28"/>
  <c r="AB79" i="28"/>
  <c r="Z79" i="28"/>
  <c r="AB78" i="28"/>
  <c r="Z78" i="28"/>
  <c r="AB77" i="28"/>
  <c r="Z77" i="28"/>
  <c r="AB76" i="28"/>
  <c r="Z76" i="28"/>
  <c r="AB75" i="28"/>
  <c r="Z75" i="28"/>
  <c r="AB74" i="28"/>
  <c r="Z74" i="28"/>
  <c r="AB73" i="28"/>
  <c r="Z73" i="28"/>
  <c r="AB72" i="28"/>
  <c r="Z72" i="28"/>
  <c r="Q72" i="28"/>
  <c r="AB71" i="28"/>
  <c r="Z71" i="28"/>
  <c r="Q71" i="28"/>
  <c r="AB70" i="28"/>
  <c r="Z70" i="28"/>
  <c r="Q70" i="28"/>
  <c r="AB69" i="28"/>
  <c r="Z69" i="28"/>
  <c r="AB68" i="28"/>
  <c r="Z68" i="28"/>
  <c r="AB67" i="28"/>
  <c r="Z67" i="28"/>
  <c r="AB66" i="28"/>
  <c r="Z66" i="28"/>
  <c r="AB65" i="28"/>
  <c r="Z65" i="28"/>
  <c r="AB64" i="28"/>
  <c r="Z64" i="28"/>
  <c r="F12" i="28"/>
  <c r="BR60" i="28"/>
  <c r="F11" i="28"/>
  <c r="BZ51" i="28"/>
  <c r="F10" i="28"/>
  <c r="BY51" i="28"/>
  <c r="F9" i="28"/>
  <c r="BX51" i="28"/>
  <c r="F8" i="28"/>
  <c r="BW51" i="28"/>
  <c r="C25" i="28"/>
  <c r="BR59" i="28"/>
  <c r="CA51" i="28"/>
  <c r="C24" i="28"/>
  <c r="BR58" i="28"/>
  <c r="C23" i="28"/>
  <c r="BR57" i="28"/>
  <c r="C22" i="28"/>
  <c r="BR56" i="28"/>
  <c r="C21" i="28"/>
  <c r="BW29" i="28"/>
  <c r="BX29" i="28"/>
  <c r="BR34" i="28"/>
  <c r="BR35" i="28"/>
  <c r="BP56" i="28" a="1"/>
  <c r="BP56" i="28"/>
  <c r="BO56" i="28" a="1"/>
  <c r="BO56" i="28"/>
  <c r="BN56" i="28" a="1"/>
  <c r="BN56" i="28"/>
  <c r="BM56" i="28" a="1"/>
  <c r="BM56" i="28"/>
  <c r="BL56" i="28" a="1"/>
  <c r="BL56" i="28"/>
  <c r="BK56" i="28" a="1"/>
  <c r="BK56" i="28"/>
  <c r="BJ56" i="28" a="1"/>
  <c r="BJ56" i="28"/>
  <c r="BI56" i="28" a="1"/>
  <c r="BI56" i="28"/>
  <c r="BH56" i="28" a="1"/>
  <c r="BH56" i="28"/>
  <c r="BG56" i="28" a="1"/>
  <c r="BG56" i="28"/>
  <c r="BF56" i="28" a="1"/>
  <c r="BF56" i="28"/>
  <c r="BE56" i="28" a="1"/>
  <c r="BE56" i="28"/>
  <c r="BD56" i="28" a="1"/>
  <c r="BD56" i="28"/>
  <c r="BC56" i="28" a="1"/>
  <c r="BC56" i="28"/>
  <c r="BB56" i="28" a="1"/>
  <c r="BB56" i="28"/>
  <c r="BA56" i="28" a="1"/>
  <c r="BA56" i="28"/>
  <c r="AZ56" i="28" a="1"/>
  <c r="AZ56" i="28"/>
  <c r="AY56" i="28" a="1"/>
  <c r="AY56" i="28"/>
  <c r="AX56" i="28" a="1"/>
  <c r="AX56" i="28"/>
  <c r="AW56" i="28" a="1"/>
  <c r="AW56" i="28"/>
  <c r="AV56" i="28" a="1"/>
  <c r="AV56" i="28"/>
  <c r="AU56" i="28" a="1"/>
  <c r="AU56" i="28"/>
  <c r="AT56" i="28" a="1"/>
  <c r="AT56" i="28"/>
  <c r="AS56" i="28" a="1"/>
  <c r="AS56" i="28"/>
  <c r="AR56" i="28" a="1"/>
  <c r="AR56" i="28"/>
  <c r="AQ56" i="28" a="1"/>
  <c r="AQ56" i="28"/>
  <c r="AP56" i="28" a="1"/>
  <c r="AP56" i="28"/>
  <c r="AO56" i="28" a="1"/>
  <c r="AO56" i="28"/>
  <c r="AN56" i="28" a="1"/>
  <c r="AN56" i="28"/>
  <c r="AM56" i="28" a="1"/>
  <c r="AM56" i="28"/>
  <c r="AL56" i="28" a="1"/>
  <c r="AL56" i="28"/>
  <c r="AK56" i="28" a="1"/>
  <c r="AK56" i="28"/>
  <c r="AJ56" i="28" a="1"/>
  <c r="AJ56" i="28"/>
  <c r="AI56" i="28" a="1"/>
  <c r="AI56" i="28"/>
  <c r="AH56" i="28" a="1"/>
  <c r="AH56" i="28"/>
  <c r="AG56" i="28" a="1"/>
  <c r="AG56" i="28"/>
  <c r="AF56" i="28" a="1"/>
  <c r="AF56" i="28"/>
  <c r="AE56" i="28" a="1"/>
  <c r="AE56" i="28"/>
  <c r="AD56" i="28" a="1"/>
  <c r="AD56" i="28"/>
  <c r="AC56" i="28" a="1"/>
  <c r="AC56" i="28"/>
  <c r="AB56" i="28" a="1"/>
  <c r="AB56" i="28"/>
  <c r="AA56" i="28" a="1"/>
  <c r="AA56" i="28"/>
  <c r="Z56" i="28" a="1"/>
  <c r="Z56" i="28"/>
  <c r="Y56" i="28" a="1"/>
  <c r="Y56" i="28"/>
  <c r="X56" i="28" a="1"/>
  <c r="X56" i="28"/>
  <c r="W56" i="28" a="1"/>
  <c r="W56" i="28"/>
  <c r="V56" i="28" a="1"/>
  <c r="V56" i="28"/>
  <c r="U56" i="28" a="1"/>
  <c r="U56" i="28"/>
  <c r="T56" i="28" a="1"/>
  <c r="T56" i="28"/>
  <c r="S56" i="28" a="1"/>
  <c r="S56" i="28"/>
  <c r="R56" i="28" a="1"/>
  <c r="R56" i="28"/>
  <c r="Q56" i="28" a="1"/>
  <c r="Q56" i="28"/>
  <c r="P56" i="28" a="1"/>
  <c r="P56" i="28"/>
  <c r="O56" i="28" a="1"/>
  <c r="O56" i="28"/>
  <c r="N56" i="28" a="1"/>
  <c r="N56" i="28"/>
  <c r="M56" i="28" a="1"/>
  <c r="M56" i="28"/>
  <c r="L56" i="28" a="1"/>
  <c r="L56" i="28"/>
  <c r="K56" i="28" a="1"/>
  <c r="K56" i="28"/>
  <c r="J56" i="28" a="1"/>
  <c r="J56" i="28"/>
  <c r="I56" i="28" a="1"/>
  <c r="I56" i="28"/>
  <c r="H56" i="28" a="1"/>
  <c r="H56" i="28"/>
  <c r="G56" i="28" a="1"/>
  <c r="G56" i="28"/>
  <c r="F56" i="28" a="1"/>
  <c r="F56" i="28"/>
  <c r="E56" i="28" a="1"/>
  <c r="E56" i="28"/>
  <c r="BR37" i="28"/>
  <c r="CA29" i="28"/>
  <c r="BR38" i="28"/>
  <c r="BZ29" i="28"/>
  <c r="BR36" i="28"/>
  <c r="BY29" i="28"/>
  <c r="BR49" i="28"/>
  <c r="BR48" i="28"/>
  <c r="BR47" i="28"/>
  <c r="BR46" i="28"/>
  <c r="BR45" i="28"/>
  <c r="BW40" i="28"/>
  <c r="BX40" i="28"/>
  <c r="BP45" i="28" a="1"/>
  <c r="BP45" i="28"/>
  <c r="BO45" i="28" a="1"/>
  <c r="BO45" i="28"/>
  <c r="BN45" i="28" a="1"/>
  <c r="BN45" i="28"/>
  <c r="BM45" i="28" a="1"/>
  <c r="BM45" i="28"/>
  <c r="BL45" i="28" a="1"/>
  <c r="BL45" i="28"/>
  <c r="BK45" i="28" a="1"/>
  <c r="BK45" i="28"/>
  <c r="BJ45" i="28" a="1"/>
  <c r="BJ45" i="28"/>
  <c r="BI45" i="28" a="1"/>
  <c r="BI45" i="28"/>
  <c r="BH45" i="28" a="1"/>
  <c r="BH45" i="28"/>
  <c r="BG45" i="28" a="1"/>
  <c r="BG45" i="28"/>
  <c r="BF45" i="28" a="1"/>
  <c r="BF45" i="28"/>
  <c r="BE45" i="28" a="1"/>
  <c r="BE45" i="28"/>
  <c r="BD45" i="28" a="1"/>
  <c r="BD45" i="28"/>
  <c r="BC45" i="28" a="1"/>
  <c r="BC45" i="28"/>
  <c r="BB45" i="28" a="1"/>
  <c r="BB45" i="28"/>
  <c r="BA45" i="28" a="1"/>
  <c r="BA45" i="28"/>
  <c r="AZ45" i="28" a="1"/>
  <c r="AZ45" i="28"/>
  <c r="AY45" i="28" a="1"/>
  <c r="AY45" i="28"/>
  <c r="AX45" i="28" a="1"/>
  <c r="AX45" i="28"/>
  <c r="AW45" i="28" a="1"/>
  <c r="AW45" i="28"/>
  <c r="AV45" i="28" a="1"/>
  <c r="AV45" i="28"/>
  <c r="AU45" i="28" a="1"/>
  <c r="AU45" i="28"/>
  <c r="AT45" i="28" a="1"/>
  <c r="AT45" i="28"/>
  <c r="AS45" i="28" a="1"/>
  <c r="AS45" i="28"/>
  <c r="AR45" i="28" a="1"/>
  <c r="AR45" i="28"/>
  <c r="AQ45" i="28" a="1"/>
  <c r="AQ45" i="28"/>
  <c r="AP45" i="28" a="1"/>
  <c r="AP45" i="28"/>
  <c r="AO45" i="28" a="1"/>
  <c r="AO45" i="28"/>
  <c r="AN45" i="28" a="1"/>
  <c r="AN45" i="28"/>
  <c r="AM45" i="28" a="1"/>
  <c r="AM45" i="28"/>
  <c r="AL45" i="28" a="1"/>
  <c r="AL45" i="28"/>
  <c r="AK45" i="28" a="1"/>
  <c r="AK45" i="28"/>
  <c r="AJ45" i="28" a="1"/>
  <c r="AJ45" i="28"/>
  <c r="AI45" i="28" a="1"/>
  <c r="AI45" i="28"/>
  <c r="AH45" i="28" a="1"/>
  <c r="AH45" i="28"/>
  <c r="AG45" i="28" a="1"/>
  <c r="AG45" i="28"/>
  <c r="AF45" i="28" a="1"/>
  <c r="AF45" i="28"/>
  <c r="AE45" i="28" a="1"/>
  <c r="AE45" i="28"/>
  <c r="AD45" i="28" a="1"/>
  <c r="AD45" i="28"/>
  <c r="AC45" i="28" a="1"/>
  <c r="AC45" i="28"/>
  <c r="AB45" i="28" a="1"/>
  <c r="AB45" i="28"/>
  <c r="AA45" i="28" a="1"/>
  <c r="AA45" i="28"/>
  <c r="Z45" i="28" a="1"/>
  <c r="Z45" i="28"/>
  <c r="Y45" i="28" a="1"/>
  <c r="Y45" i="28"/>
  <c r="X45" i="28" a="1"/>
  <c r="X45" i="28"/>
  <c r="W45" i="28" a="1"/>
  <c r="W45" i="28"/>
  <c r="V45" i="28" a="1"/>
  <c r="V45" i="28"/>
  <c r="U45" i="28" a="1"/>
  <c r="U45" i="28"/>
  <c r="T45" i="28" a="1"/>
  <c r="T45" i="28"/>
  <c r="S45" i="28" a="1"/>
  <c r="S45" i="28"/>
  <c r="R45" i="28" a="1"/>
  <c r="R45" i="28"/>
  <c r="Q45" i="28" a="1"/>
  <c r="Q45" i="28"/>
  <c r="P45" i="28" a="1"/>
  <c r="P45" i="28"/>
  <c r="O45" i="28" a="1"/>
  <c r="O45" i="28"/>
  <c r="N45" i="28" a="1"/>
  <c r="N45" i="28"/>
  <c r="M45" i="28" a="1"/>
  <c r="M45" i="28"/>
  <c r="L45" i="28" a="1"/>
  <c r="L45" i="28"/>
  <c r="K45" i="28" a="1"/>
  <c r="K45" i="28"/>
  <c r="J45" i="28" a="1"/>
  <c r="J45" i="28"/>
  <c r="I45" i="28" a="1"/>
  <c r="I45" i="28"/>
  <c r="H45" i="28" a="1"/>
  <c r="H45" i="28"/>
  <c r="G45" i="28" a="1"/>
  <c r="G45" i="28"/>
  <c r="F45" i="28" a="1"/>
  <c r="F45" i="28"/>
  <c r="E45" i="28" a="1"/>
  <c r="E45" i="28"/>
  <c r="CA40" i="28"/>
  <c r="BZ40" i="28"/>
  <c r="BY40"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BP35" i="28" a="1"/>
  <c r="BP35" i="28"/>
  <c r="BO35" i="28" a="1"/>
  <c r="BO35" i="28"/>
  <c r="BN35" i="28" a="1"/>
  <c r="BN35" i="28"/>
  <c r="BM35" i="28" a="1"/>
  <c r="BM35" i="28"/>
  <c r="BL35" i="28" a="1"/>
  <c r="BL35" i="28"/>
  <c r="BK35" i="28" a="1"/>
  <c r="BK35" i="28"/>
  <c r="BJ35" i="28" a="1"/>
  <c r="BJ35" i="28"/>
  <c r="BI35" i="28" a="1"/>
  <c r="BI35" i="28"/>
  <c r="BH35" i="28" a="1"/>
  <c r="BH35" i="28"/>
  <c r="BG35" i="28" a="1"/>
  <c r="BG35" i="28"/>
  <c r="BF35" i="28" a="1"/>
  <c r="BF35" i="28"/>
  <c r="BE35" i="28" a="1"/>
  <c r="BE35" i="28"/>
  <c r="BD35" i="28" a="1"/>
  <c r="BD35" i="28"/>
  <c r="BC35" i="28" a="1"/>
  <c r="BC35" i="28"/>
  <c r="BB35" i="28" a="1"/>
  <c r="BB35" i="28"/>
  <c r="BA35" i="28" a="1"/>
  <c r="BA35" i="28"/>
  <c r="AZ35" i="28" a="1"/>
  <c r="AZ35" i="28"/>
  <c r="AY35" i="28" a="1"/>
  <c r="AY35" i="28"/>
  <c r="AX35" i="28" a="1"/>
  <c r="AX35" i="28"/>
  <c r="AW35" i="28" a="1"/>
  <c r="AW35" i="28"/>
  <c r="AV35" i="28" a="1"/>
  <c r="AV35" i="28"/>
  <c r="AU35" i="28" a="1"/>
  <c r="AU35" i="28"/>
  <c r="AT35" i="28" a="1"/>
  <c r="AT35" i="28"/>
  <c r="AS35" i="28" a="1"/>
  <c r="AS35" i="28"/>
  <c r="AR35" i="28" a="1"/>
  <c r="AR35" i="28"/>
  <c r="AQ35" i="28" a="1"/>
  <c r="AQ35" i="28"/>
  <c r="AP35" i="28" a="1"/>
  <c r="AP35" i="28"/>
  <c r="AO35" i="28" a="1"/>
  <c r="AO35" i="28"/>
  <c r="AN35" i="28" a="1"/>
  <c r="AN35" i="28"/>
  <c r="AM35" i="28" a="1"/>
  <c r="AM35" i="28"/>
  <c r="AL35" i="28" a="1"/>
  <c r="AL35" i="28"/>
  <c r="AK35" i="28" a="1"/>
  <c r="AK35" i="28"/>
  <c r="AJ35" i="28" a="1"/>
  <c r="AJ35" i="28"/>
  <c r="AI35" i="28" a="1"/>
  <c r="AI35" i="28"/>
  <c r="AH35" i="28" a="1"/>
  <c r="AH35" i="28"/>
  <c r="AG35" i="28" a="1"/>
  <c r="AG35" i="28"/>
  <c r="AF35" i="28" a="1"/>
  <c r="AF35" i="28"/>
  <c r="AE35" i="28" a="1"/>
  <c r="AE35" i="28"/>
  <c r="AD35" i="28" a="1"/>
  <c r="AD35" i="28"/>
  <c r="AC35" i="28" a="1"/>
  <c r="AC35" i="28"/>
  <c r="AB35" i="28" a="1"/>
  <c r="AB35" i="28"/>
  <c r="AA35" i="28" a="1"/>
  <c r="AA35" i="28"/>
  <c r="Z35" i="28" a="1"/>
  <c r="Z35" i="28"/>
  <c r="Y35" i="28" a="1"/>
  <c r="Y35" i="28"/>
  <c r="X35" i="28" a="1"/>
  <c r="X35" i="28"/>
  <c r="W35" i="28" a="1"/>
  <c r="W35" i="28"/>
  <c r="V35" i="28" a="1"/>
  <c r="V35" i="28"/>
  <c r="U35" i="28" a="1"/>
  <c r="U35" i="28"/>
  <c r="T35" i="28" a="1"/>
  <c r="T35" i="28"/>
  <c r="S35" i="28" a="1"/>
  <c r="S35" i="28"/>
  <c r="R35" i="28" a="1"/>
  <c r="R35" i="28"/>
  <c r="Q35" i="28" a="1"/>
  <c r="Q35" i="28"/>
  <c r="P35" i="28" a="1"/>
  <c r="P35" i="28"/>
  <c r="O35" i="28" a="1"/>
  <c r="O35" i="28"/>
  <c r="N35" i="28" a="1"/>
  <c r="N35" i="28"/>
  <c r="M35" i="28" a="1"/>
  <c r="M35" i="28"/>
  <c r="L35" i="28" a="1"/>
  <c r="L35" i="28"/>
  <c r="K35" i="28" a="1"/>
  <c r="K35" i="28"/>
  <c r="J35" i="28" a="1"/>
  <c r="J35" i="28"/>
  <c r="I35" i="28" a="1"/>
  <c r="I35" i="28"/>
  <c r="H35" i="28" a="1"/>
  <c r="H35" i="28"/>
  <c r="G35" i="28" a="1"/>
  <c r="G35" i="28"/>
  <c r="F35" i="28" a="1"/>
  <c r="F35" i="28"/>
  <c r="E35" i="28" a="1"/>
  <c r="E35" i="28"/>
  <c r="C35" i="28"/>
  <c r="BP34" i="28" a="1"/>
  <c r="BP34" i="28"/>
  <c r="BO34" i="28" a="1"/>
  <c r="BO34" i="28"/>
  <c r="BN34" i="28" a="1"/>
  <c r="BN34" i="28"/>
  <c r="BM34" i="28" a="1"/>
  <c r="BM34" i="28"/>
  <c r="BL34" i="28" a="1"/>
  <c r="BL34" i="28"/>
  <c r="BK34" i="28" a="1"/>
  <c r="BK34" i="28"/>
  <c r="BJ34" i="28" a="1"/>
  <c r="BJ34" i="28"/>
  <c r="BI34" i="28" a="1"/>
  <c r="BI34" i="28"/>
  <c r="BH34" i="28" a="1"/>
  <c r="BH34" i="28"/>
  <c r="BG34" i="28" a="1"/>
  <c r="BG34" i="28"/>
  <c r="BF34" i="28" a="1"/>
  <c r="BF34" i="28"/>
  <c r="BE34" i="28" a="1"/>
  <c r="BE34" i="28"/>
  <c r="BD34" i="28" a="1"/>
  <c r="BD34" i="28"/>
  <c r="BC34" i="28" a="1"/>
  <c r="BC34" i="28"/>
  <c r="BB34" i="28" a="1"/>
  <c r="BB34" i="28"/>
  <c r="BA34" i="28" a="1"/>
  <c r="BA34" i="28"/>
  <c r="AZ34" i="28" a="1"/>
  <c r="AZ34" i="28"/>
  <c r="AY34" i="28" a="1"/>
  <c r="AY34" i="28"/>
  <c r="AX34" i="28" a="1"/>
  <c r="AX34" i="28"/>
  <c r="AW34" i="28" a="1"/>
  <c r="AW34" i="28"/>
  <c r="AV34" i="28" a="1"/>
  <c r="AV34" i="28"/>
  <c r="AU34" i="28" a="1"/>
  <c r="AU34" i="28"/>
  <c r="AT34" i="28" a="1"/>
  <c r="AT34" i="28"/>
  <c r="AS34" i="28" a="1"/>
  <c r="AS34" i="28"/>
  <c r="AR34" i="28" a="1"/>
  <c r="AR34" i="28"/>
  <c r="AQ34" i="28" a="1"/>
  <c r="AQ34" i="28"/>
  <c r="AP34" i="28" a="1"/>
  <c r="AP34" i="28"/>
  <c r="AO34" i="28" a="1"/>
  <c r="AO34" i="28"/>
  <c r="AN34" i="28" a="1"/>
  <c r="AN34" i="28"/>
  <c r="AM34" i="28" a="1"/>
  <c r="AM34" i="28"/>
  <c r="AL34" i="28" a="1"/>
  <c r="AL34" i="28"/>
  <c r="AK34" i="28" a="1"/>
  <c r="AK34" i="28"/>
  <c r="AJ34" i="28" a="1"/>
  <c r="AJ34" i="28"/>
  <c r="AI34" i="28" a="1"/>
  <c r="AI34" i="28"/>
  <c r="AH34" i="28" a="1"/>
  <c r="AH34" i="28"/>
  <c r="AG34" i="28" a="1"/>
  <c r="AG34" i="28"/>
  <c r="AF34" i="28" a="1"/>
  <c r="AF34" i="28"/>
  <c r="AE34" i="28" a="1"/>
  <c r="AE34" i="28"/>
  <c r="AD34" i="28" a="1"/>
  <c r="AD34" i="28"/>
  <c r="AC34" i="28" a="1"/>
  <c r="AC34" i="28"/>
  <c r="AB34" i="28" a="1"/>
  <c r="AB34" i="28"/>
  <c r="AA34" i="28" a="1"/>
  <c r="AA34" i="28"/>
  <c r="Z34" i="28" a="1"/>
  <c r="Z34" i="28"/>
  <c r="Y34" i="28" a="1"/>
  <c r="Y34" i="28"/>
  <c r="X34" i="28" a="1"/>
  <c r="X34" i="28"/>
  <c r="W34" i="28" a="1"/>
  <c r="W34" i="28"/>
  <c r="V34" i="28" a="1"/>
  <c r="V34" i="28"/>
  <c r="U34" i="28" a="1"/>
  <c r="U34" i="28"/>
  <c r="T34" i="28" a="1"/>
  <c r="T34" i="28"/>
  <c r="S34" i="28" a="1"/>
  <c r="S34" i="28"/>
  <c r="R34" i="28" a="1"/>
  <c r="R34" i="28"/>
  <c r="Q34" i="28" a="1"/>
  <c r="Q34" i="28"/>
  <c r="P34" i="28" a="1"/>
  <c r="P34" i="28"/>
  <c r="O34" i="28" a="1"/>
  <c r="O34" i="28"/>
  <c r="N34" i="28" a="1"/>
  <c r="N34" i="28"/>
  <c r="M34" i="28" a="1"/>
  <c r="M34" i="28"/>
  <c r="L34" i="28" a="1"/>
  <c r="L34" i="28"/>
  <c r="K34" i="28" a="1"/>
  <c r="K34" i="28"/>
  <c r="J34" i="28" a="1"/>
  <c r="J34" i="28"/>
  <c r="I34" i="28" a="1"/>
  <c r="I34" i="28"/>
  <c r="H34" i="28" a="1"/>
  <c r="H34" i="28"/>
  <c r="G34" i="28" a="1"/>
  <c r="G34" i="28"/>
  <c r="F34" i="28" a="1"/>
  <c r="F34" i="28"/>
  <c r="E34" i="28" a="1"/>
  <c r="E34" i="28"/>
  <c r="C34" i="28"/>
  <c r="C33" i="28"/>
  <c r="C32" i="28"/>
  <c r="C31" i="28"/>
  <c r="C30" i="28"/>
  <c r="AA21" i="28"/>
  <c r="AB21" i="28"/>
  <c r="AC21" i="28"/>
  <c r="AA22" i="28"/>
  <c r="AA25" i="28"/>
  <c r="I25" i="28"/>
  <c r="G25" i="28"/>
  <c r="F25" i="28"/>
  <c r="E25" i="28"/>
  <c r="D25" i="28"/>
  <c r="AA24" i="28"/>
  <c r="I24" i="28"/>
  <c r="G24" i="28"/>
  <c r="F24" i="28"/>
  <c r="E24" i="28"/>
  <c r="D24" i="28"/>
  <c r="AA23" i="28"/>
  <c r="I23" i="28"/>
  <c r="G23" i="28"/>
  <c r="F23" i="28"/>
  <c r="E23" i="28"/>
  <c r="D23" i="28"/>
  <c r="I22" i="28"/>
  <c r="G22" i="28"/>
  <c r="F22" i="28"/>
  <c r="E22" i="28"/>
  <c r="D22" i="28"/>
  <c r="I21" i="28"/>
  <c r="G21" i="28"/>
  <c r="F21" i="28"/>
  <c r="E21" i="28"/>
  <c r="D21" i="28"/>
  <c r="I20" i="28"/>
  <c r="G20" i="28"/>
  <c r="F20" i="28"/>
  <c r="E20" i="28"/>
  <c r="D20" i="28"/>
  <c r="I19" i="28"/>
  <c r="G19" i="28"/>
  <c r="F19" i="28"/>
  <c r="E19" i="28"/>
  <c r="D19" i="28"/>
  <c r="I18" i="28"/>
  <c r="G18" i="28"/>
  <c r="F18" i="28"/>
  <c r="E18" i="28"/>
  <c r="D18" i="28"/>
  <c r="I17" i="28"/>
  <c r="G17" i="28"/>
  <c r="F17" i="28"/>
  <c r="E17" i="28"/>
  <c r="D17" i="28"/>
  <c r="F13" i="28"/>
  <c r="B13" i="28"/>
  <c r="Z18"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17" i="28"/>
  <c r="I33" i="27"/>
  <c r="E29" i="9"/>
  <c r="I31" i="27"/>
  <c r="M16" i="27"/>
  <c r="M15" i="27"/>
  <c r="M14" i="27"/>
  <c r="M13" i="27"/>
  <c r="M12" i="27"/>
  <c r="E15" i="9"/>
  <c r="L11" i="27"/>
  <c r="E14" i="9"/>
  <c r="I11" i="27"/>
  <c r="E11" i="27"/>
  <c r="D11" i="27"/>
  <c r="C11" i="27"/>
  <c r="E55" i="9"/>
  <c r="C10" i="27"/>
  <c r="E20" i="9"/>
  <c r="O10" i="27"/>
  <c r="E19" i="9"/>
  <c r="L7" i="27"/>
  <c r="I5" i="27"/>
  <c r="I4" i="27"/>
  <c r="I3" i="27"/>
  <c r="I2" i="27"/>
  <c r="E21" i="24"/>
  <c r="E20" i="24"/>
  <c r="E16" i="26"/>
  <c r="E15" i="26"/>
  <c r="E86" i="9"/>
  <c r="Q17" i="22"/>
  <c r="E53" i="9"/>
  <c r="C10" i="26"/>
  <c r="E13" i="26"/>
  <c r="E12" i="26"/>
  <c r="G21" i="26"/>
  <c r="F21" i="26"/>
  <c r="G18" i="26"/>
  <c r="N16" i="26"/>
  <c r="K16" i="26"/>
  <c r="E81" i="9"/>
  <c r="F16" i="26"/>
  <c r="N15" i="26"/>
  <c r="K15" i="26"/>
  <c r="E80" i="9"/>
  <c r="F15" i="26"/>
  <c r="E54" i="9"/>
  <c r="C14" i="26"/>
  <c r="N13" i="26"/>
  <c r="K13" i="26"/>
  <c r="N12" i="26"/>
  <c r="K12" i="26"/>
  <c r="E61" i="9"/>
  <c r="M11" i="26"/>
  <c r="J11" i="26"/>
  <c r="G11" i="26"/>
  <c r="E11" i="26"/>
  <c r="D11" i="26"/>
  <c r="C11" i="26"/>
  <c r="P9" i="26"/>
  <c r="G7" i="26"/>
  <c r="E5" i="26"/>
  <c r="E4" i="26"/>
  <c r="E3" i="26"/>
  <c r="E2" i="26"/>
  <c r="E6" i="22"/>
  <c r="E26" i="22" a="1"/>
  <c r="E26" i="22"/>
  <c r="E27" i="22" a="1"/>
  <c r="E27" i="22"/>
  <c r="E28" i="22" a="1"/>
  <c r="E28" i="22"/>
  <c r="E29" i="22" a="1"/>
  <c r="E29" i="22"/>
  <c r="E30" i="22" a="1"/>
  <c r="E30" i="22"/>
  <c r="E31" i="22" a="1"/>
  <c r="E31" i="22"/>
  <c r="E32" i="22" a="1"/>
  <c r="E32" i="22"/>
  <c r="E33" i="22" a="1"/>
  <c r="E33" i="22"/>
  <c r="E34" i="22" a="1"/>
  <c r="E34" i="22"/>
  <c r="E35" i="22" a="1"/>
  <c r="E35" i="22"/>
  <c r="E7" i="22" a="1"/>
  <c r="E7" i="22"/>
  <c r="F26" i="22"/>
  <c r="G26" i="22"/>
  <c r="F27" i="22"/>
  <c r="G27" i="22"/>
  <c r="F28" i="22"/>
  <c r="G28" i="22"/>
  <c r="F29" i="22"/>
  <c r="G29" i="22"/>
  <c r="F30" i="22"/>
  <c r="G30" i="22"/>
  <c r="F31" i="22"/>
  <c r="G31" i="22"/>
  <c r="F32" i="22"/>
  <c r="G32" i="22"/>
  <c r="F33" i="22"/>
  <c r="G33" i="22"/>
  <c r="F34" i="22"/>
  <c r="G34" i="22"/>
  <c r="F35" i="22"/>
  <c r="G35" i="22"/>
  <c r="G6" i="22"/>
  <c r="G7" i="22"/>
  <c r="F7" i="22"/>
  <c r="F6" i="22"/>
  <c r="C3" i="25"/>
  <c r="C4" i="25"/>
  <c r="E13" i="22" a="1"/>
  <c r="E13" i="22"/>
  <c r="F13" i="22"/>
  <c r="C10" i="25"/>
  <c r="E17" i="22" a="1"/>
  <c r="E17" i="22"/>
  <c r="F17" i="22"/>
  <c r="C14" i="25"/>
  <c r="E22" i="22" a="1"/>
  <c r="E22" i="22"/>
  <c r="F22" i="22"/>
  <c r="C19" i="25"/>
  <c r="C23" i="25"/>
  <c r="C24" i="25"/>
  <c r="C25" i="25"/>
  <c r="C26" i="25"/>
  <c r="C27" i="25"/>
  <c r="C28" i="25"/>
  <c r="C29" i="25"/>
  <c r="C30" i="25"/>
  <c r="C31" i="25"/>
  <c r="C32" i="25"/>
  <c r="C33" i="25"/>
  <c r="C34" i="25"/>
  <c r="C40" i="25"/>
  <c r="C44" i="25"/>
  <c r="C49" i="25"/>
  <c r="C53" i="25"/>
  <c r="C54" i="25"/>
  <c r="C55" i="25"/>
  <c r="C56" i="25"/>
  <c r="C57" i="25"/>
  <c r="C58" i="25"/>
  <c r="C59" i="25"/>
  <c r="C60" i="25"/>
  <c r="C61" i="25"/>
  <c r="C62" i="25"/>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6" i="22"/>
  <c r="W17" i="22"/>
  <c r="V17" i="22"/>
  <c r="C40" i="10"/>
  <c r="G40" i="10"/>
  <c r="C39" i="10"/>
  <c r="G39" i="10"/>
  <c r="C38" i="10"/>
  <c r="G38" i="10"/>
  <c r="C37" i="10"/>
  <c r="G37" i="10"/>
  <c r="C36" i="10"/>
  <c r="G36" i="10"/>
  <c r="C35" i="10"/>
  <c r="G35" i="10"/>
  <c r="C31" i="10"/>
  <c r="G31" i="10"/>
  <c r="C30" i="10"/>
  <c r="G30" i="10"/>
  <c r="C29" i="10"/>
  <c r="G29" i="10"/>
  <c r="C28" i="10"/>
  <c r="G28" i="10"/>
  <c r="C27" i="10"/>
  <c r="G27" i="10"/>
  <c r="C26" i="10"/>
  <c r="G26" i="10"/>
  <c r="C22" i="10"/>
  <c r="G22" i="10"/>
  <c r="C21" i="10"/>
  <c r="G21" i="10"/>
  <c r="C20" i="10"/>
  <c r="G20" i="10"/>
  <c r="C19" i="10"/>
  <c r="G19" i="10"/>
  <c r="C18" i="10"/>
  <c r="G18" i="10"/>
  <c r="C17" i="10"/>
  <c r="G17" i="10"/>
  <c r="Z18" i="3"/>
  <c r="C13" i="10"/>
  <c r="G13" i="10"/>
  <c r="C12" i="10"/>
  <c r="G12" i="10"/>
  <c r="C11" i="10"/>
  <c r="G11" i="10"/>
  <c r="C10" i="10"/>
  <c r="G10" i="10"/>
  <c r="C9" i="10"/>
  <c r="G9" i="10"/>
  <c r="C8" i="10"/>
  <c r="G8" i="10"/>
  <c r="C40" i="20"/>
  <c r="G40" i="20"/>
  <c r="C39" i="20"/>
  <c r="G39" i="20"/>
  <c r="C38" i="20"/>
  <c r="G38" i="20"/>
  <c r="C37" i="20"/>
  <c r="G37" i="20"/>
  <c r="C36" i="20"/>
  <c r="G36" i="20"/>
  <c r="C35" i="20"/>
  <c r="G35" i="20"/>
  <c r="C31" i="20"/>
  <c r="G31" i="20"/>
  <c r="C30" i="20"/>
  <c r="G30" i="20"/>
  <c r="C29" i="20"/>
  <c r="G29" i="20"/>
  <c r="C28" i="20"/>
  <c r="G28" i="20"/>
  <c r="C27" i="20"/>
  <c r="G27" i="20"/>
  <c r="C26" i="20"/>
  <c r="G26" i="20"/>
  <c r="C22" i="20"/>
  <c r="G22" i="20"/>
  <c r="C21" i="20"/>
  <c r="G21" i="20"/>
  <c r="C20" i="20"/>
  <c r="G20" i="20"/>
  <c r="C19" i="20"/>
  <c r="G19" i="20"/>
  <c r="C18" i="20"/>
  <c r="G18" i="20"/>
  <c r="C17" i="20"/>
  <c r="G17" i="20"/>
  <c r="Z17" i="17"/>
  <c r="Z18" i="17"/>
  <c r="Y19" i="17"/>
  <c r="Z19" i="17"/>
  <c r="Y20" i="17"/>
  <c r="Z20" i="17"/>
  <c r="C9" i="20"/>
  <c r="AH21" i="6"/>
  <c r="AH14" i="6"/>
  <c r="AH23" i="6"/>
  <c r="AH17" i="6"/>
  <c r="AH15" i="6"/>
  <c r="AH16" i="6"/>
  <c r="AH12" i="6"/>
  <c r="AH13" i="6"/>
  <c r="G9" i="20"/>
  <c r="C10" i="20"/>
  <c r="G10" i="20"/>
  <c r="C11" i="20"/>
  <c r="G11" i="20"/>
  <c r="C12" i="20"/>
  <c r="G12" i="20"/>
  <c r="C13" i="20"/>
  <c r="G13" i="20"/>
  <c r="C8" i="20"/>
  <c r="G8" i="20"/>
  <c r="E12" i="24"/>
  <c r="E12" i="21"/>
  <c r="Y17" i="3"/>
  <c r="Y18" i="3"/>
  <c r="Y19" i="3"/>
  <c r="Y20" i="3"/>
  <c r="Y21" i="3"/>
  <c r="Y22" i="3"/>
  <c r="Y17" i="17"/>
  <c r="Y18" i="17"/>
  <c r="Y21" i="17"/>
  <c r="Y22" i="17"/>
  <c r="B13" i="6"/>
  <c r="B12" i="6"/>
  <c r="L34" i="20"/>
  <c r="Z64" i="17"/>
  <c r="Z65" i="17"/>
  <c r="AB64" i="17"/>
  <c r="AB65" i="17"/>
  <c r="Z66"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L40" i="20"/>
  <c r="K34" i="20"/>
  <c r="K40" i="20"/>
  <c r="J34" i="20"/>
  <c r="J40" i="20"/>
  <c r="I34" i="20"/>
  <c r="I40" i="20"/>
  <c r="H34" i="20"/>
  <c r="H40" i="20"/>
  <c r="M34" i="20"/>
  <c r="M39" i="20"/>
  <c r="K39" i="20"/>
  <c r="J39" i="20"/>
  <c r="I39" i="20"/>
  <c r="H39" i="20"/>
  <c r="M38" i="20"/>
  <c r="L38" i="20"/>
  <c r="J38" i="20"/>
  <c r="I38" i="20"/>
  <c r="H38" i="20"/>
  <c r="M37" i="20"/>
  <c r="L37" i="20"/>
  <c r="K37" i="20"/>
  <c r="I37" i="20"/>
  <c r="H37" i="20"/>
  <c r="M36" i="20"/>
  <c r="L36" i="20"/>
  <c r="K36" i="20"/>
  <c r="J36" i="20"/>
  <c r="H36" i="20"/>
  <c r="M35" i="20"/>
  <c r="L35" i="20"/>
  <c r="K35" i="20"/>
  <c r="J35" i="20"/>
  <c r="I35" i="20"/>
  <c r="L25" i="20"/>
  <c r="L31" i="20"/>
  <c r="K25" i="20"/>
  <c r="K31" i="20"/>
  <c r="J25" i="20"/>
  <c r="J31" i="20"/>
  <c r="I25" i="20"/>
  <c r="I31" i="20"/>
  <c r="H25" i="20"/>
  <c r="H31" i="20"/>
  <c r="M25" i="20"/>
  <c r="M30" i="20"/>
  <c r="K30" i="20"/>
  <c r="J30" i="20"/>
  <c r="I30" i="20"/>
  <c r="H30" i="20"/>
  <c r="M29" i="20"/>
  <c r="L29" i="20"/>
  <c r="J29" i="20"/>
  <c r="I29" i="20"/>
  <c r="H29" i="20"/>
  <c r="M28" i="20"/>
  <c r="L28" i="20"/>
  <c r="K28" i="20"/>
  <c r="I28" i="20"/>
  <c r="H28" i="20"/>
  <c r="M27" i="20"/>
  <c r="L27" i="20"/>
  <c r="K27" i="20"/>
  <c r="J27" i="20"/>
  <c r="H27" i="20"/>
  <c r="M26" i="20"/>
  <c r="L26" i="20"/>
  <c r="K26" i="20"/>
  <c r="J26" i="20"/>
  <c r="I26" i="20"/>
  <c r="L16" i="20"/>
  <c r="L22" i="20"/>
  <c r="K16" i="20"/>
  <c r="K22" i="20"/>
  <c r="J16" i="20"/>
  <c r="J22" i="20"/>
  <c r="I16" i="20"/>
  <c r="I22" i="20"/>
  <c r="H16" i="20"/>
  <c r="H22" i="20"/>
  <c r="M16" i="20"/>
  <c r="M21" i="20"/>
  <c r="K21" i="20"/>
  <c r="J21" i="20"/>
  <c r="I21" i="20"/>
  <c r="H21" i="20"/>
  <c r="M20" i="20"/>
  <c r="L20" i="20"/>
  <c r="J20" i="20"/>
  <c r="I20" i="20"/>
  <c r="H20" i="20"/>
  <c r="M19" i="20"/>
  <c r="L19" i="20"/>
  <c r="K19" i="20"/>
  <c r="I19" i="20"/>
  <c r="H19" i="20"/>
  <c r="M18" i="20"/>
  <c r="L18" i="20"/>
  <c r="K18" i="20"/>
  <c r="J18" i="20"/>
  <c r="H18" i="20"/>
  <c r="M17" i="20"/>
  <c r="L17" i="20"/>
  <c r="K17" i="20"/>
  <c r="J17" i="20"/>
  <c r="I17" i="20"/>
  <c r="L7" i="20"/>
  <c r="L13" i="20"/>
  <c r="K7" i="20"/>
  <c r="K13" i="20"/>
  <c r="J7" i="20"/>
  <c r="J13" i="20"/>
  <c r="I7" i="20"/>
  <c r="I13" i="20"/>
  <c r="H7" i="20"/>
  <c r="H13" i="20"/>
  <c r="M7" i="20"/>
  <c r="M12" i="20"/>
  <c r="K12" i="20"/>
  <c r="J12" i="20"/>
  <c r="I12" i="20"/>
  <c r="H12" i="20"/>
  <c r="M11" i="20"/>
  <c r="L11" i="20"/>
  <c r="J11" i="20"/>
  <c r="I11" i="20"/>
  <c r="H11" i="20"/>
  <c r="M10" i="20"/>
  <c r="L10" i="20"/>
  <c r="K10" i="20"/>
  <c r="I10" i="20"/>
  <c r="H10" i="20"/>
  <c r="M9" i="20"/>
  <c r="L9" i="20"/>
  <c r="K9" i="20"/>
  <c r="J9" i="20"/>
  <c r="H9" i="20"/>
  <c r="M8" i="20"/>
  <c r="L8" i="20"/>
  <c r="K8" i="20"/>
  <c r="J8" i="20"/>
  <c r="I8" i="20"/>
  <c r="L34" i="10"/>
  <c r="Z64" i="3"/>
  <c r="Z65" i="3"/>
  <c r="AB64" i="3"/>
  <c r="AB65" i="3"/>
  <c r="Z66"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L40" i="10"/>
  <c r="K34" i="10"/>
  <c r="K40" i="10"/>
  <c r="J34" i="10"/>
  <c r="J40" i="10"/>
  <c r="I34" i="10"/>
  <c r="I40" i="10"/>
  <c r="H34" i="10"/>
  <c r="H40" i="10"/>
  <c r="M34" i="10"/>
  <c r="M39" i="10"/>
  <c r="K39" i="10"/>
  <c r="J39" i="10"/>
  <c r="I39" i="10"/>
  <c r="H39" i="10"/>
  <c r="M38" i="10"/>
  <c r="L38" i="10"/>
  <c r="J38" i="10"/>
  <c r="I38" i="10"/>
  <c r="H38" i="10"/>
  <c r="M37" i="10"/>
  <c r="L37" i="10"/>
  <c r="K37" i="10"/>
  <c r="I37" i="10"/>
  <c r="H37" i="10"/>
  <c r="M36" i="10"/>
  <c r="L36" i="10"/>
  <c r="K36" i="10"/>
  <c r="J36" i="10"/>
  <c r="H36" i="10"/>
  <c r="M35" i="10"/>
  <c r="L35" i="10"/>
  <c r="K35" i="10"/>
  <c r="J35" i="10"/>
  <c r="I35" i="10"/>
  <c r="L25" i="10"/>
  <c r="L31" i="10"/>
  <c r="K25" i="10"/>
  <c r="K31" i="10"/>
  <c r="J25" i="10"/>
  <c r="J31" i="10"/>
  <c r="I25" i="10"/>
  <c r="I31" i="10"/>
  <c r="H25" i="10"/>
  <c r="H31" i="10"/>
  <c r="M25" i="10"/>
  <c r="M30" i="10"/>
  <c r="K30" i="10"/>
  <c r="J30" i="10"/>
  <c r="I30" i="10"/>
  <c r="H30" i="10"/>
  <c r="M29" i="10"/>
  <c r="L29" i="10"/>
  <c r="J29" i="10"/>
  <c r="I29" i="10"/>
  <c r="H29" i="10"/>
  <c r="M28" i="10"/>
  <c r="L28" i="10"/>
  <c r="K28" i="10"/>
  <c r="I28" i="10"/>
  <c r="H28" i="10"/>
  <c r="M27" i="10"/>
  <c r="L27" i="10"/>
  <c r="K27" i="10"/>
  <c r="J27" i="10"/>
  <c r="H27" i="10"/>
  <c r="M26" i="10"/>
  <c r="L26" i="10"/>
  <c r="K26" i="10"/>
  <c r="J26" i="10"/>
  <c r="I26" i="10"/>
  <c r="L16" i="10"/>
  <c r="L22" i="10"/>
  <c r="K16" i="10"/>
  <c r="K22" i="10"/>
  <c r="J16" i="10"/>
  <c r="J22" i="10"/>
  <c r="I16" i="10"/>
  <c r="I22" i="10"/>
  <c r="H16" i="10"/>
  <c r="H22" i="10"/>
  <c r="M16" i="10"/>
  <c r="M21" i="10"/>
  <c r="K21" i="10"/>
  <c r="J21" i="10"/>
  <c r="I21" i="10"/>
  <c r="H21" i="10"/>
  <c r="M20" i="10"/>
  <c r="L20" i="10"/>
  <c r="J20" i="10"/>
  <c r="I20" i="10"/>
  <c r="H20" i="10"/>
  <c r="M19" i="10"/>
  <c r="L19" i="10"/>
  <c r="K19" i="10"/>
  <c r="I19" i="10"/>
  <c r="H19" i="10"/>
  <c r="M18" i="10"/>
  <c r="L18" i="10"/>
  <c r="K18" i="10"/>
  <c r="J18" i="10"/>
  <c r="H18" i="10"/>
  <c r="M17" i="10"/>
  <c r="L17" i="10"/>
  <c r="K17" i="10"/>
  <c r="J17" i="10"/>
  <c r="I17" i="10"/>
  <c r="L7" i="10"/>
  <c r="L13" i="10"/>
  <c r="K7" i="10"/>
  <c r="K13" i="10"/>
  <c r="J7" i="10"/>
  <c r="J13" i="10"/>
  <c r="I7" i="10"/>
  <c r="I13" i="10"/>
  <c r="H7" i="10"/>
  <c r="H13" i="10"/>
  <c r="M7" i="10"/>
  <c r="M12" i="10"/>
  <c r="K12" i="10"/>
  <c r="J12" i="10"/>
  <c r="I12" i="10"/>
  <c r="H12" i="10"/>
  <c r="M11" i="10"/>
  <c r="L11" i="10"/>
  <c r="J11" i="10"/>
  <c r="I11" i="10"/>
  <c r="H11" i="10"/>
  <c r="M10" i="10"/>
  <c r="L10" i="10"/>
  <c r="K10" i="10"/>
  <c r="I10" i="10"/>
  <c r="H10" i="10"/>
  <c r="M9" i="10"/>
  <c r="L9" i="10"/>
  <c r="K9" i="10"/>
  <c r="J9" i="10"/>
  <c r="H9" i="10"/>
  <c r="M8" i="10"/>
  <c r="L8" i="10"/>
  <c r="K8" i="10"/>
  <c r="J8" i="10"/>
  <c r="I8" i="10"/>
  <c r="AB21" i="6"/>
  <c r="AB27" i="6"/>
  <c r="AA21" i="6"/>
  <c r="AA27" i="6"/>
  <c r="Z21" i="6"/>
  <c r="Z27" i="6"/>
  <c r="Y21" i="6"/>
  <c r="Y27" i="6"/>
  <c r="X21" i="6"/>
  <c r="X27" i="6"/>
  <c r="AC21" i="6"/>
  <c r="AC26" i="6"/>
  <c r="AA26" i="6"/>
  <c r="Z26" i="6"/>
  <c r="Y26" i="6"/>
  <c r="X26" i="6"/>
  <c r="AC25" i="6"/>
  <c r="AB25" i="6"/>
  <c r="Z25" i="6"/>
  <c r="Y25" i="6"/>
  <c r="X25" i="6"/>
  <c r="AC24" i="6"/>
  <c r="AB24" i="6"/>
  <c r="AA24" i="6"/>
  <c r="Y24" i="6"/>
  <c r="X24" i="6"/>
  <c r="AC23" i="6"/>
  <c r="AB23" i="6"/>
  <c r="AA23" i="6"/>
  <c r="Z23" i="6"/>
  <c r="X23" i="6"/>
  <c r="AC22" i="6"/>
  <c r="AB22" i="6"/>
  <c r="AA22" i="6"/>
  <c r="Z22" i="6"/>
  <c r="Y22" i="6"/>
  <c r="AB11" i="6"/>
  <c r="AB17" i="6"/>
  <c r="AA11" i="6"/>
  <c r="AA17" i="6"/>
  <c r="Z11" i="6"/>
  <c r="Z17" i="6"/>
  <c r="Y11" i="6"/>
  <c r="Y17" i="6"/>
  <c r="X11" i="6"/>
  <c r="X17" i="6"/>
  <c r="AC11" i="6"/>
  <c r="AC16" i="6"/>
  <c r="AA16" i="6"/>
  <c r="Z16" i="6"/>
  <c r="Y16" i="6"/>
  <c r="X16" i="6"/>
  <c r="AC15" i="6"/>
  <c r="AB15" i="6"/>
  <c r="Z15" i="6"/>
  <c r="Y15" i="6"/>
  <c r="X15" i="6"/>
  <c r="AC14" i="6"/>
  <c r="AB14" i="6"/>
  <c r="AA14" i="6"/>
  <c r="Y14" i="6"/>
  <c r="X14" i="6"/>
  <c r="AC13" i="6"/>
  <c r="AB13" i="6"/>
  <c r="AA13" i="6"/>
  <c r="Z13" i="6"/>
  <c r="X13" i="6"/>
  <c r="AC12" i="6"/>
  <c r="AB12" i="6"/>
  <c r="AA12" i="6"/>
  <c r="Z12" i="6"/>
  <c r="Y12" i="6"/>
  <c r="E89" i="9"/>
  <c r="E90" i="9"/>
  <c r="E91" i="9"/>
  <c r="E92" i="9"/>
  <c r="S11" i="22"/>
  <c r="E63" i="9"/>
  <c r="AG7" i="6"/>
  <c r="AG21" i="6"/>
  <c r="AI21" i="6"/>
  <c r="AG11" i="6"/>
  <c r="AH11" i="6"/>
  <c r="AI11" i="6"/>
  <c r="AH27" i="6"/>
  <c r="AH26" i="6"/>
  <c r="AH25" i="6"/>
  <c r="AH24" i="6"/>
  <c r="AH22" i="6"/>
  <c r="E16" i="9"/>
  <c r="AG20" i="6"/>
  <c r="AG10" i="6"/>
  <c r="E85" i="9"/>
  <c r="Q16" i="22"/>
  <c r="E84" i="9"/>
  <c r="Q15" i="22"/>
  <c r="E82" i="9"/>
  <c r="E83" i="9"/>
  <c r="Q22" i="22"/>
  <c r="E78" i="9"/>
  <c r="D17" i="14"/>
  <c r="C10" i="21"/>
  <c r="C10" i="24"/>
  <c r="C11" i="24"/>
  <c r="C11" i="21"/>
  <c r="E56" i="9"/>
  <c r="B3" i="20"/>
  <c r="B3" i="10"/>
  <c r="K18" i="24"/>
  <c r="K20" i="24"/>
  <c r="N20" i="24"/>
  <c r="N17" i="24"/>
  <c r="N18" i="24"/>
  <c r="N21" i="24"/>
  <c r="K21" i="24"/>
  <c r="K17" i="24"/>
  <c r="E40" i="9"/>
  <c r="M30" i="6"/>
  <c r="G26" i="24"/>
  <c r="F26" i="24"/>
  <c r="G23" i="24"/>
  <c r="F21" i="24"/>
  <c r="F20" i="24"/>
  <c r="C19" i="24"/>
  <c r="C16" i="24"/>
  <c r="N15" i="24"/>
  <c r="K15" i="24"/>
  <c r="N14" i="24"/>
  <c r="K14" i="24"/>
  <c r="N13" i="24"/>
  <c r="K13" i="24"/>
  <c r="N12" i="24"/>
  <c r="K12" i="24"/>
  <c r="M11" i="24"/>
  <c r="J11" i="24"/>
  <c r="G11" i="24"/>
  <c r="E11" i="24"/>
  <c r="D11" i="24"/>
  <c r="P9" i="24"/>
  <c r="G7" i="24"/>
  <c r="E5" i="24"/>
  <c r="E4" i="24"/>
  <c r="E3" i="24"/>
  <c r="E2" i="24"/>
  <c r="E41" i="9"/>
  <c r="Q4" i="22"/>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Q13" i="22"/>
  <c r="E44" i="9"/>
  <c r="Q11" i="22"/>
  <c r="E43" i="9"/>
  <c r="Q9" i="22"/>
  <c r="E42" i="9"/>
  <c r="Q7" i="22"/>
  <c r="E45" i="9"/>
  <c r="S5" i="22"/>
  <c r="Q5" i="22"/>
  <c r="E31" i="9"/>
  <c r="L5" i="22"/>
  <c r="E34" i="9"/>
  <c r="I5" i="22"/>
  <c r="E17" i="9"/>
  <c r="H5" i="22"/>
  <c r="G5" i="22"/>
  <c r="F5" i="22"/>
  <c r="E33" i="9"/>
  <c r="E5" i="22"/>
  <c r="C5" i="22"/>
  <c r="O4" i="22"/>
  <c r="E32" i="9"/>
  <c r="E4" i="22"/>
  <c r="C4" i="22"/>
  <c r="E30" i="9"/>
  <c r="E2" i="22"/>
  <c r="G22" i="21"/>
  <c r="F22" i="21"/>
  <c r="G7" i="21"/>
  <c r="E5" i="21"/>
  <c r="E4" i="21"/>
  <c r="E3" i="21"/>
  <c r="E2" i="21"/>
  <c r="G19" i="21"/>
  <c r="M11" i="21"/>
  <c r="N17" i="21"/>
  <c r="N16" i="21"/>
  <c r="N15" i="21"/>
  <c r="N14" i="21"/>
  <c r="N13" i="21"/>
  <c r="P9" i="21"/>
  <c r="R16" i="6"/>
  <c r="R12" i="6"/>
  <c r="J11" i="21"/>
  <c r="K13" i="21"/>
  <c r="K14" i="21"/>
  <c r="K15" i="21"/>
  <c r="K16" i="21"/>
  <c r="K17" i="21"/>
  <c r="G11" i="21"/>
  <c r="D11" i="21"/>
  <c r="E11" i="21"/>
  <c r="Z21" i="17"/>
  <c r="Z22" i="17"/>
  <c r="F40" i="20"/>
  <c r="E40" i="20"/>
  <c r="D40" i="20"/>
  <c r="B40" i="20"/>
  <c r="F39" i="20"/>
  <c r="E39" i="20"/>
  <c r="D39" i="20"/>
  <c r="B39" i="20"/>
  <c r="F38" i="20"/>
  <c r="E38" i="20"/>
  <c r="D38" i="20"/>
  <c r="B38" i="20"/>
  <c r="F37" i="20"/>
  <c r="E37" i="20"/>
  <c r="D37" i="20"/>
  <c r="B37" i="20"/>
  <c r="F36" i="20"/>
  <c r="E36" i="20"/>
  <c r="D36" i="20"/>
  <c r="B36" i="20"/>
  <c r="F35" i="20"/>
  <c r="E35" i="20"/>
  <c r="D35" i="20"/>
  <c r="B35" i="20"/>
  <c r="F31" i="20"/>
  <c r="E31" i="20"/>
  <c r="D31" i="20"/>
  <c r="B31" i="20"/>
  <c r="F30" i="20"/>
  <c r="E30" i="20"/>
  <c r="D30" i="20"/>
  <c r="B30" i="20"/>
  <c r="F29" i="20"/>
  <c r="E29" i="20"/>
  <c r="D29" i="20"/>
  <c r="B29" i="20"/>
  <c r="F28" i="20"/>
  <c r="E28" i="20"/>
  <c r="D28" i="20"/>
  <c r="B28" i="20"/>
  <c r="F27" i="20"/>
  <c r="E27" i="20"/>
  <c r="D27" i="20"/>
  <c r="B27" i="20"/>
  <c r="F26" i="20"/>
  <c r="E26" i="20"/>
  <c r="D26" i="20"/>
  <c r="B26" i="20"/>
  <c r="F22" i="20"/>
  <c r="E22" i="20"/>
  <c r="D22" i="20"/>
  <c r="B22" i="20"/>
  <c r="F21" i="20"/>
  <c r="E21" i="20"/>
  <c r="D21" i="20"/>
  <c r="B21" i="20"/>
  <c r="F20" i="20"/>
  <c r="E20" i="20"/>
  <c r="D20" i="20"/>
  <c r="B20" i="20"/>
  <c r="F19" i="20"/>
  <c r="E19" i="20"/>
  <c r="D19" i="20"/>
  <c r="B19" i="20"/>
  <c r="F18" i="20"/>
  <c r="E18" i="20"/>
  <c r="D18" i="20"/>
  <c r="B18" i="20"/>
  <c r="F17" i="20"/>
  <c r="E17" i="20"/>
  <c r="D17" i="20"/>
  <c r="B17" i="20"/>
  <c r="F13" i="20"/>
  <c r="E13" i="20"/>
  <c r="D13" i="20"/>
  <c r="B13" i="20"/>
  <c r="F12" i="20"/>
  <c r="E12" i="20"/>
  <c r="D12" i="20"/>
  <c r="B12" i="20"/>
  <c r="F11" i="20"/>
  <c r="E11" i="20"/>
  <c r="D11" i="20"/>
  <c r="B11" i="20"/>
  <c r="F10" i="20"/>
  <c r="E10" i="20"/>
  <c r="D10" i="20"/>
  <c r="B10" i="20"/>
  <c r="F9" i="20"/>
  <c r="E9" i="20"/>
  <c r="D9" i="20"/>
  <c r="B9" i="20"/>
  <c r="F8" i="20"/>
  <c r="E8" i="20"/>
  <c r="D8" i="20"/>
  <c r="B8" i="20"/>
  <c r="N40" i="20"/>
  <c r="N39" i="20"/>
  <c r="N38" i="20"/>
  <c r="N37" i="20"/>
  <c r="N36" i="20"/>
  <c r="N35" i="20"/>
  <c r="G34" i="20"/>
  <c r="E28" i="9"/>
  <c r="F34" i="20"/>
  <c r="E34" i="20"/>
  <c r="D34" i="20"/>
  <c r="C34" i="20"/>
  <c r="M33" i="20"/>
  <c r="L33" i="20"/>
  <c r="K33" i="20"/>
  <c r="J33" i="20"/>
  <c r="I33" i="20"/>
  <c r="H33" i="20"/>
  <c r="N31" i="20"/>
  <c r="N30" i="20"/>
  <c r="N29" i="20"/>
  <c r="N28" i="20"/>
  <c r="N27" i="20"/>
  <c r="N26" i="20"/>
  <c r="G25" i="20"/>
  <c r="F25" i="20"/>
  <c r="E25" i="20"/>
  <c r="D25" i="20"/>
  <c r="C25" i="20"/>
  <c r="M24" i="20"/>
  <c r="L24" i="20"/>
  <c r="K24" i="20"/>
  <c r="J24" i="20"/>
  <c r="I24" i="20"/>
  <c r="H24" i="20"/>
  <c r="N22" i="20"/>
  <c r="N21" i="20"/>
  <c r="N20" i="20"/>
  <c r="N19" i="20"/>
  <c r="N18" i="20"/>
  <c r="N17" i="20"/>
  <c r="G16" i="20"/>
  <c r="F16" i="20"/>
  <c r="E16" i="20"/>
  <c r="D16" i="20"/>
  <c r="C16" i="20"/>
  <c r="M15" i="20"/>
  <c r="L15" i="20"/>
  <c r="K15" i="20"/>
  <c r="J15" i="20"/>
  <c r="I15" i="20"/>
  <c r="H15" i="20"/>
  <c r="N13" i="20"/>
  <c r="N12" i="20"/>
  <c r="N11" i="20"/>
  <c r="N10" i="20"/>
  <c r="N9" i="20"/>
  <c r="N8" i="20"/>
  <c r="G7" i="20"/>
  <c r="F7" i="20"/>
  <c r="E7" i="20"/>
  <c r="D7" i="20"/>
  <c r="C7" i="20"/>
  <c r="M6" i="20"/>
  <c r="L6" i="20"/>
  <c r="K6" i="20"/>
  <c r="J6" i="20"/>
  <c r="I6" i="20"/>
  <c r="H6" i="20"/>
  <c r="E69" i="9"/>
  <c r="B4" i="20"/>
  <c r="E7" i="9"/>
  <c r="B2" i="20"/>
  <c r="E6" i="9"/>
  <c r="E11" i="6"/>
  <c r="E18" i="9"/>
  <c r="K7" i="6"/>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W27" i="6"/>
  <c r="V27" i="6"/>
  <c r="U27" i="6"/>
  <c r="S27" i="6"/>
  <c r="R27" i="6"/>
  <c r="Q27" i="6"/>
  <c r="P27" i="6"/>
  <c r="O27" i="6"/>
  <c r="W26" i="6"/>
  <c r="V26" i="6"/>
  <c r="U26" i="6"/>
  <c r="S26" i="6"/>
  <c r="R26" i="6"/>
  <c r="Q26" i="6"/>
  <c r="P26" i="6"/>
  <c r="O26" i="6"/>
  <c r="W25" i="6"/>
  <c r="V25" i="6"/>
  <c r="U25" i="6"/>
  <c r="S25" i="6"/>
  <c r="R25" i="6"/>
  <c r="Q25" i="6"/>
  <c r="P25" i="6"/>
  <c r="O25" i="6"/>
  <c r="W24" i="6"/>
  <c r="V24" i="6"/>
  <c r="U24" i="6"/>
  <c r="S24" i="6"/>
  <c r="R24" i="6"/>
  <c r="Q24" i="6"/>
  <c r="P24" i="6"/>
  <c r="O24" i="6"/>
  <c r="W23" i="6"/>
  <c r="V23" i="6"/>
  <c r="U23" i="6"/>
  <c r="S23" i="6"/>
  <c r="R23" i="6"/>
  <c r="Q23" i="6"/>
  <c r="P23" i="6"/>
  <c r="O23" i="6"/>
  <c r="W22" i="6"/>
  <c r="V22" i="6"/>
  <c r="U22" i="6"/>
  <c r="S22" i="6"/>
  <c r="R22" i="6"/>
  <c r="Q22" i="6"/>
  <c r="P22" i="6"/>
  <c r="O22" i="6"/>
  <c r="T23" i="6"/>
  <c r="T24" i="6"/>
  <c r="T25" i="6"/>
  <c r="T26" i="6"/>
  <c r="T27" i="6"/>
  <c r="M22" i="6"/>
  <c r="M23" i="6"/>
  <c r="M24" i="6"/>
  <c r="M25" i="6"/>
  <c r="M26" i="6"/>
  <c r="M27" i="6"/>
  <c r="M12" i="6"/>
  <c r="M13" i="6"/>
  <c r="M14" i="6"/>
  <c r="M15" i="6"/>
  <c r="M16" i="6"/>
  <c r="M20" i="6"/>
  <c r="AD27" i="6"/>
  <c r="M17" i="6"/>
  <c r="AD26" i="6"/>
  <c r="AD25" i="6"/>
  <c r="AD24" i="6"/>
  <c r="AD23" i="6"/>
  <c r="AD22" i="6"/>
  <c r="T22" i="6"/>
  <c r="W21" i="6"/>
  <c r="V21" i="6"/>
  <c r="S21" i="6"/>
  <c r="R21" i="6"/>
  <c r="Q21" i="6"/>
  <c r="P21" i="6"/>
  <c r="O21" i="6"/>
  <c r="AC20" i="6"/>
  <c r="AB20" i="6"/>
  <c r="AA20" i="6"/>
  <c r="Z20" i="6"/>
  <c r="Y20" i="6"/>
  <c r="X20" i="6"/>
  <c r="M10" i="6"/>
  <c r="Z22" i="3"/>
  <c r="V135" i="3"/>
  <c r="W135" i="3"/>
  <c r="X135" i="3"/>
  <c r="Y135" i="3"/>
  <c r="AA135" i="3"/>
  <c r="AF135" i="3"/>
  <c r="AE135" i="3"/>
  <c r="AB135" i="3"/>
  <c r="Z135" i="3"/>
  <c r="V134" i="3"/>
  <c r="W134" i="3"/>
  <c r="X134" i="3"/>
  <c r="Y134" i="3"/>
  <c r="AA134" i="3"/>
  <c r="AF134" i="3"/>
  <c r="AE134" i="3"/>
  <c r="AB134" i="3"/>
  <c r="Z134" i="3"/>
  <c r="V133" i="3"/>
  <c r="W133" i="3"/>
  <c r="X133" i="3"/>
  <c r="Y133" i="3"/>
  <c r="AA133" i="3"/>
  <c r="AF133" i="3"/>
  <c r="AE133" i="3"/>
  <c r="AB133" i="3"/>
  <c r="Z133" i="3"/>
  <c r="V132" i="3"/>
  <c r="W132" i="3"/>
  <c r="X132" i="3"/>
  <c r="Y132" i="3"/>
  <c r="AA132" i="3"/>
  <c r="AF132" i="3"/>
  <c r="AE132" i="3"/>
  <c r="AB132" i="3"/>
  <c r="Z132" i="3"/>
  <c r="V131" i="3"/>
  <c r="W131" i="3"/>
  <c r="X131" i="3"/>
  <c r="Y131" i="3"/>
  <c r="AA131" i="3"/>
  <c r="AF131" i="3"/>
  <c r="AE131" i="3"/>
  <c r="AB131" i="3"/>
  <c r="Z131" i="3"/>
  <c r="V130" i="3"/>
  <c r="W130" i="3"/>
  <c r="X130" i="3"/>
  <c r="Y130" i="3"/>
  <c r="AA130" i="3"/>
  <c r="AF130" i="3"/>
  <c r="AE130" i="3"/>
  <c r="AB130" i="3"/>
  <c r="Z130" i="3"/>
  <c r="V129" i="3"/>
  <c r="W129" i="3"/>
  <c r="X129" i="3"/>
  <c r="Y129" i="3"/>
  <c r="AA129" i="3"/>
  <c r="AF129" i="3"/>
  <c r="AE129" i="3"/>
  <c r="AB129" i="3"/>
  <c r="Z129" i="3"/>
  <c r="V128" i="3"/>
  <c r="W128" i="3"/>
  <c r="X128" i="3"/>
  <c r="Y128" i="3"/>
  <c r="AA128" i="3"/>
  <c r="AF128" i="3"/>
  <c r="AE128" i="3"/>
  <c r="AB128" i="3"/>
  <c r="Z128" i="3"/>
  <c r="V127" i="3"/>
  <c r="W127" i="3"/>
  <c r="X127" i="3"/>
  <c r="Y127" i="3"/>
  <c r="AA127" i="3"/>
  <c r="AF127" i="3"/>
  <c r="AE127" i="3"/>
  <c r="AB127" i="3"/>
  <c r="Z127" i="3"/>
  <c r="V126" i="3"/>
  <c r="W126" i="3"/>
  <c r="X126" i="3"/>
  <c r="Y126" i="3"/>
  <c r="AA126" i="3"/>
  <c r="AF126" i="3"/>
  <c r="AE126" i="3"/>
  <c r="AB126" i="3"/>
  <c r="Z126" i="3"/>
  <c r="V125" i="3"/>
  <c r="W125" i="3"/>
  <c r="X125" i="3"/>
  <c r="Y125" i="3"/>
  <c r="AA125" i="3"/>
  <c r="AF125" i="3"/>
  <c r="AE125" i="3"/>
  <c r="AB125" i="3"/>
  <c r="Z125" i="3"/>
  <c r="V124" i="3"/>
  <c r="W124" i="3"/>
  <c r="X124" i="3"/>
  <c r="Y124" i="3"/>
  <c r="AA124" i="3"/>
  <c r="AF124" i="3"/>
  <c r="AE124" i="3"/>
  <c r="AB124" i="3"/>
  <c r="Z124" i="3"/>
  <c r="V123" i="3"/>
  <c r="W123" i="3"/>
  <c r="X123" i="3"/>
  <c r="Y123" i="3"/>
  <c r="AA123" i="3"/>
  <c r="AF123" i="3"/>
  <c r="AE123" i="3"/>
  <c r="AB123" i="3"/>
  <c r="Z123" i="3"/>
  <c r="V122" i="3"/>
  <c r="W122" i="3"/>
  <c r="X122" i="3"/>
  <c r="Y122" i="3"/>
  <c r="AA122" i="3"/>
  <c r="AF122" i="3"/>
  <c r="AE122" i="3"/>
  <c r="AB122" i="3"/>
  <c r="Z122" i="3"/>
  <c r="V121" i="3"/>
  <c r="W121" i="3"/>
  <c r="X121" i="3"/>
  <c r="Y121" i="3"/>
  <c r="AA121" i="3"/>
  <c r="AF121" i="3"/>
  <c r="AE121" i="3"/>
  <c r="AB121" i="3"/>
  <c r="Z121" i="3"/>
  <c r="V120" i="3"/>
  <c r="W120" i="3"/>
  <c r="X120" i="3"/>
  <c r="Y120" i="3"/>
  <c r="AA120" i="3"/>
  <c r="AF120" i="3"/>
  <c r="AE120" i="3"/>
  <c r="AB120" i="3"/>
  <c r="Z120" i="3"/>
  <c r="V119" i="3"/>
  <c r="W119" i="3"/>
  <c r="X119" i="3"/>
  <c r="Y119" i="3"/>
  <c r="AA119" i="3"/>
  <c r="AF119" i="3"/>
  <c r="AE119" i="3"/>
  <c r="AB119" i="3"/>
  <c r="Z119" i="3"/>
  <c r="V118" i="3"/>
  <c r="W118" i="3"/>
  <c r="X118" i="3"/>
  <c r="Y118" i="3"/>
  <c r="AA118" i="3"/>
  <c r="AF118" i="3"/>
  <c r="AE118" i="3"/>
  <c r="AB118" i="3"/>
  <c r="Z118" i="3"/>
  <c r="V117" i="3"/>
  <c r="W117" i="3"/>
  <c r="X117" i="3"/>
  <c r="Y117" i="3"/>
  <c r="AA117" i="3"/>
  <c r="AF117" i="3"/>
  <c r="AE117" i="3"/>
  <c r="AB117" i="3"/>
  <c r="Z117" i="3"/>
  <c r="V116" i="3"/>
  <c r="W116" i="3"/>
  <c r="X116" i="3"/>
  <c r="Y116" i="3"/>
  <c r="AA116" i="3"/>
  <c r="AF116" i="3"/>
  <c r="AE116" i="3"/>
  <c r="AB116" i="3"/>
  <c r="Z116" i="3"/>
  <c r="V115" i="3"/>
  <c r="W115" i="3"/>
  <c r="X115" i="3"/>
  <c r="Y115" i="3"/>
  <c r="AA115" i="3"/>
  <c r="AF115" i="3"/>
  <c r="AE115" i="3"/>
  <c r="AB115" i="3"/>
  <c r="Z115" i="3"/>
  <c r="V114" i="3"/>
  <c r="W114" i="3"/>
  <c r="X114" i="3"/>
  <c r="Y114" i="3"/>
  <c r="AA114" i="3"/>
  <c r="AF114" i="3"/>
  <c r="AE114" i="3"/>
  <c r="AB114" i="3"/>
  <c r="Z114" i="3"/>
  <c r="V113" i="3"/>
  <c r="W113" i="3"/>
  <c r="X113" i="3"/>
  <c r="Y113" i="3"/>
  <c r="AA113" i="3"/>
  <c r="AF113" i="3"/>
  <c r="AE113" i="3"/>
  <c r="AB113" i="3"/>
  <c r="Z113" i="3"/>
  <c r="V112" i="3"/>
  <c r="W112" i="3"/>
  <c r="X112" i="3"/>
  <c r="Y112" i="3"/>
  <c r="AA112" i="3"/>
  <c r="AF112" i="3"/>
  <c r="AE112" i="3"/>
  <c r="AB112" i="3"/>
  <c r="Z112" i="3"/>
  <c r="V111" i="3"/>
  <c r="W111" i="3"/>
  <c r="X111" i="3"/>
  <c r="Y111" i="3"/>
  <c r="AA111" i="3"/>
  <c r="AF111" i="3"/>
  <c r="AE111" i="3"/>
  <c r="AB111" i="3"/>
  <c r="Z111" i="3"/>
  <c r="V110" i="3"/>
  <c r="W110" i="3"/>
  <c r="X110" i="3"/>
  <c r="Y110" i="3"/>
  <c r="AA110" i="3"/>
  <c r="AF110" i="3"/>
  <c r="AE110" i="3"/>
  <c r="AB110" i="3"/>
  <c r="Z110" i="3"/>
  <c r="V109" i="3"/>
  <c r="W109" i="3"/>
  <c r="X109" i="3"/>
  <c r="Y109" i="3"/>
  <c r="AA109" i="3"/>
  <c r="AF109" i="3"/>
  <c r="AE109" i="3"/>
  <c r="AB109" i="3"/>
  <c r="Z109" i="3"/>
  <c r="V108" i="3"/>
  <c r="W108" i="3"/>
  <c r="X108" i="3"/>
  <c r="Y108" i="3"/>
  <c r="AA108" i="3"/>
  <c r="AF108" i="3"/>
  <c r="AE108" i="3"/>
  <c r="AB108" i="3"/>
  <c r="Z108" i="3"/>
  <c r="V107" i="3"/>
  <c r="W107" i="3"/>
  <c r="X107" i="3"/>
  <c r="Y107" i="3"/>
  <c r="AA107" i="3"/>
  <c r="AF107" i="3"/>
  <c r="AE107" i="3"/>
  <c r="AB107" i="3"/>
  <c r="Z107" i="3"/>
  <c r="V106" i="3"/>
  <c r="W106" i="3"/>
  <c r="X106" i="3"/>
  <c r="Y106" i="3"/>
  <c r="AA106" i="3"/>
  <c r="AF106" i="3"/>
  <c r="AE106" i="3"/>
  <c r="AB106" i="3"/>
  <c r="Z106" i="3"/>
  <c r="V105" i="3"/>
  <c r="W105" i="3"/>
  <c r="X105" i="3"/>
  <c r="Y105" i="3"/>
  <c r="AA105" i="3"/>
  <c r="AF105" i="3"/>
  <c r="AE105" i="3"/>
  <c r="AB105" i="3"/>
  <c r="Z105" i="3"/>
  <c r="V104" i="3"/>
  <c r="W104" i="3"/>
  <c r="X104" i="3"/>
  <c r="Y104" i="3"/>
  <c r="AA104" i="3"/>
  <c r="AF104" i="3"/>
  <c r="AE104" i="3"/>
  <c r="AB104" i="3"/>
  <c r="Z104" i="3"/>
  <c r="V103" i="3"/>
  <c r="W103" i="3"/>
  <c r="X103" i="3"/>
  <c r="Y103" i="3"/>
  <c r="AA103" i="3"/>
  <c r="AF103" i="3"/>
  <c r="AE103" i="3"/>
  <c r="AB103" i="3"/>
  <c r="Z103" i="3"/>
  <c r="V102" i="3"/>
  <c r="W102" i="3"/>
  <c r="X102" i="3"/>
  <c r="Y102" i="3"/>
  <c r="AA102" i="3"/>
  <c r="AF102" i="3"/>
  <c r="AE102" i="3"/>
  <c r="AB102" i="3"/>
  <c r="Z102" i="3"/>
  <c r="V101" i="3"/>
  <c r="W101" i="3"/>
  <c r="X101" i="3"/>
  <c r="Y101" i="3"/>
  <c r="AA101" i="3"/>
  <c r="AF101" i="3"/>
  <c r="AE101" i="3"/>
  <c r="AB101" i="3"/>
  <c r="Z101" i="3"/>
  <c r="V100" i="3"/>
  <c r="W100" i="3"/>
  <c r="X100" i="3"/>
  <c r="Y100" i="3"/>
  <c r="AA100" i="3"/>
  <c r="AF100" i="3"/>
  <c r="AE100" i="3"/>
  <c r="AB100" i="3"/>
  <c r="Z100" i="3"/>
  <c r="V99" i="3"/>
  <c r="W99" i="3"/>
  <c r="X99" i="3"/>
  <c r="Y99" i="3"/>
  <c r="AA99" i="3"/>
  <c r="AF99" i="3"/>
  <c r="AE99" i="3"/>
  <c r="AB99" i="3"/>
  <c r="Z99" i="3"/>
  <c r="V98" i="3"/>
  <c r="W98" i="3"/>
  <c r="X98" i="3"/>
  <c r="Y98" i="3"/>
  <c r="AA98" i="3"/>
  <c r="AF98" i="3"/>
  <c r="AE98" i="3"/>
  <c r="AB98" i="3"/>
  <c r="Z98" i="3"/>
  <c r="V97" i="3"/>
  <c r="W97" i="3"/>
  <c r="X97" i="3"/>
  <c r="Y97" i="3"/>
  <c r="AA97" i="3"/>
  <c r="AF97" i="3"/>
  <c r="AE97" i="3"/>
  <c r="AB97" i="3"/>
  <c r="Z97" i="3"/>
  <c r="V96" i="3"/>
  <c r="W96" i="3"/>
  <c r="X96" i="3"/>
  <c r="Y96" i="3"/>
  <c r="AA96" i="3"/>
  <c r="AF96" i="3"/>
  <c r="AE96" i="3"/>
  <c r="AB96" i="3"/>
  <c r="Z96" i="3"/>
  <c r="V95" i="3"/>
  <c r="W95" i="3"/>
  <c r="X95" i="3"/>
  <c r="Y95" i="3"/>
  <c r="AA95" i="3"/>
  <c r="AF95" i="3"/>
  <c r="AE95" i="3"/>
  <c r="AB95" i="3"/>
  <c r="Z95" i="3"/>
  <c r="V94" i="3"/>
  <c r="W94" i="3"/>
  <c r="X94" i="3"/>
  <c r="Y94" i="3"/>
  <c r="AA94" i="3"/>
  <c r="AF94" i="3"/>
  <c r="AE94" i="3"/>
  <c r="AB94" i="3"/>
  <c r="Z94" i="3"/>
  <c r="V135" i="17"/>
  <c r="W135" i="17"/>
  <c r="X135" i="17"/>
  <c r="Y135" i="17"/>
  <c r="Z135" i="17"/>
  <c r="V96" i="17"/>
  <c r="W96" i="17"/>
  <c r="X96" i="17"/>
  <c r="Y96" i="17"/>
  <c r="Z96" i="17"/>
  <c r="V97" i="17"/>
  <c r="W97" i="17"/>
  <c r="X97" i="17"/>
  <c r="Y97" i="17"/>
  <c r="Z97" i="17"/>
  <c r="V98" i="17"/>
  <c r="W98" i="17"/>
  <c r="X98" i="17"/>
  <c r="Y98" i="17"/>
  <c r="Z98" i="17"/>
  <c r="V99" i="17"/>
  <c r="W99" i="17"/>
  <c r="X99" i="17"/>
  <c r="Y99" i="17"/>
  <c r="Z99" i="17"/>
  <c r="V100" i="17"/>
  <c r="W100" i="17"/>
  <c r="X100" i="17"/>
  <c r="Y100" i="17"/>
  <c r="Z100" i="17"/>
  <c r="V101" i="17"/>
  <c r="W101" i="17"/>
  <c r="X101" i="17"/>
  <c r="Y101" i="17"/>
  <c r="Z101" i="17"/>
  <c r="V102" i="17"/>
  <c r="W102" i="17"/>
  <c r="X102" i="17"/>
  <c r="Y102" i="17"/>
  <c r="Z102" i="17"/>
  <c r="V103" i="17"/>
  <c r="W103" i="17"/>
  <c r="X103" i="17"/>
  <c r="Y103" i="17"/>
  <c r="Z103" i="17"/>
  <c r="V104" i="17"/>
  <c r="W104" i="17"/>
  <c r="X104" i="17"/>
  <c r="Y104" i="17"/>
  <c r="Z104" i="17"/>
  <c r="V105" i="17"/>
  <c r="W105" i="17"/>
  <c r="X105" i="17"/>
  <c r="Y105" i="17"/>
  <c r="Z105" i="17"/>
  <c r="V106" i="17"/>
  <c r="W106" i="17"/>
  <c r="X106" i="17"/>
  <c r="Y106" i="17"/>
  <c r="Z106" i="17"/>
  <c r="V107" i="17"/>
  <c r="W107" i="17"/>
  <c r="X107" i="17"/>
  <c r="Y107" i="17"/>
  <c r="Z107" i="17"/>
  <c r="V108" i="17"/>
  <c r="W108" i="17"/>
  <c r="X108" i="17"/>
  <c r="Y108" i="17"/>
  <c r="Z108" i="17"/>
  <c r="V109" i="17"/>
  <c r="W109" i="17"/>
  <c r="X109" i="17"/>
  <c r="Y109" i="17"/>
  <c r="Z109" i="17"/>
  <c r="V110" i="17"/>
  <c r="W110" i="17"/>
  <c r="X110" i="17"/>
  <c r="Y110" i="17"/>
  <c r="Z110" i="17"/>
  <c r="V111" i="17"/>
  <c r="W111" i="17"/>
  <c r="X111" i="17"/>
  <c r="Y111" i="17"/>
  <c r="Z111" i="17"/>
  <c r="V112" i="17"/>
  <c r="W112" i="17"/>
  <c r="X112" i="17"/>
  <c r="Y112" i="17"/>
  <c r="Z112" i="17"/>
  <c r="V113" i="17"/>
  <c r="W113" i="17"/>
  <c r="X113" i="17"/>
  <c r="Y113" i="17"/>
  <c r="Z113" i="17"/>
  <c r="V114" i="17"/>
  <c r="W114" i="17"/>
  <c r="X114" i="17"/>
  <c r="Y114" i="17"/>
  <c r="Z114" i="17"/>
  <c r="V115" i="17"/>
  <c r="W115" i="17"/>
  <c r="X115" i="17"/>
  <c r="Y115" i="17"/>
  <c r="Z115" i="17"/>
  <c r="V116" i="17"/>
  <c r="W116" i="17"/>
  <c r="X116" i="17"/>
  <c r="Y116" i="17"/>
  <c r="Z116" i="17"/>
  <c r="V117" i="17"/>
  <c r="W117" i="17"/>
  <c r="X117" i="17"/>
  <c r="Y117" i="17"/>
  <c r="Z117" i="17"/>
  <c r="V118" i="17"/>
  <c r="W118" i="17"/>
  <c r="X118" i="17"/>
  <c r="Y118" i="17"/>
  <c r="Z118" i="17"/>
  <c r="V119" i="17"/>
  <c r="W119" i="17"/>
  <c r="X119" i="17"/>
  <c r="Y119" i="17"/>
  <c r="Z119" i="17"/>
  <c r="V120" i="17"/>
  <c r="W120" i="17"/>
  <c r="X120" i="17"/>
  <c r="Y120" i="17"/>
  <c r="Z120" i="17"/>
  <c r="V121" i="17"/>
  <c r="W121" i="17"/>
  <c r="X121" i="17"/>
  <c r="Y121" i="17"/>
  <c r="Z121" i="17"/>
  <c r="V122" i="17"/>
  <c r="W122" i="17"/>
  <c r="X122" i="17"/>
  <c r="Y122" i="17"/>
  <c r="Z122" i="17"/>
  <c r="V123" i="17"/>
  <c r="W123" i="17"/>
  <c r="X123" i="17"/>
  <c r="Y123" i="17"/>
  <c r="Z123" i="17"/>
  <c r="V124" i="17"/>
  <c r="W124" i="17"/>
  <c r="X124" i="17"/>
  <c r="Y124" i="17"/>
  <c r="Z124" i="17"/>
  <c r="V125" i="17"/>
  <c r="W125" i="17"/>
  <c r="X125" i="17"/>
  <c r="Y125" i="17"/>
  <c r="Z125" i="17"/>
  <c r="V126" i="17"/>
  <c r="W126" i="17"/>
  <c r="X126" i="17"/>
  <c r="Y126" i="17"/>
  <c r="Z126" i="17"/>
  <c r="V127" i="17"/>
  <c r="W127" i="17"/>
  <c r="X127" i="17"/>
  <c r="Y127" i="17"/>
  <c r="Z127" i="17"/>
  <c r="V128" i="17"/>
  <c r="W128" i="17"/>
  <c r="X128" i="17"/>
  <c r="Y128" i="17"/>
  <c r="Z128" i="17"/>
  <c r="V129" i="17"/>
  <c r="W129" i="17"/>
  <c r="X129" i="17"/>
  <c r="Y129" i="17"/>
  <c r="Z129" i="17"/>
  <c r="V130" i="17"/>
  <c r="W130" i="17"/>
  <c r="X130" i="17"/>
  <c r="Y130" i="17"/>
  <c r="Z130" i="17"/>
  <c r="V131" i="17"/>
  <c r="W131" i="17"/>
  <c r="X131" i="17"/>
  <c r="Y131" i="17"/>
  <c r="Z131" i="17"/>
  <c r="V132" i="17"/>
  <c r="W132" i="17"/>
  <c r="X132" i="17"/>
  <c r="Y132" i="17"/>
  <c r="Z132" i="17"/>
  <c r="V133" i="17"/>
  <c r="W133" i="17"/>
  <c r="X133" i="17"/>
  <c r="Y133" i="17"/>
  <c r="Z133" i="17"/>
  <c r="V134" i="17"/>
  <c r="W134" i="17"/>
  <c r="X134" i="17"/>
  <c r="Y134" i="17"/>
  <c r="Z134" i="17"/>
  <c r="AB135" i="17"/>
  <c r="AB96" i="17"/>
  <c r="AB97" i="17"/>
  <c r="AB98" i="17"/>
  <c r="AB99" i="17"/>
  <c r="AB100" i="17"/>
  <c r="AB101" i="17"/>
  <c r="AB102" i="17"/>
  <c r="AB103" i="17"/>
  <c r="AB104" i="17"/>
  <c r="AB105" i="17"/>
  <c r="AB106" i="17"/>
  <c r="AB107" i="17"/>
  <c r="AB108"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V95" i="17"/>
  <c r="W95" i="17"/>
  <c r="X95" i="17"/>
  <c r="Y95" i="17"/>
  <c r="Z95" i="17"/>
  <c r="AA95" i="17"/>
  <c r="AB95" i="17"/>
  <c r="AB94" i="17"/>
  <c r="Z94" i="17"/>
  <c r="Y94" i="17"/>
  <c r="X94" i="17"/>
  <c r="W94" i="17"/>
  <c r="V94" i="17"/>
  <c r="AA135" i="17"/>
  <c r="AA207" i="17"/>
  <c r="AB207" i="17"/>
  <c r="Z207" i="17"/>
  <c r="AA134" i="17"/>
  <c r="AA206" i="17"/>
  <c r="AB206" i="17"/>
  <c r="Z206" i="17"/>
  <c r="AA133" i="17"/>
  <c r="AA205" i="17"/>
  <c r="AB205" i="17"/>
  <c r="Z205" i="17"/>
  <c r="AA132" i="17"/>
  <c r="AA204" i="17"/>
  <c r="AB204" i="17"/>
  <c r="Z204" i="17"/>
  <c r="AA131" i="17"/>
  <c r="AA203" i="17"/>
  <c r="AB203" i="17"/>
  <c r="Z203" i="17"/>
  <c r="AA130" i="17"/>
  <c r="AA202" i="17"/>
  <c r="AB202" i="17"/>
  <c r="Z202" i="17"/>
  <c r="AA129" i="17"/>
  <c r="AA201" i="17"/>
  <c r="AB201" i="17"/>
  <c r="Z201" i="17"/>
  <c r="AA128" i="17"/>
  <c r="AA200" i="17"/>
  <c r="AB200" i="17"/>
  <c r="Z200" i="17"/>
  <c r="AA127" i="17"/>
  <c r="AA199" i="17"/>
  <c r="AB199" i="17"/>
  <c r="Z199" i="17"/>
  <c r="AA126" i="17"/>
  <c r="AA198" i="17"/>
  <c r="AB198" i="17"/>
  <c r="Z198" i="17"/>
  <c r="AA125" i="17"/>
  <c r="AA197" i="17"/>
  <c r="AB197" i="17"/>
  <c r="Z197" i="17"/>
  <c r="AA124" i="17"/>
  <c r="AA196" i="17"/>
  <c r="AB196" i="17"/>
  <c r="Z196" i="17"/>
  <c r="AA123" i="17"/>
  <c r="AA195" i="17"/>
  <c r="AB195" i="17"/>
  <c r="Z195" i="17"/>
  <c r="AA122" i="17"/>
  <c r="AA194" i="17"/>
  <c r="AB194" i="17"/>
  <c r="Z194" i="17"/>
  <c r="AA121" i="17"/>
  <c r="AA193" i="17"/>
  <c r="AB193" i="17"/>
  <c r="Z193" i="17"/>
  <c r="AA120" i="17"/>
  <c r="AA192" i="17"/>
  <c r="AB192" i="17"/>
  <c r="Z192" i="17"/>
  <c r="AA119" i="17"/>
  <c r="AA191" i="17"/>
  <c r="AB191" i="17"/>
  <c r="Z191" i="17"/>
  <c r="AA118" i="17"/>
  <c r="AA190" i="17"/>
  <c r="AB190" i="17"/>
  <c r="Z190" i="17"/>
  <c r="AA117" i="17"/>
  <c r="AA189" i="17"/>
  <c r="AB189" i="17"/>
  <c r="Z189" i="17"/>
  <c r="AA116" i="17"/>
  <c r="AA188" i="17"/>
  <c r="AB188" i="17"/>
  <c r="Z188" i="17"/>
  <c r="AA115" i="17"/>
  <c r="AA187" i="17"/>
  <c r="AB187" i="17"/>
  <c r="Z187" i="17"/>
  <c r="AA114" i="17"/>
  <c r="AA186" i="17"/>
  <c r="AB186" i="17"/>
  <c r="Z186" i="17"/>
  <c r="AA113" i="17"/>
  <c r="AA185" i="17"/>
  <c r="AB185" i="17"/>
  <c r="Z185" i="17"/>
  <c r="AA112" i="17"/>
  <c r="AA184" i="17"/>
  <c r="AB184" i="17"/>
  <c r="Z184" i="17"/>
  <c r="AA111" i="17"/>
  <c r="AA183" i="17"/>
  <c r="AB183" i="17"/>
  <c r="Z183" i="17"/>
  <c r="AA110" i="17"/>
  <c r="AA182" i="17"/>
  <c r="AB182" i="17"/>
  <c r="Z182" i="17"/>
  <c r="AA109" i="17"/>
  <c r="AA181" i="17"/>
  <c r="AB181" i="17"/>
  <c r="Z181" i="17"/>
  <c r="AA108" i="17"/>
  <c r="AA180" i="17"/>
  <c r="AB180" i="17"/>
  <c r="Z180" i="17"/>
  <c r="AA107" i="17"/>
  <c r="AA179" i="17"/>
  <c r="AB179" i="17"/>
  <c r="Z179" i="17"/>
  <c r="AA106" i="17"/>
  <c r="AA178" i="17"/>
  <c r="AB178" i="17"/>
  <c r="Z178" i="17"/>
  <c r="AA105" i="17"/>
  <c r="AA177" i="17"/>
  <c r="AB177" i="17"/>
  <c r="Z177" i="17"/>
  <c r="AA104" i="17"/>
  <c r="AA176" i="17"/>
  <c r="AB176" i="17"/>
  <c r="Z176" i="17"/>
  <c r="AA103" i="17"/>
  <c r="AA175" i="17"/>
  <c r="AB175" i="17"/>
  <c r="Z175" i="17"/>
  <c r="AA102" i="17"/>
  <c r="AA174" i="17"/>
  <c r="AB174" i="17"/>
  <c r="Z174" i="17"/>
  <c r="AA101" i="17"/>
  <c r="AA173" i="17"/>
  <c r="AB173" i="17"/>
  <c r="Z173" i="17"/>
  <c r="AA100" i="17"/>
  <c r="AA172" i="17"/>
  <c r="AB172" i="17"/>
  <c r="Z172" i="17"/>
  <c r="AA99" i="17"/>
  <c r="AA171" i="17"/>
  <c r="AB171" i="17"/>
  <c r="Z171" i="17"/>
  <c r="AA98" i="17"/>
  <c r="AA170" i="17"/>
  <c r="AB170" i="17"/>
  <c r="Z170" i="17"/>
  <c r="AA97" i="17"/>
  <c r="AA169" i="17"/>
  <c r="AB169" i="17"/>
  <c r="Z169" i="17"/>
  <c r="AA96" i="17"/>
  <c r="AA168" i="17"/>
  <c r="AB168" i="17"/>
  <c r="Z168" i="17"/>
  <c r="AA167" i="17"/>
  <c r="AB167" i="17"/>
  <c r="Z167" i="17"/>
  <c r="AA94" i="17"/>
  <c r="AA166" i="17"/>
  <c r="AB166" i="17"/>
  <c r="Z166" i="17"/>
  <c r="AF135" i="17"/>
  <c r="AE135" i="17"/>
  <c r="AF134" i="17"/>
  <c r="AE134" i="17"/>
  <c r="AF133" i="17"/>
  <c r="AE133" i="17"/>
  <c r="AF132" i="17"/>
  <c r="AE132" i="17"/>
  <c r="AF131" i="17"/>
  <c r="AE131" i="17"/>
  <c r="AF130" i="17"/>
  <c r="AE130" i="17"/>
  <c r="AF129" i="17"/>
  <c r="AE129" i="17"/>
  <c r="AF128" i="17"/>
  <c r="AE128" i="17"/>
  <c r="AF127" i="17"/>
  <c r="AE127" i="17"/>
  <c r="AF126" i="17"/>
  <c r="AE126" i="17"/>
  <c r="AF125" i="17"/>
  <c r="AE125" i="17"/>
  <c r="AF124" i="17"/>
  <c r="AE124" i="17"/>
  <c r="AF123" i="17"/>
  <c r="AE123" i="17"/>
  <c r="AF122" i="17"/>
  <c r="AE122" i="17"/>
  <c r="AF121" i="17"/>
  <c r="AE121" i="17"/>
  <c r="AF120" i="17"/>
  <c r="AE120" i="17"/>
  <c r="AF119" i="17"/>
  <c r="AE119" i="17"/>
  <c r="AF118" i="17"/>
  <c r="AE118" i="17"/>
  <c r="AF117" i="17"/>
  <c r="AE117" i="17"/>
  <c r="AF116" i="17"/>
  <c r="AE116" i="17"/>
  <c r="AF115" i="17"/>
  <c r="AE115" i="17"/>
  <c r="AF114" i="17"/>
  <c r="AE114" i="17"/>
  <c r="AF113" i="17"/>
  <c r="AE113" i="17"/>
  <c r="AF112" i="17"/>
  <c r="AE112" i="17"/>
  <c r="AF111" i="17"/>
  <c r="AE111" i="17"/>
  <c r="AF110" i="17"/>
  <c r="AE110" i="17"/>
  <c r="AF109" i="17"/>
  <c r="AE109" i="17"/>
  <c r="AF108" i="17"/>
  <c r="AE108" i="17"/>
  <c r="AF107" i="17"/>
  <c r="AE107" i="17"/>
  <c r="AF106" i="17"/>
  <c r="AE106" i="17"/>
  <c r="AF105" i="17"/>
  <c r="AE105" i="17"/>
  <c r="AF104" i="17"/>
  <c r="AE104" i="17"/>
  <c r="AF103" i="17"/>
  <c r="AE103" i="17"/>
  <c r="AF102" i="17"/>
  <c r="AE102" i="17"/>
  <c r="AF101" i="17"/>
  <c r="AE101" i="17"/>
  <c r="AF100" i="17"/>
  <c r="AE100" i="17"/>
  <c r="AF99" i="17"/>
  <c r="AE99" i="17"/>
  <c r="AF98" i="17"/>
  <c r="AE98" i="17"/>
  <c r="AF97" i="17"/>
  <c r="AE97" i="17"/>
  <c r="AF96" i="17"/>
  <c r="AE96" i="17"/>
  <c r="AF95" i="17"/>
  <c r="AE95" i="17"/>
  <c r="AF94" i="17"/>
  <c r="AE94" i="17"/>
  <c r="Q72" i="17"/>
  <c r="Q71" i="17"/>
  <c r="Q70" i="17"/>
  <c r="F12" i="17"/>
  <c r="BR60" i="17"/>
  <c r="F11" i="17"/>
  <c r="BZ51" i="17"/>
  <c r="F10" i="17"/>
  <c r="BY51" i="17"/>
  <c r="C25" i="17"/>
  <c r="BR59" i="17"/>
  <c r="CA51" i="17"/>
  <c r="C24" i="17"/>
  <c r="BR58" i="17"/>
  <c r="C23" i="17"/>
  <c r="BR37" i="17"/>
  <c r="CA29" i="17"/>
  <c r="BR38" i="17"/>
  <c r="BZ29" i="17"/>
  <c r="BR36" i="17"/>
  <c r="BY29" i="17"/>
  <c r="BR49" i="17"/>
  <c r="BR48" i="17"/>
  <c r="BR47" i="17"/>
  <c r="CA40" i="17"/>
  <c r="BZ40" i="17"/>
  <c r="BY40" i="17"/>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D17" i="17"/>
  <c r="Q72" i="3"/>
  <c r="Q71" i="3"/>
  <c r="Q70" i="3"/>
  <c r="F10" i="3"/>
  <c r="F11" i="3"/>
  <c r="F12" i="3"/>
  <c r="E77" i="9"/>
  <c r="B17" i="14"/>
  <c r="AA207" i="3"/>
  <c r="AB207" i="3"/>
  <c r="AA166" i="3"/>
  <c r="AB166" i="3"/>
  <c r="AA167" i="3"/>
  <c r="AB167" i="3"/>
  <c r="AA168" i="3"/>
  <c r="AB168" i="3"/>
  <c r="AA169" i="3"/>
  <c r="AB169" i="3"/>
  <c r="AA170" i="3"/>
  <c r="AB170" i="3"/>
  <c r="AA171" i="3"/>
  <c r="AB171" i="3"/>
  <c r="AA172" i="3"/>
  <c r="AB172" i="3"/>
  <c r="AA173" i="3"/>
  <c r="AB173" i="3"/>
  <c r="AA174" i="3"/>
  <c r="AB174" i="3"/>
  <c r="AA175" i="3"/>
  <c r="AB175" i="3"/>
  <c r="AA176" i="3"/>
  <c r="AB176" i="3"/>
  <c r="AA177" i="3"/>
  <c r="AB177" i="3"/>
  <c r="AA178" i="3"/>
  <c r="AB178" i="3"/>
  <c r="AA179" i="3"/>
  <c r="AB179" i="3"/>
  <c r="AA180" i="3"/>
  <c r="AB180" i="3"/>
  <c r="AA181" i="3"/>
  <c r="AB181" i="3"/>
  <c r="AA182" i="3"/>
  <c r="AB182" i="3"/>
  <c r="AA183" i="3"/>
  <c r="AB183" i="3"/>
  <c r="AA184" i="3"/>
  <c r="AB184" i="3"/>
  <c r="AA185" i="3"/>
  <c r="AB185" i="3"/>
  <c r="AA186" i="3"/>
  <c r="AB186" i="3"/>
  <c r="AA187" i="3"/>
  <c r="AB187" i="3"/>
  <c r="AA188" i="3"/>
  <c r="AB188" i="3"/>
  <c r="AA189" i="3"/>
  <c r="AB189" i="3"/>
  <c r="AA190" i="3"/>
  <c r="AB190" i="3"/>
  <c r="AA191" i="3"/>
  <c r="AB191" i="3"/>
  <c r="AA192" i="3"/>
  <c r="AB192" i="3"/>
  <c r="AA193" i="3"/>
  <c r="AB193" i="3"/>
  <c r="AA194" i="3"/>
  <c r="AB194" i="3"/>
  <c r="AA195" i="3"/>
  <c r="AB195" i="3"/>
  <c r="AA196" i="3"/>
  <c r="AB196" i="3"/>
  <c r="AA197" i="3"/>
  <c r="AB197" i="3"/>
  <c r="AA198" i="3"/>
  <c r="AB198" i="3"/>
  <c r="AA199" i="3"/>
  <c r="AB199" i="3"/>
  <c r="AA200" i="3"/>
  <c r="AB200" i="3"/>
  <c r="AA201" i="3"/>
  <c r="AB201" i="3"/>
  <c r="AA202" i="3"/>
  <c r="AB202" i="3"/>
  <c r="AA203" i="3"/>
  <c r="AB203" i="3"/>
  <c r="AA204" i="3"/>
  <c r="AB204" i="3"/>
  <c r="AA205" i="3"/>
  <c r="AB205" i="3"/>
  <c r="AA206" i="3"/>
  <c r="AB206" i="3"/>
  <c r="Z207"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E13" i="9"/>
  <c r="E65" i="9"/>
  <c r="E66" i="9"/>
  <c r="E12" i="9"/>
  <c r="E11" i="9"/>
  <c r="E8" i="9"/>
  <c r="E38" i="9"/>
  <c r="E68" i="9"/>
  <c r="E64" i="9"/>
  <c r="E70" i="9"/>
  <c r="BY51" i="3"/>
  <c r="BZ51" i="3"/>
  <c r="CA51" i="3"/>
  <c r="BR58" i="3"/>
  <c r="BR59" i="3"/>
  <c r="BR60" i="3"/>
  <c r="BY29" i="3"/>
  <c r="BR36" i="3"/>
  <c r="BZ29" i="3"/>
  <c r="BR37" i="3"/>
  <c r="CA29" i="3"/>
  <c r="BR38" i="3"/>
  <c r="E73" i="9"/>
  <c r="B15" i="14"/>
  <c r="B14" i="14"/>
  <c r="E72" i="9"/>
  <c r="B12" i="14"/>
  <c r="E75" i="9"/>
  <c r="B11" i="14"/>
  <c r="E74" i="9"/>
  <c r="B7" i="14"/>
  <c r="E94" i="9"/>
  <c r="C23" i="3"/>
  <c r="C24" i="3"/>
  <c r="BY40" i="3"/>
  <c r="BR47" i="3"/>
  <c r="BZ40" i="3"/>
  <c r="BR48" i="3"/>
  <c r="E52" i="9"/>
  <c r="B4" i="14"/>
  <c r="E51" i="9"/>
  <c r="B1" i="14"/>
  <c r="E50" i="9"/>
  <c r="A1" i="13"/>
  <c r="C25" i="3"/>
  <c r="CA40" i="3"/>
  <c r="BR49" i="3"/>
  <c r="D11" i="6"/>
  <c r="C11" i="6"/>
  <c r="E47" i="9"/>
  <c r="B4" i="10"/>
  <c r="G34" i="10"/>
  <c r="G16" i="10"/>
  <c r="G25" i="10"/>
  <c r="G7" i="10"/>
  <c r="B2" i="10"/>
  <c r="F34" i="10"/>
  <c r="E34" i="10"/>
  <c r="D34" i="10"/>
  <c r="C34" i="10"/>
  <c r="F25" i="10"/>
  <c r="E25" i="10"/>
  <c r="D25" i="10"/>
  <c r="C25" i="10"/>
  <c r="F16" i="10"/>
  <c r="E16" i="10"/>
  <c r="D16" i="10"/>
  <c r="C16" i="10"/>
  <c r="D7" i="10"/>
  <c r="E7" i="10"/>
  <c r="F7" i="10"/>
  <c r="C7" i="10"/>
  <c r="E67" i="9"/>
  <c r="L1" i="9"/>
  <c r="E35" i="9"/>
  <c r="E36" i="9"/>
  <c r="E37" i="9"/>
  <c r="F62" i="9"/>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Z23" i="3"/>
  <c r="Z25" i="3"/>
  <c r="Z24" i="3"/>
  <c r="M33" i="10"/>
  <c r="L33" i="10"/>
  <c r="K33" i="10"/>
  <c r="J33" i="10"/>
  <c r="I33" i="10"/>
  <c r="H33" i="10"/>
  <c r="M24" i="10"/>
  <c r="L24" i="10"/>
  <c r="K24" i="10"/>
  <c r="J24" i="10"/>
  <c r="I24" i="10"/>
  <c r="H24" i="10"/>
  <c r="M15" i="10"/>
  <c r="L15" i="10"/>
  <c r="K15" i="10"/>
  <c r="J15" i="10"/>
  <c r="I15" i="10"/>
  <c r="H15" i="10"/>
  <c r="M6" i="10"/>
  <c r="L6" i="10"/>
  <c r="K6" i="10"/>
  <c r="J6" i="10"/>
  <c r="I6" i="10"/>
  <c r="AD13" i="6"/>
  <c r="AD14" i="6"/>
  <c r="AD15" i="6"/>
  <c r="AD16" i="6"/>
  <c r="AD17" i="6"/>
  <c r="AD12" i="6"/>
  <c r="Y10" i="6"/>
  <c r="Z10" i="6"/>
  <c r="AA10" i="6"/>
  <c r="AB10" i="6"/>
  <c r="AC10" i="6"/>
  <c r="X10" i="6"/>
  <c r="W17" i="6"/>
  <c r="V17" i="6"/>
  <c r="U17" i="6"/>
  <c r="S17" i="6"/>
  <c r="R17" i="6"/>
  <c r="Q17" i="6"/>
  <c r="P17" i="6"/>
  <c r="O17"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F9" i="10"/>
  <c r="F10" i="10"/>
  <c r="F11" i="10"/>
  <c r="F12" i="10"/>
  <c r="F13" i="10"/>
  <c r="F8" i="10"/>
  <c r="E9" i="10"/>
  <c r="E10" i="10"/>
  <c r="E11" i="10"/>
  <c r="E12" i="10"/>
  <c r="E13" i="10"/>
  <c r="E8" i="10"/>
  <c r="D9" i="10"/>
  <c r="D10" i="10"/>
  <c r="D11" i="10"/>
  <c r="D12" i="10"/>
  <c r="D13" i="10"/>
  <c r="D8" i="10"/>
  <c r="B8" i="10"/>
  <c r="B13" i="10"/>
  <c r="B12" i="10"/>
  <c r="B11" i="10"/>
  <c r="B10" i="10"/>
  <c r="B9" i="10"/>
  <c r="F22" i="10"/>
  <c r="E22" i="10"/>
  <c r="D22" i="10"/>
  <c r="F21" i="10"/>
  <c r="E21" i="10"/>
  <c r="D21" i="10"/>
  <c r="F20" i="10"/>
  <c r="E20" i="10"/>
  <c r="D20" i="10"/>
  <c r="F19" i="10"/>
  <c r="E19" i="10"/>
  <c r="D19" i="10"/>
  <c r="F18" i="10"/>
  <c r="E18" i="10"/>
  <c r="D18" i="10"/>
  <c r="F17" i="10"/>
  <c r="E17" i="10"/>
  <c r="D17" i="10"/>
  <c r="F40" i="10"/>
  <c r="E40" i="10"/>
  <c r="D40" i="10"/>
  <c r="F39" i="10"/>
  <c r="E39" i="10"/>
  <c r="D39" i="10"/>
  <c r="F38" i="10"/>
  <c r="E38" i="10"/>
  <c r="D38" i="10"/>
  <c r="F37" i="10"/>
  <c r="E37" i="10"/>
  <c r="D37" i="10"/>
  <c r="F36" i="10"/>
  <c r="E36" i="10"/>
  <c r="D36" i="10"/>
  <c r="F35" i="10"/>
  <c r="E35" i="10"/>
  <c r="D35" i="10"/>
  <c r="D26" i="10"/>
  <c r="F31" i="10"/>
  <c r="E31" i="10"/>
  <c r="D31" i="10"/>
  <c r="F30" i="10"/>
  <c r="E30" i="10"/>
  <c r="D30" i="10"/>
  <c r="F29" i="10"/>
  <c r="E29" i="10"/>
  <c r="D29" i="10"/>
  <c r="F28" i="10"/>
  <c r="E28" i="10"/>
  <c r="D28" i="10"/>
  <c r="F27" i="10"/>
  <c r="E27" i="10"/>
  <c r="D27" i="10"/>
  <c r="F26" i="10"/>
  <c r="E26" i="10"/>
  <c r="B17" i="10"/>
  <c r="B22" i="10"/>
  <c r="B21" i="10"/>
  <c r="B20" i="10"/>
  <c r="B19" i="10"/>
  <c r="B18" i="10"/>
  <c r="B26" i="10"/>
  <c r="B31" i="10"/>
  <c r="B30" i="10"/>
  <c r="B29" i="10"/>
  <c r="B28" i="10"/>
  <c r="B27" i="10"/>
  <c r="B35" i="10"/>
  <c r="B40" i="10"/>
  <c r="B39" i="10"/>
  <c r="B38" i="10"/>
  <c r="B37" i="10"/>
  <c r="B36" i="10"/>
  <c r="N8" i="10"/>
  <c r="N13" i="10"/>
  <c r="N12" i="10"/>
  <c r="N11" i="10"/>
  <c r="N10" i="10"/>
  <c r="N9" i="10"/>
  <c r="N17" i="10"/>
  <c r="N18" i="10"/>
  <c r="N19" i="10"/>
  <c r="N20" i="10"/>
  <c r="N21" i="10"/>
  <c r="N22" i="10"/>
  <c r="N26" i="10"/>
  <c r="N27" i="10"/>
  <c r="N28" i="10"/>
  <c r="N29" i="10"/>
  <c r="N30" i="10"/>
  <c r="N31" i="10"/>
  <c r="N35" i="10"/>
  <c r="N36" i="10"/>
  <c r="N37" i="10"/>
  <c r="N38" i="10"/>
  <c r="N39" i="10"/>
  <c r="N40" i="10"/>
  <c r="D17" i="3"/>
  <c r="H6" i="10"/>
  <c r="Z23" i="17"/>
  <c r="Z24" i="17"/>
  <c r="Z25" i="17"/>
  <c r="C40" i="6"/>
  <c r="C39" i="6"/>
  <c r="C38" i="6"/>
  <c r="C37" i="6"/>
  <c r="C36" i="6"/>
  <c r="C35" i="6"/>
  <c r="C34" i="6"/>
  <c r="C32" i="6"/>
  <c r="D40" i="6"/>
  <c r="D39" i="6"/>
  <c r="D38" i="6"/>
  <c r="D37" i="6"/>
  <c r="D36" i="6"/>
  <c r="D35" i="6"/>
  <c r="D34" i="6"/>
  <c r="D33" i="6"/>
  <c r="D32" i="6"/>
  <c r="C33" i="6"/>
  <c r="B40" i="6"/>
  <c r="B39" i="6"/>
  <c r="B38" i="6"/>
  <c r="B37" i="6"/>
  <c r="B36" i="6"/>
  <c r="B35" i="6"/>
  <c r="B34" i="6"/>
  <c r="B33" i="6"/>
  <c r="B32" i="6"/>
  <c r="C41" i="6"/>
  <c r="D41" i="6"/>
  <c r="B41" i="6"/>
  <c r="C12" i="24" a="1"/>
  <c r="C12" i="24"/>
  <c r="C12" i="21" a="1"/>
  <c r="C12" i="21"/>
  <c r="C13" i="21" a="1"/>
  <c r="C13" i="21"/>
  <c r="E13" i="21"/>
  <c r="C16" i="21" a="1"/>
  <c r="C16" i="21"/>
  <c r="C15" i="21" a="1"/>
  <c r="C15" i="21"/>
  <c r="C14" i="21" a="1"/>
  <c r="C14" i="21"/>
  <c r="E16" i="21"/>
  <c r="E15" i="21"/>
  <c r="E14" i="21"/>
  <c r="C17" i="21" a="1"/>
  <c r="C17" i="21"/>
  <c r="E17" i="21"/>
  <c r="C13" i="24" a="1"/>
  <c r="C13" i="24"/>
  <c r="E13" i="24"/>
  <c r="C14" i="24" a="1"/>
  <c r="C14" i="24"/>
  <c r="E14" i="24"/>
  <c r="C15" i="24" a="1"/>
  <c r="C15" i="24"/>
  <c r="E15" i="24"/>
  <c r="E8" i="22" a="1"/>
  <c r="E8" i="22"/>
  <c r="F8" i="22"/>
  <c r="C5" i="25"/>
  <c r="E9" i="22" a="1"/>
  <c r="E9" i="22"/>
  <c r="F9" i="22"/>
  <c r="C6" i="25"/>
  <c r="E10" i="22" a="1"/>
  <c r="E10" i="22"/>
  <c r="F10" i="22"/>
  <c r="C7" i="25"/>
  <c r="E11" i="22" a="1"/>
  <c r="E11" i="22"/>
  <c r="F11" i="22"/>
  <c r="C8" i="25"/>
  <c r="E12" i="22" a="1"/>
  <c r="E12" i="22"/>
  <c r="F12" i="22"/>
  <c r="C9" i="25"/>
  <c r="E14" i="22" a="1"/>
  <c r="E14" i="22"/>
  <c r="F14" i="22"/>
  <c r="C11" i="25"/>
  <c r="E15" i="22" a="1"/>
  <c r="E15" i="22"/>
  <c r="F15" i="22"/>
  <c r="C12" i="25"/>
  <c r="E16" i="22" a="1"/>
  <c r="E16" i="22"/>
  <c r="F16" i="22"/>
  <c r="C13" i="25"/>
  <c r="C35" i="25"/>
  <c r="C36" i="25"/>
  <c r="C37" i="25"/>
  <c r="C38" i="25"/>
  <c r="C39" i="25"/>
  <c r="C41" i="25"/>
  <c r="C42" i="25"/>
  <c r="C43" i="25"/>
  <c r="C20" i="6"/>
  <c r="C19" i="6"/>
  <c r="C18" i="6"/>
  <c r="C14" i="6"/>
  <c r="C15" i="6"/>
  <c r="C16" i="6"/>
  <c r="C17" i="6"/>
  <c r="G11" i="22"/>
  <c r="D17" i="6"/>
  <c r="G10" i="22"/>
  <c r="D16" i="6"/>
  <c r="G9" i="22"/>
  <c r="D15" i="6"/>
  <c r="G8" i="22"/>
  <c r="D14" i="6"/>
  <c r="G14" i="22"/>
  <c r="D20" i="6"/>
  <c r="G13" i="22"/>
  <c r="D19" i="6"/>
  <c r="G12" i="22"/>
  <c r="D18" i="6"/>
  <c r="B20" i="6"/>
  <c r="B19" i="6"/>
  <c r="B18" i="6"/>
  <c r="B17" i="6"/>
  <c r="B16" i="6"/>
  <c r="B15" i="6"/>
  <c r="B14" i="6"/>
  <c r="C23" i="6"/>
  <c r="C22" i="6"/>
  <c r="C21" i="6"/>
  <c r="G17" i="22"/>
  <c r="D23" i="6"/>
  <c r="G16" i="22"/>
  <c r="D22" i="6"/>
  <c r="G15" i="22"/>
  <c r="D21" i="6"/>
  <c r="B23" i="6"/>
  <c r="B22" i="6"/>
  <c r="B21" i="6"/>
  <c r="E18" i="22" a="1"/>
  <c r="E18" i="22"/>
  <c r="F18" i="22"/>
  <c r="C15" i="25"/>
  <c r="E19" i="22" a="1"/>
  <c r="E19" i="22"/>
  <c r="F19" i="22"/>
  <c r="C16" i="25"/>
  <c r="E20" i="22" a="1"/>
  <c r="E20" i="22"/>
  <c r="F20" i="22"/>
  <c r="C17" i="25"/>
  <c r="E21" i="22" a="1"/>
  <c r="E21" i="22"/>
  <c r="F21" i="22"/>
  <c r="C18" i="25"/>
  <c r="E23" i="22" a="1"/>
  <c r="E23" i="22"/>
  <c r="F23" i="22"/>
  <c r="C20" i="25"/>
  <c r="E24" i="22" a="1"/>
  <c r="E24" i="22"/>
  <c r="F24" i="22"/>
  <c r="C21" i="25"/>
  <c r="E25" i="22" a="1"/>
  <c r="E25" i="22"/>
  <c r="F25" i="22"/>
  <c r="C22" i="25"/>
  <c r="C45" i="25"/>
  <c r="C46" i="25"/>
  <c r="C47" i="25"/>
  <c r="C48" i="25"/>
  <c r="C50" i="25"/>
  <c r="C51" i="25"/>
  <c r="C52" i="25"/>
  <c r="E2" i="25"/>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E7" i="25"/>
  <c r="E5" i="25" a="1"/>
  <c r="E5" i="25"/>
  <c r="E6" i="25"/>
  <c r="E8" i="25" a="1"/>
  <c r="E8" i="25"/>
  <c r="E9" i="25" a="1"/>
  <c r="E9" i="25"/>
  <c r="F8" i="25"/>
  <c r="E3" i="25"/>
  <c r="R24" i="22" a="1"/>
  <c r="R24" i="22"/>
  <c r="F9" i="25"/>
  <c r="E4" i="25"/>
  <c r="S24" i="22" a="1"/>
  <c r="S24" i="22"/>
  <c r="B24" i="6"/>
  <c r="B25" i="6"/>
  <c r="B26" i="6"/>
  <c r="B27" i="6"/>
  <c r="B28" i="6"/>
  <c r="B29" i="6"/>
  <c r="B30" i="6"/>
  <c r="B31" i="6"/>
  <c r="G18" i="22"/>
  <c r="D24" i="6"/>
  <c r="G19" i="22"/>
  <c r="D25" i="6"/>
  <c r="G20" i="22"/>
  <c r="D26" i="6"/>
  <c r="G21" i="22"/>
  <c r="D27" i="6"/>
  <c r="G22" i="22"/>
  <c r="D28" i="6"/>
  <c r="G23" i="22"/>
  <c r="D29" i="6"/>
  <c r="G24" i="22"/>
  <c r="D30" i="6"/>
  <c r="G25" i="22"/>
  <c r="D31" i="6"/>
  <c r="C24" i="6"/>
  <c r="C25" i="6"/>
  <c r="C26" i="6"/>
  <c r="C27" i="6"/>
  <c r="C28" i="6"/>
  <c r="C29" i="6"/>
  <c r="C30" i="6"/>
  <c r="C31" i="6"/>
  <c r="F2" i="25" a="1"/>
  <c r="F2" i="25"/>
  <c r="G2" i="25"/>
  <c r="Q26" i="22"/>
  <c r="Q25" i="22"/>
  <c r="C17" i="24" a="1"/>
  <c r="C17" i="24"/>
  <c r="C18" i="24"/>
  <c r="E18" i="24"/>
  <c r="E17" i="24"/>
  <c r="C20" i="24"/>
  <c r="C21" i="24"/>
  <c r="C12" i="26" a="1"/>
  <c r="C12" i="26"/>
  <c r="C16" i="26"/>
  <c r="C15" i="26"/>
  <c r="C13" i="26"/>
  <c r="Z21" i="28"/>
  <c r="Z22" i="28"/>
  <c r="Z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Z17" i="29"/>
  <c r="Z18" i="29"/>
  <c r="Z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17" i="30"/>
  <c r="Z18" i="30"/>
  <c r="Z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Z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Z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D12" i="26"/>
  <c r="D13" i="26"/>
  <c r="D15" i="26"/>
  <c r="D16" i="26"/>
  <c r="I18" i="26"/>
  <c r="R17" i="22"/>
  <c r="D12" i="24"/>
  <c r="D17" i="24" a="1"/>
  <c r="D17" i="24"/>
  <c r="D18" i="24" a="1"/>
  <c r="D18" i="24"/>
  <c r="D20" i="24"/>
  <c r="D21" i="24"/>
  <c r="I23" i="24"/>
  <c r="R16" i="22"/>
  <c r="D15" i="24" a="1"/>
  <c r="D15" i="24"/>
  <c r="D14" i="24" a="1"/>
  <c r="D14" i="24"/>
  <c r="D13" i="24" a="1"/>
  <c r="D13" i="24"/>
  <c r="D12" i="21"/>
  <c r="D17" i="21" a="1"/>
  <c r="D17" i="21"/>
  <c r="I19" i="21"/>
  <c r="R15" i="22"/>
  <c r="D14" i="21" a="1"/>
  <c r="D14" i="21"/>
  <c r="D15" i="21" a="1"/>
  <c r="D15" i="21"/>
  <c r="D16" i="21" a="1"/>
  <c r="D16" i="21"/>
  <c r="D13" i="21" a="1"/>
  <c r="D13" i="21"/>
  <c r="W30" i="6"/>
  <c r="Q15" i="31"/>
  <c r="Q16" i="31"/>
  <c r="Q17" i="31"/>
  <c r="Q18" i="31"/>
  <c r="Q19" i="31"/>
  <c r="Q20" i="31"/>
  <c r="Q21" i="31"/>
  <c r="Q22" i="31"/>
  <c r="Q23" i="31"/>
  <c r="Q24" i="31"/>
  <c r="Q25" i="31"/>
  <c r="Q26" i="31"/>
  <c r="Q27" i="31"/>
  <c r="Q28" i="31"/>
  <c r="Q29" i="31"/>
  <c r="K31" i="27"/>
  <c r="R18" i="22"/>
</calcChain>
</file>

<file path=xl/sharedStrings.xml><?xml version="1.0" encoding="utf-8"?>
<sst xmlns="http://schemas.openxmlformats.org/spreadsheetml/2006/main" count="1639" uniqueCount="352">
  <si>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</si>
  <si>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</si>
  <si>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</si>
  <si>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</si>
  <si>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</si>
  <si>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</si>
  <si>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</si>
  <si>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</si>
  <si>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</si>
  <si>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</si>
  <si>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</si>
  <si>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</si>
  <si>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</si>
  <si>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</si>
  <si>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</si>
  <si>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</si>
  <si>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</si>
  <si>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</si>
  <si>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</si>
  <si>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</si>
  <si>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</si>
  <si>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</si>
  <si>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</si>
  <si>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</si>
  <si>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</si>
  <si>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</si>
  <si>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</si>
  <si>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</si>
  <si>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</si>
  <si>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</si>
  <si>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</si>
  <si>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</si>
  <si>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</si>
  <si>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</si>
  <si>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</si>
  <si>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</si>
  <si>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</si>
  <si>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</si>
  <si>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</si>
  <si>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</si>
  <si>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</si>
  <si>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</si>
  <si>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</si>
  <si>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</si>
  <si>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</si>
  <si>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</si>
  <si>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</si>
  <si>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</si>
  <si>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</si>
  <si>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</si>
  <si>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</si>
  <si>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</si>
  <si>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</si>
  <si>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</si>
  <si>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</si>
  <si>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</si>
  <si>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</si>
  <si>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</si>
  <si>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</si>
  <si>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</si>
  <si>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</si>
  <si>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</si>
  <si>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</si>
  <si>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</si>
  <si>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</si>
  <si>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</si>
  <si>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</si>
  <si>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</si>
  <si>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</si>
  <si>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</si>
  <si>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</si>
  <si>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</si>
  <si>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</si>
  <si>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</si>
  <si>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</si>
  <si>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</si>
  <si>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</si>
  <si>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</si>
  <si>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</si>
  <si>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</si>
  <si>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</si>
  <si>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</si>
  <si>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</si>
  <si>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</si>
  <si>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</si>
  <si>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</si>
  <si>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</si>
  <si>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</si>
  <si>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</si>
  <si>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</si>
  <si>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</si>
  <si>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</si>
  <si>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</si>
  <si>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</si>
  <si>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</si>
  <si>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</si>
  <si>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</si>
  <si>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</si>
  <si>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</si>
  <si>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</si>
  <si>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</si>
  <si>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</si>
  <si>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</si>
  <si>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</si>
  <si>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</si>
  <si>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</si>
  <si>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</si>
  <si>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</si>
  <si>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</si>
  <si>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</si>
  <si>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</si>
  <si>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</si>
  <si>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</si>
  <si>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</si>
  <si>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</si>
  <si>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</si>
  <si>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</si>
  <si>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</si>
  <si>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</si>
  <si>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</si>
  <si>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</si>
  <si>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</si>
  <si>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</si>
  <si>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</si>
  <si>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</si>
  <si>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</si>
  <si>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</si>
  <si>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</si>
  <si>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</si>
  <si>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</si>
  <si>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</si>
  <si>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</si>
  <si>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</si>
  <si>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</si>
  <si>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</si>
  <si>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</si>
  <si>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</si>
  <si>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</si>
  <si>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</si>
  <si>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</si>
  <si>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</si>
  <si>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</si>
  <si>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</si>
  <si>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</si>
  <si>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</si>
  <si>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</si>
  <si>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</si>
  <si>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</si>
  <si>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</si>
  <si>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</si>
  <si>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</si>
  <si>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</si>
  <si>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</si>
  <si>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</si>
  <si>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</si>
  <si>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</si>
  <si>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</si>
  <si>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</si>
  <si>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</si>
  <si>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</si>
  <si>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</si>
  <si>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</si>
  <si>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</si>
  <si>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</si>
  <si>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</si>
  <si>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</si>
  <si>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</si>
  <si>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</si>
  <si>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</si>
  <si>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</si>
  <si>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</si>
  <si>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</si>
  <si>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</si>
  <si>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</si>
  <si>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</si>
  <si>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</si>
  <si>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</si>
  <si>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</si>
  <si>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</si>
  <si>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</si>
  <si>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</si>
  <si>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</si>
  <si>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</si>
  <si>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</si>
  <si>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</si>
  <si>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</si>
  <si>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</si>
  <si>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</si>
  <si>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</si>
  <si>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</si>
  <si>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</si>
  <si>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</si>
  <si>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</si>
  <si>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</si>
  <si>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</si>
  <si>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</si>
  <si>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</si>
  <si>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</si>
  <si>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</si>
  <si>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</si>
  <si>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</si>
  <si>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</si>
  <si>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</si>
  <si>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</si>
  <si>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</si>
  <si>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</si>
  <si>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</si>
  <si>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</si>
  <si>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</si>
  <si>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</si>
  <si>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</si>
  <si>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</si>
  <si>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</si>
  <si>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</si>
  <si>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</si>
  <si>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</si>
  <si>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</si>
  <si>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</si>
  <si>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</si>
  <si>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</si>
  <si>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</si>
  <si>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</si>
  <si>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</si>
  <si>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TieBr.</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</si>
  <si>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</si>
  <si>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</si>
  <si>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</si>
  <si>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</si>
  <si>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</si>
  <si>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</si>
  <si>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</si>
  <si>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</si>
  <si>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</si>
  <si>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</si>
  <si>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</si>
  <si>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</si>
  <si>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</si>
  <si>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</si>
  <si>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</si>
  <si>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</si>
  <si>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</si>
  <si>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</si>
  <si>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</si>
  <si>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</si>
  <si>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</si>
  <si>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</si>
  <si>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</si>
  <si>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</si>
  <si>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</si>
  <si>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</si>
  <si>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</si>
  <si>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</si>
  <si>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</si>
  <si>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</si>
  <si>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</si>
  <si>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</si>
  <si>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</si>
  <si>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</si>
  <si>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</si>
  <si>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</si>
  <si>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</si>
  <si>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</si>
  <si>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</si>
  <si>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</si>
  <si>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</si>
  <si>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</si>
  <si>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</si>
  <si>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</si>
  <si>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</si>
  <si>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</si>
  <si>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</si>
  <si>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</si>
  <si>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</si>
  <si>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</si>
  <si>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</si>
  <si>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</si>
  <si>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</si>
  <si>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</si>
  <si>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</si>
  <si>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</si>
  <si>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</si>
  <si>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</si>
  <si>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</si>
  <si>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</si>
  <si>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</si>
  <si>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</si>
  <si>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</si>
  <si>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</si>
  <si>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</si>
  <si>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</si>
  <si>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</si>
  <si>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</si>
  <si>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(eff. Anz.)</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</si>
  <si>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</si>
  <si>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</si>
  <si>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</si>
  <si>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</si>
  <si>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</si>
  <si>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</si>
  <si>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</si>
  <si>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</si>
  <si>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</si>
  <si>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</si>
  <si>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</si>
  <si>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</si>
  <si>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</si>
  <si>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</si>
  <si>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</si>
  <si>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</si>
  <si>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</si>
  <si>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</si>
  <si>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</si>
  <si>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</si>
  <si>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</si>
  <si>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</si>
  <si>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</si>
  <si>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</si>
  <si>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</si>
  <si>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GDz</t>
  </si>
  <si>
    <t>3A</t>
  </si>
  <si>
    <t>1B</t>
  </si>
  <si>
    <t>First and second in the group</t>
  </si>
  <si>
    <t>Gruppenerste und -zweite</t>
  </si>
  <si>
    <t>Third and fourth in the group</t>
  </si>
  <si>
    <t>Gruppendritte und -vierte</t>
  </si>
  <si>
    <t>Fifth and sixth in the group</t>
  </si>
  <si>
    <t>Gruppenfünfte und -sechste</t>
  </si>
  <si>
    <t>1A</t>
  </si>
  <si>
    <t>2A</t>
  </si>
  <si>
    <t>2B</t>
  </si>
  <si>
    <t>3B</t>
  </si>
  <si>
    <t>4A</t>
  </si>
  <si>
    <t>4B</t>
  </si>
  <si>
    <t>5A</t>
  </si>
  <si>
    <t>5B</t>
  </si>
  <si>
    <t>6A</t>
  </si>
  <si>
    <t>6B</t>
  </si>
  <si>
    <t>End of tournament (final round 4):</t>
  </si>
  <si>
    <t>Turnierende (Endrunde 4):</t>
  </si>
  <si>
    <t>VFB Essenheim</t>
  </si>
  <si>
    <t>Winner</t>
  </si>
  <si>
    <t>penalty</t>
  </si>
  <si>
    <t>Organizer:  1. FC Riedwald</t>
  </si>
  <si>
    <t>Sports hall Wiesengrund, Wendiger Str. 51, 65432 Riedwald</t>
  </si>
  <si>
    <t>Start:  9:00 Uhr</t>
  </si>
  <si>
    <t>Loser</t>
  </si>
  <si>
    <t>Spiel Nr.</t>
  </si>
  <si>
    <t>Match No.</t>
  </si>
  <si>
    <t>Version  1.8
10.04.2025</t>
  </si>
  <si>
    <t>Kick-off times finals 4</t>
  </si>
  <si>
    <t>Anstoßzeiten Endrunde 4</t>
  </si>
  <si>
    <t>Internationales U10-Turnier am 10.04.2025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</si>
</sst>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80"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b/>
      <sz val="12"/>
      <color rgb="FFFF0000"/>
      <name val="Calibri"/>
      <family val="2"/>
      <scheme val="minor"/>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b/>
      <sz val="18"/>
      <color rgb="FF0070C0"/>
      <name val="Calibri"/>
      <family val="2"/>
    </font>
    <font>
      <sz val="10"/>
      <color rgb="FF0070C0"/>
      <name val="Arial"/>
      <family val="2"/>
    </font>
    <font>
      <sz val="9"/>
      <name val="Calibri"/>
      <family val="2"/>
      <scheme val="minor"/>
    </font>
    <font>
      <sz val="9"/>
      <name val="Arial"/>
      <family val="2"/>
    </font>
    <font>
      <sz val="9"/>
      <color rgb="FF0070C0"/>
      <name val="Calibri"/>
      <family val="2"/>
      <scheme val="minor"/>
    </font>
    <font>
      <sz val="12"/>
      <color theme="2" tint="-0.749992370372631"/>
      <name val="Calibri"/>
      <family val="2"/>
    </font>
    <font>
      <b/>
      <sz val="8"/>
      <name val="Arial"/>
      <family val="2"/>
    </font>
    <font>
      <b/>
      <sz val="9"/>
      <name val="Arial"/>
      <family val="2"/>
    </font>
    <font>
      <b/>
      <sz val="20"/>
      <color rgb="FF0070C0"/>
      <name val="Arial"/>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9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bottom style="thick">
        <color rgb="FFFF0000"/>
      </bottom>
      <diagonal/>
    </border>
    <border>
      <left style="thick">
        <color theme="0" tint="-0.499984740745262"/>
      </left>
      <right/>
      <top/>
      <bottom style="thick">
        <color rgb="FFFF0000"/>
      </bottom>
      <diagonal/>
    </border>
    <border>
      <left/>
      <right/>
      <top/>
      <bottom style="thick">
        <color rgb="FFFF0000"/>
      </bottom>
      <diagonal/>
    </border>
    <border>
      <left/>
      <right style="thick">
        <color theme="0" tint="-0.499984740745262"/>
      </right>
      <top/>
      <bottom style="thick">
        <color rgb="FFFF0000"/>
      </bottom>
      <diagonal/>
    </border>
    <border>
      <left/>
      <right style="thick">
        <color theme="2" tint="-0.499984740745262"/>
      </right>
      <top/>
      <bottom style="thick">
        <color rgb="FFFF0000"/>
      </bottom>
      <diagonal/>
    </border>
    <border>
      <left style="thick">
        <color theme="2" tint="-0.499984740745262"/>
      </left>
      <right/>
      <top/>
      <bottom style="thick">
        <color rgb="FFFF0000"/>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style="thin">
        <color theme="2" tint="-0.499984740745262"/>
      </left>
      <right/>
      <top/>
      <bottom style="thin">
        <color theme="2" tint="-0.24994659260841701"/>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right style="thin">
        <color theme="2" tint="-0.499984740745262"/>
      </right>
      <top style="thick">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right style="thin">
        <color theme="2" tint="-0.499984740745262"/>
      </right>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style="thick">
        <color theme="2" tint="-0.499984740745262"/>
      </left>
      <right/>
      <top style="medium">
        <color theme="2" tint="-0.499984740745262"/>
      </top>
      <bottom/>
      <diagonal/>
    </border>
    <border>
      <left style="thick">
        <color theme="0" tint="-0.499984740745262"/>
      </left>
      <right style="thick">
        <color theme="0" tint="-0.499984740745262"/>
      </right>
      <top/>
      <bottom style="thick">
        <color rgb="FFDA0000"/>
      </bottom>
      <diagonal/>
    </border>
    <border>
      <left style="thick">
        <color theme="0" tint="-0.499984740745262"/>
      </left>
      <right/>
      <top/>
      <bottom style="thick">
        <color rgb="FFDA0000"/>
      </bottom>
      <diagonal/>
    </border>
    <border>
      <left/>
      <right/>
      <top/>
      <bottom style="thick">
        <color rgb="FFDA0000"/>
      </bottom>
      <diagonal/>
    </border>
    <border>
      <left/>
      <right style="thick">
        <color theme="0" tint="-0.499984740745262"/>
      </right>
      <top/>
      <bottom style="thick">
        <color rgb="FFDA0000"/>
      </bottom>
      <diagonal/>
    </border>
    <border>
      <left/>
      <right style="thick">
        <color theme="2" tint="-0.499984740745262"/>
      </right>
      <top/>
      <bottom style="thick">
        <color rgb="FFDA0000"/>
      </bottom>
      <diagonal/>
    </border>
    <border>
      <left style="thick">
        <color theme="2" tint="-0.499984740745262"/>
      </left>
      <right/>
      <top/>
      <bottom style="thick">
        <color rgb="FFDA0000"/>
      </bottom>
      <diagonal/>
    </border>
    <border>
      <left style="thick">
        <color theme="0" tint="-0.499984740745262"/>
      </left>
      <right style="thick">
        <color theme="0" tint="-0.499984740745262"/>
      </right>
      <top style="thick">
        <color rgb="FFDA0000"/>
      </top>
      <bottom/>
      <diagonal/>
    </border>
    <border>
      <left style="thick">
        <color theme="0" tint="-0.499984740745262"/>
      </left>
      <right/>
      <top style="thick">
        <color rgb="FFDA0000"/>
      </top>
      <bottom/>
      <diagonal/>
    </border>
    <border>
      <left/>
      <right/>
      <top style="thick">
        <color rgb="FFDA0000"/>
      </top>
      <bottom/>
      <diagonal/>
    </border>
    <border>
      <left/>
      <right style="thick">
        <color theme="0" tint="-0.499984740745262"/>
      </right>
      <top style="thick">
        <color rgb="FFDA0000"/>
      </top>
      <bottom/>
      <diagonal/>
    </border>
    <border>
      <left/>
      <right style="thick">
        <color theme="2" tint="-0.499984740745262"/>
      </right>
      <top style="thick">
        <color rgb="FFDA0000"/>
      </top>
      <bottom/>
      <diagonal/>
    </border>
    <border>
      <left style="thick">
        <color theme="2" tint="-0.499984740745262"/>
      </left>
      <right/>
      <top style="thick">
        <color rgb="FFDA0000"/>
      </top>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
      <left style="thin">
        <color theme="2" tint="-0.24994659260841701"/>
      </left>
      <right style="medium">
        <color theme="2" tint="-0.499984740745262"/>
      </right>
      <top/>
      <bottom style="thin">
        <color theme="2" tint="-0.24994659260841701"/>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top style="thin">
        <color theme="2" tint="-0.24994659260841701"/>
      </top>
      <bottom style="medium">
        <color theme="2" tint="-0.499984740745262"/>
      </bottom>
      <diagonal/>
    </border>
    <border>
      <left style="medium">
        <color theme="2" tint="-0.499984740745262"/>
      </left>
      <right/>
      <top/>
      <bottom style="thin">
        <color theme="2" tint="-0.24994659260841701"/>
      </bottom>
      <diagonal/>
    </border>
  </borders>
  <cellStyleXfs count="4">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cellStyleXfs>
  <cellXfs count="858">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7" xfId="0" applyNumberFormat="1" applyFont="1" applyFill="1" applyBorder="1" applyAlignment="1" applyProtection="1">
      <alignment horizontal="right" vertical="center" indent="1"/>
      <protection hidden="1"/>
    </xf>
    <xf numFmtId="0" fontId="7" fillId="0" borderId="40" xfId="0" applyNumberFormat="1" applyFont="1" applyFill="1" applyBorder="1" applyAlignment="1" applyProtection="1">
      <alignment horizontal="right" vertical="center" indent="1"/>
      <protection hidden="1"/>
    </xf>
    <xf numFmtId="0" fontId="7" fillId="0" borderId="42" xfId="0" applyNumberFormat="1" applyFont="1" applyFill="1" applyBorder="1" applyAlignment="1" applyProtection="1">
      <alignment horizontal="right" vertical="center" indent="1"/>
      <protection hidden="1"/>
    </xf>
    <xf numFmtId="0" fontId="18" fillId="0" borderId="0" xfId="0" applyFont="1"/>
    <xf numFmtId="0" fontId="21" fillId="0" borderId="56" xfId="0" applyFont="1" applyBorder="1" applyAlignment="1">
      <alignment horizontal="center" vertical="center"/>
    </xf>
    <xf numFmtId="0" fontId="21" fillId="0" borderId="70" xfId="0" applyFont="1" applyBorder="1" applyAlignment="1">
      <alignment horizontal="left" vertical="center"/>
    </xf>
    <xf numFmtId="0" fontId="21" fillId="0" borderId="51"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75" xfId="0" applyNumberFormat="1" applyFont="1" applyFill="1" applyBorder="1" applyAlignment="1" applyProtection="1">
      <alignment vertical="center"/>
      <protection hidden="1"/>
    </xf>
    <xf numFmtId="0" fontId="7" fillId="0" borderId="76" xfId="0"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78" xfId="0" applyNumberFormat="1" applyFont="1" applyFill="1" applyBorder="1" applyAlignment="1" applyProtection="1">
      <alignment vertical="center"/>
      <protection hidden="1"/>
    </xf>
    <xf numFmtId="0" fontId="7" fillId="0" borderId="79" xfId="0" applyNumberFormat="1" applyFont="1" applyFill="1" applyBorder="1" applyAlignment="1" applyProtection="1">
      <alignment vertical="center"/>
      <protection hidden="1"/>
    </xf>
    <xf numFmtId="0" fontId="7" fillId="0" borderId="39" xfId="0" applyNumberFormat="1" applyFont="1" applyFill="1" applyBorder="1" applyAlignment="1" applyProtection="1">
      <alignment horizontal="left" vertical="center"/>
      <protection hidden="1"/>
    </xf>
    <xf numFmtId="0" fontId="7" fillId="0" borderId="41" xfId="0" applyNumberFormat="1" applyFont="1" applyFill="1" applyBorder="1" applyAlignment="1" applyProtection="1">
      <alignment horizontal="left" vertical="center"/>
      <protection hidden="1"/>
    </xf>
    <xf numFmtId="0" fontId="7" fillId="0" borderId="43"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82" xfId="0" applyNumberFormat="1" applyFont="1" applyFill="1" applyBorder="1" applyAlignment="1" applyProtection="1">
      <alignment horizontal="right" vertical="center" indent="1"/>
      <protection hidden="1"/>
    </xf>
    <xf numFmtId="0" fontId="7" fillId="0" borderId="83" xfId="0" applyNumberFormat="1" applyFont="1" applyFill="1" applyBorder="1" applyAlignment="1" applyProtection="1">
      <alignment horizontal="right" vertical="center" indent="1"/>
      <protection hidden="1"/>
    </xf>
    <xf numFmtId="0" fontId="7" fillId="0" borderId="84"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7" xfId="0" applyFill="1" applyBorder="1" applyAlignment="1" applyProtection="1">
      <alignment horizontal="left" indent="1"/>
      <protection locked="0"/>
    </xf>
    <xf numFmtId="0" fontId="0" fillId="13" borderId="98" xfId="0" applyFill="1" applyBorder="1" applyAlignment="1" applyProtection="1">
      <alignment horizontal="left" indent="1"/>
      <protection locked="0"/>
    </xf>
    <xf numFmtId="0" fontId="0" fillId="14" borderId="99" xfId="0" applyFill="1" applyBorder="1" applyAlignment="1" applyProtection="1">
      <alignment horizontal="left" indent="1"/>
      <protection locked="0"/>
    </xf>
    <xf numFmtId="0" fontId="36" fillId="0" borderId="92" xfId="0" applyFont="1" applyFill="1" applyBorder="1" applyAlignment="1">
      <alignment horizontal="left" indent="1"/>
    </xf>
    <xf numFmtId="0" fontId="0" fillId="0" borderId="93" xfId="0" applyBorder="1" applyAlignment="1">
      <alignment horizontal="left" indent="1"/>
    </xf>
    <xf numFmtId="0" fontId="0" fillId="0" borderId="100" xfId="0" applyBorder="1" applyAlignment="1">
      <alignment horizontal="left" indent="1"/>
    </xf>
    <xf numFmtId="0" fontId="36" fillId="0" borderId="95" xfId="0" applyFont="1" applyFill="1" applyBorder="1" applyAlignment="1">
      <alignment horizontal="left" indent="1"/>
    </xf>
    <xf numFmtId="0" fontId="0" fillId="0" borderId="0" xfId="0" applyBorder="1" applyAlignment="1">
      <alignment horizontal="left" indent="1"/>
    </xf>
    <xf numFmtId="0" fontId="0" fillId="0" borderId="91"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9" xfId="0" applyFill="1" applyBorder="1" applyAlignment="1" applyProtection="1">
      <alignment horizontal="left" vertical="top" wrapText="1" indent="1"/>
      <protection locked="0"/>
    </xf>
    <xf numFmtId="0" fontId="0" fillId="12" borderId="97" xfId="0" applyFill="1" applyBorder="1" applyAlignment="1" applyProtection="1">
      <alignment horizontal="left" vertical="top" wrapText="1" indent="1"/>
      <protection locked="0"/>
    </xf>
    <xf numFmtId="0" fontId="0" fillId="13" borderId="9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indent="1"/>
      <protection locked="0"/>
    </xf>
    <xf numFmtId="0" fontId="4" fillId="12" borderId="97"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top" wrapText="1" indent="1"/>
      <protection locked="0"/>
    </xf>
    <xf numFmtId="0" fontId="4" fillId="12" borderId="97" xfId="0" applyFont="1" applyFill="1" applyBorder="1" applyAlignment="1" applyProtection="1">
      <alignment horizontal="left" indent="1"/>
      <protection locked="0"/>
    </xf>
    <xf numFmtId="0" fontId="4" fillId="14" borderId="99" xfId="0" applyFont="1" applyFill="1" applyBorder="1" applyAlignment="1" applyProtection="1">
      <alignment horizontal="left" indent="1"/>
      <protection locked="0"/>
    </xf>
    <xf numFmtId="0" fontId="4" fillId="14" borderId="99" xfId="0" applyFont="1" applyFill="1" applyBorder="1" applyAlignment="1">
      <alignment horizontal="left" indent="1"/>
    </xf>
    <xf numFmtId="0" fontId="4" fillId="13" borderId="98" xfId="0" applyFont="1" applyFill="1" applyBorder="1" applyAlignment="1" applyProtection="1">
      <alignment horizontal="left" indent="1"/>
      <protection locked="0"/>
    </xf>
    <xf numFmtId="0" fontId="4" fillId="12" borderId="101" xfId="0" applyFont="1" applyFill="1" applyBorder="1" applyAlignment="1" applyProtection="1">
      <alignment horizontal="left" vertical="top" indent="1"/>
      <protection locked="0"/>
    </xf>
    <xf numFmtId="0" fontId="4" fillId="14" borderId="99" xfId="0" applyFont="1" applyFill="1" applyBorder="1" applyAlignment="1" applyProtection="1">
      <alignment horizontal="left" vertical="top" indent="1"/>
      <protection locked="0"/>
    </xf>
    <xf numFmtId="0" fontId="4" fillId="0" borderId="0" xfId="0" applyFont="1"/>
    <xf numFmtId="0" fontId="27" fillId="0" borderId="0" xfId="0" applyFont="1"/>
    <xf numFmtId="0" fontId="32" fillId="0" borderId="0" xfId="0" applyFont="1" applyBorder="1" applyAlignment="1">
      <alignment horizontal="left" vertical="center" wrapText="1"/>
    </xf>
    <xf numFmtId="0" fontId="4" fillId="12" borderId="103" xfId="0" applyFont="1" applyFill="1" applyBorder="1" applyAlignment="1" applyProtection="1">
      <alignment horizontal="left" vertical="top" indent="1"/>
      <protection locked="0"/>
    </xf>
    <xf numFmtId="0" fontId="1" fillId="13" borderId="90" xfId="0" applyFont="1" applyFill="1" applyBorder="1" applyAlignment="1" applyProtection="1">
      <alignment horizontal="center" vertical="center"/>
      <protection locked="0"/>
    </xf>
    <xf numFmtId="0" fontId="4" fillId="14" borderId="95" xfId="0" applyFont="1" applyFill="1" applyBorder="1" applyAlignment="1" applyProtection="1">
      <alignment horizontal="left" vertical="top" indent="1"/>
      <protection locked="0"/>
    </xf>
    <xf numFmtId="0" fontId="7" fillId="0" borderId="32"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11" xfId="0" applyFont="1" applyBorder="1" applyAlignment="1">
      <alignment horizontal="center" vertical="center"/>
    </xf>
    <xf numFmtId="0" fontId="20" fillId="0" borderId="45" xfId="0" applyFont="1" applyBorder="1" applyAlignment="1">
      <alignment horizontal="center" vertical="center"/>
    </xf>
    <xf numFmtId="0" fontId="20" fillId="0" borderId="48" xfId="0" applyFont="1" applyBorder="1" applyAlignment="1">
      <alignment horizontal="center" vertical="center"/>
    </xf>
    <xf numFmtId="0" fontId="31" fillId="13" borderId="112" xfId="0" applyFont="1" applyFill="1" applyBorder="1" applyAlignment="1">
      <alignment horizontal="center" vertical="center"/>
    </xf>
    <xf numFmtId="164" fontId="20" fillId="0" borderId="35" xfId="0" applyNumberFormat="1" applyFont="1" applyBorder="1" applyAlignment="1">
      <alignment horizontal="center" vertical="center"/>
    </xf>
    <xf numFmtId="164" fontId="20" fillId="0" borderId="36" xfId="0" applyNumberFormat="1" applyFont="1" applyBorder="1" applyAlignment="1">
      <alignment horizontal="center" vertical="center"/>
    </xf>
    <xf numFmtId="0" fontId="18" fillId="13" borderId="34" xfId="0" applyFont="1" applyFill="1" applyBorder="1"/>
    <xf numFmtId="3" fontId="7" fillId="0" borderId="32"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5" xfId="0" applyFont="1" applyFill="1" applyBorder="1" applyAlignment="1">
      <alignment horizontal="center" vertical="center"/>
    </xf>
    <xf numFmtId="0" fontId="31" fillId="13" borderId="116" xfId="0" applyFont="1" applyFill="1" applyBorder="1" applyAlignment="1">
      <alignment horizontal="left" vertical="center" indent="1"/>
    </xf>
    <xf numFmtId="0" fontId="20" fillId="0" borderId="117" xfId="0" applyFont="1" applyBorder="1" applyAlignment="1">
      <alignment horizontal="left" vertical="center" indent="1"/>
    </xf>
    <xf numFmtId="0" fontId="20" fillId="0" borderId="118" xfId="0" applyFont="1" applyBorder="1" applyAlignment="1">
      <alignment horizontal="left" vertical="center" indent="1"/>
    </xf>
    <xf numFmtId="0" fontId="20" fillId="0" borderId="119" xfId="0" applyFont="1" applyBorder="1" applyAlignment="1">
      <alignment horizontal="left" vertical="center" indent="1"/>
    </xf>
    <xf numFmtId="0" fontId="31" fillId="13" borderId="114" xfId="0" applyFont="1" applyFill="1" applyBorder="1" applyAlignment="1">
      <alignment horizontal="center" vertical="center"/>
    </xf>
    <xf numFmtId="0" fontId="40" fillId="0" borderId="115" xfId="0" applyFont="1" applyBorder="1" applyAlignment="1">
      <alignment horizontal="center" vertical="center"/>
    </xf>
    <xf numFmtId="0" fontId="40" fillId="0" borderId="50" xfId="0" applyFont="1" applyBorder="1" applyAlignment="1">
      <alignment horizontal="center" vertical="center"/>
    </xf>
    <xf numFmtId="0" fontId="40" fillId="0" borderId="52" xfId="0" applyFont="1" applyBorder="1" applyAlignment="1">
      <alignment horizontal="center" vertical="center"/>
    </xf>
    <xf numFmtId="165" fontId="21" fillId="13" borderId="120" xfId="0" applyNumberFormat="1" applyFont="1" applyFill="1" applyBorder="1" applyAlignment="1">
      <alignment horizontal="center" vertical="center"/>
    </xf>
    <xf numFmtId="165" fontId="21" fillId="13" borderId="112"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22" xfId="0" applyFont="1" applyFill="1" applyBorder="1" applyAlignment="1">
      <alignment horizontal="center" vertical="center"/>
    </xf>
    <xf numFmtId="0" fontId="20" fillId="0" borderId="123" xfId="0" applyFont="1" applyBorder="1" applyAlignment="1">
      <alignment horizontal="center" vertical="center"/>
    </xf>
    <xf numFmtId="0" fontId="20" fillId="0" borderId="125" xfId="0" applyFont="1" applyBorder="1" applyAlignment="1">
      <alignment horizontal="center" vertical="center"/>
    </xf>
    <xf numFmtId="0" fontId="4" fillId="12" borderId="97" xfId="0" applyFont="1" applyFill="1" applyBorder="1" applyAlignment="1" applyProtection="1">
      <alignment horizontal="left" vertical="top" wrapText="1" indent="1"/>
      <protection locked="0"/>
    </xf>
    <xf numFmtId="0" fontId="7" fillId="0" borderId="38" xfId="0" applyNumberFormat="1" applyFont="1" applyFill="1" applyBorder="1" applyAlignment="1" applyProtection="1">
      <alignment horizontal="center" vertical="center"/>
      <protection hidden="1"/>
    </xf>
    <xf numFmtId="0" fontId="7" fillId="0" borderId="39"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horizontal="center" vertical="center"/>
      <protection hidden="1"/>
    </xf>
    <xf numFmtId="0" fontId="7" fillId="0" borderId="43"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vertical="center"/>
      <protection hidden="1"/>
    </xf>
    <xf numFmtId="0" fontId="7" fillId="0" borderId="37" xfId="0" applyNumberFormat="1" applyFont="1" applyFill="1" applyBorder="1" applyAlignment="1" applyProtection="1">
      <alignment horizontal="center" vertical="center"/>
      <protection hidden="1"/>
    </xf>
    <xf numFmtId="0" fontId="7" fillId="0" borderId="40" xfId="0" applyNumberFormat="1" applyFont="1" applyFill="1" applyBorder="1" applyAlignment="1" applyProtection="1">
      <alignment horizontal="center" vertical="center"/>
      <protection hidden="1"/>
    </xf>
    <xf numFmtId="0" fontId="7" fillId="0" borderId="42" xfId="0" applyNumberFormat="1" applyFont="1" applyFill="1" applyBorder="1" applyAlignment="1" applyProtection="1">
      <alignment horizontal="center" vertical="center"/>
      <protection hidden="1"/>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31" fillId="13" borderId="131" xfId="0" applyFont="1" applyFill="1" applyBorder="1" applyAlignment="1">
      <alignment horizontal="center" vertical="center"/>
    </xf>
    <xf numFmtId="0" fontId="20" fillId="0" borderId="121"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165" fontId="21" fillId="13" borderId="134" xfId="0" applyNumberFormat="1" applyFont="1" applyFill="1" applyBorder="1" applyAlignment="1">
      <alignment horizontal="center" vertical="center"/>
    </xf>
    <xf numFmtId="0" fontId="20" fillId="0" borderId="135" xfId="0" applyFont="1" applyBorder="1" applyAlignment="1">
      <alignment horizontal="center" vertical="center"/>
    </xf>
    <xf numFmtId="0" fontId="20" fillId="0" borderId="46" xfId="0" applyFont="1" applyBorder="1" applyAlignment="1">
      <alignment horizontal="center" vertical="center"/>
    </xf>
    <xf numFmtId="0" fontId="20" fillId="8" borderId="49"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2" fillId="0" borderId="0" xfId="0" applyNumberFormat="1" applyFont="1" applyFill="1" applyAlignment="1" applyProtection="1">
      <alignment horizontal="center" vertical="center"/>
      <protection hidden="1"/>
    </xf>
    <xf numFmtId="0" fontId="42" fillId="0" borderId="72" xfId="0" applyNumberFormat="1" applyFont="1" applyFill="1" applyBorder="1" applyAlignment="1" applyProtection="1">
      <alignment horizontal="center" vertical="center"/>
      <protection hidden="1"/>
    </xf>
    <xf numFmtId="0" fontId="4" fillId="12" borderId="103" xfId="0" applyFont="1" applyFill="1" applyBorder="1" applyAlignment="1" applyProtection="1">
      <alignment horizontal="left" vertical="top" wrapText="1" indent="1"/>
      <protection locked="0"/>
    </xf>
    <xf numFmtId="0" fontId="4" fillId="14" borderId="95"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3" fillId="0" borderId="0" xfId="0" applyNumberFormat="1" applyFont="1" applyAlignment="1">
      <alignment horizontal="right" vertical="center" indent="1"/>
    </xf>
    <xf numFmtId="165" fontId="44" fillId="0" borderId="0" xfId="0" applyNumberFormat="1" applyFont="1"/>
    <xf numFmtId="0" fontId="18" fillId="0" borderId="0" xfId="0" applyFont="1" applyProtection="1"/>
    <xf numFmtId="0" fontId="21" fillId="0" borderId="0" xfId="0" applyFont="1" applyProtection="1"/>
    <xf numFmtId="0" fontId="47" fillId="0" borderId="0" xfId="0" applyFont="1" applyBorder="1" applyAlignment="1">
      <alignment horizontal="left" vertical="center" wrapText="1"/>
    </xf>
    <xf numFmtId="0" fontId="48" fillId="0" borderId="0" xfId="0" applyFont="1" applyAlignment="1">
      <alignment horizontal="right" indent="1"/>
    </xf>
    <xf numFmtId="167" fontId="23" fillId="0" borderId="45" xfId="0" applyNumberFormat="1" applyFont="1" applyBorder="1" applyAlignment="1">
      <alignment horizontal="center" vertical="center"/>
    </xf>
    <xf numFmtId="0" fontId="23" fillId="0" borderId="111" xfId="0" applyNumberFormat="1" applyFont="1" applyBorder="1" applyAlignment="1">
      <alignment horizontal="center" vertical="center"/>
    </xf>
    <xf numFmtId="0" fontId="23" fillId="0" borderId="45" xfId="0" applyNumberFormat="1" applyFont="1" applyBorder="1" applyAlignment="1">
      <alignment horizontal="center" vertical="center"/>
    </xf>
    <xf numFmtId="167" fontId="23" fillId="0" borderId="48" xfId="0" applyNumberFormat="1" applyFont="1" applyBorder="1" applyAlignment="1">
      <alignment horizontal="center" vertical="center"/>
    </xf>
    <xf numFmtId="0" fontId="23" fillId="0" borderId="48" xfId="0" applyNumberFormat="1" applyFont="1" applyBorder="1" applyAlignment="1">
      <alignment horizontal="center" vertical="center"/>
    </xf>
    <xf numFmtId="0" fontId="21" fillId="0" borderId="57" xfId="0" applyFont="1" applyBorder="1" applyAlignment="1">
      <alignment horizontal="center" vertical="center"/>
    </xf>
    <xf numFmtId="0" fontId="21" fillId="0" borderId="147" xfId="0" applyFont="1" applyBorder="1" applyAlignment="1">
      <alignment horizontal="right" vertical="center"/>
    </xf>
    <xf numFmtId="0" fontId="21" fillId="0" borderId="148" xfId="0" applyFont="1" applyBorder="1" applyAlignment="1">
      <alignment horizontal="center" vertical="center"/>
    </xf>
    <xf numFmtId="0" fontId="21" fillId="0" borderId="150" xfId="0" applyFont="1" applyBorder="1" applyAlignment="1">
      <alignment horizontal="left" vertical="center"/>
    </xf>
    <xf numFmtId="0" fontId="19" fillId="9" borderId="151" xfId="0" applyFont="1" applyFill="1" applyBorder="1" applyAlignment="1">
      <alignment horizontal="center"/>
    </xf>
    <xf numFmtId="0" fontId="19" fillId="9" borderId="114" xfId="0" applyFont="1" applyFill="1" applyBorder="1" applyAlignment="1">
      <alignment horizontal="center"/>
    </xf>
    <xf numFmtId="167" fontId="23" fillId="0" borderId="111" xfId="0" applyNumberFormat="1" applyFont="1" applyBorder="1" applyAlignment="1">
      <alignment horizontal="center" vertical="center"/>
    </xf>
    <xf numFmtId="0" fontId="20" fillId="0" borderId="132" xfId="0" applyFont="1" applyBorder="1" applyAlignment="1">
      <alignment horizontal="left" vertical="center"/>
    </xf>
    <xf numFmtId="0" fontId="20" fillId="0" borderId="124" xfId="0" applyFont="1" applyBorder="1" applyAlignment="1">
      <alignment horizontal="left" vertical="center"/>
    </xf>
    <xf numFmtId="0" fontId="20" fillId="0" borderId="133" xfId="0" applyFont="1" applyBorder="1" applyAlignment="1">
      <alignment horizontal="left" vertical="center"/>
    </xf>
    <xf numFmtId="0" fontId="50" fillId="0" borderId="0" xfId="0" applyNumberFormat="1" applyFont="1" applyAlignment="1">
      <alignment horizontal="center" vertical="center"/>
    </xf>
    <xf numFmtId="0" fontId="0" fillId="0" borderId="154" xfId="0" applyBorder="1"/>
    <xf numFmtId="0" fontId="0" fillId="0" borderId="155" xfId="0" applyBorder="1" applyAlignment="1">
      <alignment horizontal="left" indent="1"/>
    </xf>
    <xf numFmtId="0" fontId="0" fillId="0" borderId="106" xfId="0" applyBorder="1"/>
    <xf numFmtId="0" fontId="0" fillId="0" borderId="107" xfId="0" applyBorder="1" applyAlignment="1">
      <alignment horizontal="left" indent="1"/>
    </xf>
    <xf numFmtId="0" fontId="0" fillId="0" borderId="108" xfId="0" applyBorder="1"/>
    <xf numFmtId="0" fontId="0" fillId="0" borderId="110" xfId="0" applyBorder="1" applyAlignment="1">
      <alignment horizontal="left" indent="1"/>
    </xf>
    <xf numFmtId="0" fontId="7" fillId="0" borderId="157" xfId="0" applyNumberFormat="1" applyFont="1" applyFill="1" applyBorder="1" applyAlignment="1" applyProtection="1">
      <alignment vertical="center"/>
      <protection hidden="1"/>
    </xf>
    <xf numFmtId="0" fontId="7" fillId="0" borderId="156" xfId="0" applyNumberFormat="1" applyFont="1" applyFill="1" applyBorder="1" applyAlignment="1" applyProtection="1">
      <alignment horizontal="center" vertical="center"/>
      <protection hidden="1"/>
    </xf>
    <xf numFmtId="0" fontId="6" fillId="0" borderId="45"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2" xfId="0" applyFont="1" applyFill="1" applyBorder="1" applyAlignment="1">
      <alignment horizontal="center" vertical="center" shrinkToFit="1"/>
    </xf>
    <xf numFmtId="0" fontId="14" fillId="9" borderId="71"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165" fontId="14" fillId="9" borderId="62" xfId="0" applyNumberFormat="1" applyFont="1" applyFill="1" applyBorder="1" applyAlignment="1">
      <alignment vertical="center" shrinkToFit="1"/>
    </xf>
    <xf numFmtId="165" fontId="14" fillId="9" borderId="71" xfId="0" applyNumberFormat="1" applyFont="1" applyFill="1" applyBorder="1" applyAlignment="1">
      <alignment vertical="center" shrinkToFit="1"/>
    </xf>
    <xf numFmtId="0" fontId="6" fillId="0" borderId="136" xfId="0" applyFont="1" applyBorder="1" applyAlignment="1">
      <alignment horizontal="center" vertical="center" shrinkToFit="1"/>
    </xf>
    <xf numFmtId="0" fontId="6" fillId="0" borderId="137" xfId="0" applyFont="1" applyBorder="1" applyAlignment="1">
      <alignment horizontal="center" vertical="center" shrinkToFit="1"/>
    </xf>
    <xf numFmtId="0" fontId="6" fillId="0" borderId="138" xfId="0" applyFont="1" applyBorder="1" applyAlignment="1">
      <alignment horizontal="center" vertical="center" shrinkToFit="1"/>
    </xf>
    <xf numFmtId="0" fontId="6" fillId="0" borderId="138" xfId="0" applyFont="1" applyBorder="1" applyAlignment="1">
      <alignment horizontal="right" vertical="center" shrinkToFit="1"/>
    </xf>
    <xf numFmtId="0" fontId="6" fillId="0" borderId="139" xfId="0" applyFont="1" applyBorder="1" applyAlignment="1">
      <alignment horizontal="center" vertical="center" shrinkToFit="1"/>
    </xf>
    <xf numFmtId="0" fontId="6" fillId="0" borderId="136" xfId="0" applyFont="1" applyBorder="1" applyAlignment="1">
      <alignment horizontal="left" vertical="center" shrinkToFit="1"/>
    </xf>
    <xf numFmtId="0" fontId="16" fillId="0" borderId="140" xfId="0" applyFont="1" applyBorder="1" applyAlignment="1">
      <alignment horizontal="center" vertical="center" shrinkToFit="1"/>
    </xf>
    <xf numFmtId="0" fontId="6" fillId="8" borderId="141" xfId="0" applyFont="1" applyFill="1" applyBorder="1" applyAlignment="1">
      <alignment horizontal="center" vertical="center" shrinkToFit="1"/>
    </xf>
    <xf numFmtId="0" fontId="6" fillId="0" borderId="140" xfId="0" applyFont="1" applyBorder="1" applyAlignment="1">
      <alignment horizontal="center" vertical="center" shrinkToFit="1"/>
    </xf>
    <xf numFmtId="0" fontId="6" fillId="0" borderId="129"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6" xfId="0" applyFont="1" applyBorder="1" applyAlignment="1">
      <alignment horizontal="center" vertical="center" shrinkToFit="1"/>
    </xf>
    <xf numFmtId="0" fontId="6" fillId="0" borderId="44" xfId="0" applyFont="1" applyBorder="1" applyAlignment="1">
      <alignment horizontal="center" vertical="center" shrinkToFit="1"/>
    </xf>
    <xf numFmtId="0" fontId="6" fillId="8" borderId="45" xfId="0" applyFont="1" applyFill="1" applyBorder="1" applyAlignment="1">
      <alignment horizontal="center" vertical="center" shrinkToFit="1"/>
    </xf>
    <xf numFmtId="0" fontId="6" fillId="0" borderId="46" xfId="0" applyFont="1" applyBorder="1" applyAlignment="1">
      <alignment horizontal="center" vertical="center" shrinkToFit="1"/>
    </xf>
    <xf numFmtId="0" fontId="6" fillId="0" borderId="130" xfId="0" applyFont="1" applyBorder="1" applyAlignment="1">
      <alignment horizontal="left" vertical="center" shrinkToFit="1"/>
    </xf>
    <xf numFmtId="0" fontId="6" fillId="0" borderId="52"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3" xfId="0" applyFont="1" applyBorder="1" applyAlignment="1">
      <alignment horizontal="right" vertical="center" shrinkToFit="1"/>
    </xf>
    <xf numFmtId="0" fontId="6" fillId="0" borderId="57" xfId="0" applyFont="1" applyBorder="1" applyAlignment="1">
      <alignment horizontal="center" vertical="center" shrinkToFit="1"/>
    </xf>
    <xf numFmtId="0" fontId="6" fillId="0" borderId="52" xfId="0" applyFont="1" applyBorder="1" applyAlignment="1">
      <alignment horizontal="left" vertical="center" shrinkToFit="1"/>
    </xf>
    <xf numFmtId="0" fontId="16" fillId="0" borderId="49" xfId="0" applyFont="1" applyBorder="1" applyAlignment="1">
      <alignment horizontal="center" vertical="center" shrinkToFit="1"/>
    </xf>
    <xf numFmtId="0" fontId="6" fillId="0" borderId="47" xfId="0" applyFont="1" applyBorder="1" applyAlignment="1">
      <alignment horizontal="center" vertical="center" shrinkToFit="1"/>
    </xf>
    <xf numFmtId="0" fontId="6" fillId="8" borderId="49"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0" fillId="13" borderId="91" xfId="0" applyFill="1" applyBorder="1" applyAlignment="1" applyProtection="1">
      <alignment horizontal="left" indent="1"/>
      <protection locked="0"/>
    </xf>
    <xf numFmtId="0" fontId="7" fillId="0" borderId="0" xfId="0" quotePrefix="1" applyNumberFormat="1" applyFont="1" applyFill="1" applyAlignment="1" applyProtection="1">
      <alignment vertical="center"/>
      <protection hidden="1"/>
    </xf>
    <xf numFmtId="0" fontId="52" fillId="0" borderId="0" xfId="0" applyFont="1"/>
    <xf numFmtId="0" fontId="39" fillId="15" borderId="160" xfId="0" applyFont="1" applyFill="1" applyBorder="1" applyAlignment="1" applyProtection="1">
      <alignment horizontal="center"/>
      <protection locked="0"/>
    </xf>
    <xf numFmtId="0" fontId="21" fillId="0" borderId="161" xfId="0" applyFont="1" applyBorder="1" applyAlignment="1">
      <alignment horizontal="right" vertical="center"/>
    </xf>
    <xf numFmtId="0" fontId="21" fillId="0" borderId="43"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2" xfId="0" applyNumberFormat="1" applyFont="1" applyFill="1" applyBorder="1" applyAlignment="1" applyProtection="1">
      <alignment horizontal="center" vertical="center"/>
      <protection hidden="1"/>
    </xf>
    <xf numFmtId="0" fontId="53" fillId="0" borderId="162"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3" xfId="2" applyNumberFormat="1" applyBorder="1" applyAlignment="1" applyProtection="1">
      <alignment horizontal="center" vertical="center" readingOrder="1"/>
    </xf>
    <xf numFmtId="0" fontId="7" fillId="13" borderId="167" xfId="0" applyNumberFormat="1" applyFont="1" applyFill="1" applyBorder="1" applyAlignment="1" applyProtection="1">
      <alignment horizontal="center" vertical="center"/>
      <protection hidden="1"/>
    </xf>
    <xf numFmtId="0" fontId="4" fillId="14" borderId="168" xfId="0" applyFont="1" applyFill="1" applyBorder="1" applyAlignment="1" applyProtection="1">
      <alignment horizontal="left" vertical="top" wrapText="1" indent="1"/>
      <protection locked="0"/>
    </xf>
    <xf numFmtId="0" fontId="4" fillId="12" borderId="169" xfId="0" applyFont="1" applyFill="1" applyBorder="1" applyAlignment="1" applyProtection="1">
      <alignment horizontal="left" vertical="top" wrapText="1" indent="1"/>
      <protection locked="0"/>
    </xf>
    <xf numFmtId="0" fontId="4" fillId="14" borderId="170" xfId="0" applyFont="1" applyFill="1" applyBorder="1" applyAlignment="1" applyProtection="1">
      <alignment horizontal="left" vertical="top" wrapText="1" indent="1"/>
      <protection locked="0"/>
    </xf>
    <xf numFmtId="0" fontId="4" fillId="12" borderId="171" xfId="0" applyFont="1" applyFill="1" applyBorder="1" applyAlignment="1" applyProtection="1">
      <alignment horizontal="left" vertical="top" wrapText="1" indent="1"/>
      <protection locked="0"/>
    </xf>
    <xf numFmtId="0" fontId="0" fillId="13" borderId="172"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indent="1"/>
      <protection locked="0"/>
    </xf>
    <xf numFmtId="0" fontId="0" fillId="12" borderId="175" xfId="0" applyFill="1" applyBorder="1" applyAlignment="1" applyProtection="1">
      <alignment horizontal="left" vertical="top" indent="1"/>
      <protection locked="0"/>
    </xf>
    <xf numFmtId="0" fontId="0" fillId="13" borderId="176" xfId="0" applyFill="1" applyBorder="1" applyAlignment="1" applyProtection="1">
      <alignment horizontal="left" vertical="top" wrapText="1" indent="1"/>
      <protection locked="0"/>
    </xf>
    <xf numFmtId="0" fontId="0" fillId="14" borderId="177" xfId="0" applyFill="1" applyBorder="1" applyAlignment="1" applyProtection="1">
      <alignment horizontal="left" vertical="top" indent="1"/>
      <protection locked="0"/>
    </xf>
    <xf numFmtId="0" fontId="0" fillId="13" borderId="178"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wrapText="1" indent="1"/>
      <protection locked="0"/>
    </xf>
    <xf numFmtId="0" fontId="0" fillId="12" borderId="174" xfId="0" applyFill="1" applyBorder="1" applyAlignment="1" applyProtection="1">
      <alignment horizontal="left" vertical="top" wrapText="1" indent="1"/>
      <protection locked="0"/>
    </xf>
    <xf numFmtId="0" fontId="0" fillId="0" borderId="0" xfId="0" applyAlignment="1"/>
    <xf numFmtId="0" fontId="0" fillId="14" borderId="179" xfId="0" applyFill="1" applyBorder="1" applyAlignment="1" applyProtection="1">
      <alignment horizontal="left" vertical="top" wrapText="1" indent="1"/>
      <protection locked="0"/>
    </xf>
    <xf numFmtId="0" fontId="0" fillId="12" borderId="180" xfId="0" applyFill="1" applyBorder="1" applyAlignment="1" applyProtection="1">
      <alignment horizontal="left" vertical="top" wrapText="1" indent="1"/>
      <protection locked="0"/>
    </xf>
    <xf numFmtId="0" fontId="0" fillId="13" borderId="181" xfId="0" applyFill="1" applyBorder="1" applyAlignment="1" applyProtection="1">
      <alignment horizontal="left" vertical="top" wrapText="1" indent="1"/>
      <protection locked="0"/>
    </xf>
    <xf numFmtId="0" fontId="0" fillId="0" borderId="0" xfId="0" applyAlignment="1">
      <alignment horizontal="right"/>
    </xf>
    <xf numFmtId="0" fontId="54" fillId="15" borderId="160" xfId="0" applyFont="1" applyFill="1" applyBorder="1" applyAlignment="1" applyProtection="1">
      <alignment horizontal="left" vertical="center" indent="1"/>
      <protection locked="0"/>
    </xf>
    <xf numFmtId="0" fontId="39" fillId="0" borderId="0" xfId="0" applyFont="1"/>
    <xf numFmtId="0" fontId="39" fillId="0" borderId="0" xfId="0" applyFont="1" applyAlignment="1"/>
    <xf numFmtId="0" fontId="39" fillId="0" borderId="0" xfId="0" applyFont="1" applyAlignment="1">
      <alignment horizontal="right"/>
    </xf>
    <xf numFmtId="0" fontId="55" fillId="0" borderId="0" xfId="0" applyFont="1"/>
    <xf numFmtId="0" fontId="4" fillId="12" borderId="173" xfId="0" applyFont="1" applyFill="1" applyBorder="1" applyAlignment="1" applyProtection="1">
      <alignment horizontal="left" vertical="top" indent="1"/>
      <protection locked="0"/>
    </xf>
    <xf numFmtId="0" fontId="14" fillId="9" borderId="54" xfId="0" applyFont="1" applyFill="1" applyBorder="1" applyAlignment="1">
      <alignment horizontal="center" vertical="center" shrinkToFit="1"/>
    </xf>
    <xf numFmtId="0" fontId="42" fillId="0" borderId="72" xfId="0" applyNumberFormat="1" applyFont="1" applyFill="1" applyBorder="1" applyAlignment="1" applyProtection="1">
      <alignment horizontal="center" vertical="center"/>
      <protection hidden="1"/>
    </xf>
    <xf numFmtId="0" fontId="5" fillId="0" borderId="0" xfId="0" applyFont="1" applyBorder="1"/>
    <xf numFmtId="0" fontId="38" fillId="0" borderId="0" xfId="0" applyFont="1" applyAlignment="1"/>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0" fillId="0" borderId="0" xfId="0" applyFont="1" applyFill="1" applyBorder="1" applyAlignment="1" applyProtection="1">
      <alignment vertical="center"/>
    </xf>
    <xf numFmtId="164" fontId="24" fillId="0" borderId="0" xfId="0" applyNumberFormat="1" applyFont="1" applyFill="1" applyBorder="1" applyAlignment="1">
      <alignment vertical="center"/>
    </xf>
    <xf numFmtId="0" fontId="6" fillId="0" borderId="0" xfId="0" applyFont="1" applyFill="1" applyBorder="1" applyAlignment="1" applyProtection="1">
      <alignment horizontal="center" vertical="center" shrinkToFit="1"/>
    </xf>
    <xf numFmtId="167" fontId="49" fillId="0" borderId="0" xfId="0" applyNumberFormat="1" applyFont="1" applyFill="1" applyBorder="1" applyAlignment="1" applyProtection="1">
      <alignment horizontal="center" vertical="center" shrinkToFit="1"/>
    </xf>
    <xf numFmtId="0" fontId="49" fillId="0" borderId="0" xfId="0" applyFont="1" applyFill="1" applyBorder="1" applyAlignment="1" applyProtection="1">
      <alignment horizontal="center" vertical="center" shrinkToFit="1"/>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horizontal="right" vertical="center" shrinkToFit="1"/>
    </xf>
    <xf numFmtId="0" fontId="6" fillId="0" borderId="0" xfId="0" applyFont="1" applyFill="1" applyBorder="1" applyAlignment="1" applyProtection="1">
      <alignment horizontal="lef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4" fillId="0" borderId="0" xfId="0" applyFont="1" applyAlignment="1">
      <alignment vertical="center"/>
    </xf>
    <xf numFmtId="0" fontId="56" fillId="0" borderId="126" xfId="0" applyFont="1" applyBorder="1" applyAlignment="1">
      <alignment horizontal="center" vertical="center" shrinkToFit="1"/>
    </xf>
    <xf numFmtId="0" fontId="56" fillId="0" borderId="127" xfId="0" applyFont="1" applyBorder="1" applyAlignment="1">
      <alignment horizontal="center" vertical="center" shrinkToFit="1"/>
    </xf>
    <xf numFmtId="0" fontId="56" fillId="0" borderId="128" xfId="0" applyFont="1" applyBorder="1" applyAlignment="1">
      <alignment horizontal="center" vertical="center" shrinkToFit="1"/>
    </xf>
    <xf numFmtId="0" fontId="41" fillId="0" borderId="0" xfId="0" applyNumberFormat="1" applyFont="1" applyBorder="1" applyAlignment="1">
      <alignment vertical="top"/>
    </xf>
    <xf numFmtId="0" fontId="7" fillId="0" borderId="182" xfId="0" applyNumberFormat="1" applyFont="1" applyFill="1" applyBorder="1" applyAlignment="1" applyProtection="1">
      <alignment horizontal="right" vertical="center" indent="1"/>
      <protection hidden="1"/>
    </xf>
    <xf numFmtId="0" fontId="7" fillId="0" borderId="183" xfId="0" applyNumberFormat="1" applyFont="1" applyFill="1" applyBorder="1" applyAlignment="1" applyProtection="1">
      <alignment horizontal="center" vertical="center"/>
      <protection hidden="1"/>
    </xf>
    <xf numFmtId="0" fontId="7" fillId="0" borderId="184" xfId="0" applyNumberFormat="1" applyFont="1" applyFill="1" applyBorder="1" applyAlignment="1" applyProtection="1">
      <alignment horizontal="center" vertical="center"/>
      <protection hidden="1"/>
    </xf>
    <xf numFmtId="0" fontId="7" fillId="0" borderId="185" xfId="0" applyNumberFormat="1" applyFont="1" applyFill="1" applyBorder="1" applyAlignment="1" applyProtection="1">
      <alignment horizontal="center" vertical="center"/>
      <protection hidden="1"/>
    </xf>
    <xf numFmtId="0" fontId="7" fillId="0" borderId="183" xfId="0" applyNumberFormat="1" applyFont="1" applyFill="1" applyBorder="1" applyAlignment="1" applyProtection="1">
      <alignment vertical="center"/>
      <protection hidden="1"/>
    </xf>
    <xf numFmtId="0" fontId="7" fillId="0" borderId="184" xfId="0" applyNumberFormat="1" applyFont="1" applyFill="1" applyBorder="1" applyAlignment="1" applyProtection="1">
      <alignment vertical="center"/>
      <protection hidden="1"/>
    </xf>
    <xf numFmtId="0" fontId="7" fillId="0" borderId="186" xfId="0" applyNumberFormat="1" applyFont="1" applyFill="1" applyBorder="1" applyAlignment="1" applyProtection="1">
      <alignment horizontal="center" vertical="center"/>
      <protection hidden="1"/>
    </xf>
    <xf numFmtId="0" fontId="7" fillId="0" borderId="187" xfId="0" applyNumberFormat="1" applyFont="1" applyFill="1" applyBorder="1" applyAlignment="1" applyProtection="1">
      <alignment horizontal="center" vertical="center"/>
      <protection hidden="1"/>
    </xf>
    <xf numFmtId="0" fontId="7" fillId="0" borderId="188" xfId="0" applyNumberFormat="1" applyFont="1" applyFill="1" applyBorder="1" applyAlignment="1" applyProtection="1">
      <alignment horizontal="right" vertical="center" indent="1"/>
      <protection hidden="1"/>
    </xf>
    <xf numFmtId="0" fontId="7" fillId="0" borderId="189" xfId="0" applyNumberFormat="1" applyFont="1" applyFill="1" applyBorder="1" applyAlignment="1" applyProtection="1">
      <alignment horizontal="center" vertical="center"/>
      <protection hidden="1"/>
    </xf>
    <xf numFmtId="0" fontId="7" fillId="0" borderId="190" xfId="0" applyNumberFormat="1" applyFont="1" applyFill="1" applyBorder="1" applyAlignment="1" applyProtection="1">
      <alignment horizontal="center" vertical="center"/>
      <protection hidden="1"/>
    </xf>
    <xf numFmtId="0" fontId="7" fillId="0" borderId="191" xfId="0" applyNumberFormat="1" applyFont="1" applyFill="1" applyBorder="1" applyAlignment="1" applyProtection="1">
      <alignment horizontal="center" vertical="center"/>
      <protection hidden="1"/>
    </xf>
    <xf numFmtId="0" fontId="7" fillId="0" borderId="189" xfId="0" applyNumberFormat="1" applyFont="1" applyFill="1" applyBorder="1" applyAlignment="1" applyProtection="1">
      <alignment vertical="center"/>
      <protection hidden="1"/>
    </xf>
    <xf numFmtId="0" fontId="7" fillId="0" borderId="190" xfId="0" applyNumberFormat="1" applyFont="1" applyFill="1" applyBorder="1" applyAlignment="1" applyProtection="1">
      <alignment vertical="center"/>
      <protection hidden="1"/>
    </xf>
    <xf numFmtId="0" fontId="7" fillId="0" borderId="192" xfId="0" applyNumberFormat="1" applyFont="1" applyFill="1" applyBorder="1" applyAlignment="1" applyProtection="1">
      <alignment horizontal="center" vertical="center"/>
      <protection hidden="1"/>
    </xf>
    <xf numFmtId="0" fontId="7" fillId="0" borderId="193" xfId="0" applyNumberFormat="1" applyFont="1" applyFill="1" applyBorder="1" applyAlignment="1" applyProtection="1">
      <alignment horizontal="center" vertical="center"/>
      <protection hidden="1"/>
    </xf>
    <xf numFmtId="0" fontId="23" fillId="0" borderId="147" xfId="0" applyNumberFormat="1" applyFont="1" applyBorder="1" applyAlignment="1">
      <alignment horizontal="center" vertical="center"/>
    </xf>
    <xf numFmtId="0" fontId="23" fillId="0" borderId="51"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23" fillId="0" borderId="161"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94" xfId="0" applyFont="1" applyBorder="1" applyAlignment="1">
      <alignment horizontal="left" vertical="center" shrinkToFit="1"/>
    </xf>
    <xf numFmtId="0" fontId="38" fillId="0" borderId="0" xfId="0" applyFont="1" applyAlignment="1" applyProtection="1">
      <alignment horizontal="center" vertical="center" wrapText="1"/>
    </xf>
    <xf numFmtId="0" fontId="45" fillId="0" borderId="72"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41" fillId="0" borderId="0" xfId="0" applyNumberFormat="1" applyFont="1" applyFill="1" applyBorder="1" applyAlignment="1"/>
    <xf numFmtId="0" fontId="57" fillId="0" borderId="0" xfId="0" applyFont="1" applyAlignment="1" applyProtection="1"/>
    <xf numFmtId="0" fontId="59" fillId="0" borderId="72" xfId="0" applyFont="1" applyFill="1" applyBorder="1" applyAlignment="1"/>
    <xf numFmtId="0" fontId="59"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60" fillId="0" borderId="0" xfId="0" applyFont="1" applyAlignment="1" applyProtection="1">
      <alignment vertical="top" wrapText="1"/>
    </xf>
    <xf numFmtId="165" fontId="29" fillId="0" borderId="72"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7" xfId="0" applyFont="1" applyFill="1" applyBorder="1" applyAlignment="1" applyProtection="1">
      <alignment horizontal="right" vertical="center"/>
    </xf>
    <xf numFmtId="0" fontId="22" fillId="17" borderId="148" xfId="0" applyFont="1" applyFill="1" applyBorder="1" applyAlignment="1" applyProtection="1">
      <alignment horizontal="center" vertical="center"/>
    </xf>
    <xf numFmtId="0" fontId="22" fillId="17" borderId="149" xfId="0" applyFont="1" applyFill="1" applyBorder="1" applyAlignment="1" applyProtection="1">
      <alignment horizontal="left" vertical="center"/>
    </xf>
    <xf numFmtId="0" fontId="22" fillId="17" borderId="51" xfId="0" applyFont="1" applyFill="1" applyBorder="1" applyAlignment="1" applyProtection="1">
      <alignment horizontal="right" vertical="center"/>
    </xf>
    <xf numFmtId="0" fontId="22" fillId="17" borderId="56" xfId="0" applyFont="1" applyFill="1" applyBorder="1" applyAlignment="1" applyProtection="1">
      <alignment horizontal="center" vertical="center"/>
    </xf>
    <xf numFmtId="0" fontId="22" fillId="17" borderId="50" xfId="0" applyFont="1" applyFill="1" applyBorder="1" applyAlignment="1" applyProtection="1">
      <alignment horizontal="left" vertical="center"/>
    </xf>
    <xf numFmtId="0" fontId="22" fillId="17" borderId="53" xfId="0" applyFont="1" applyFill="1" applyBorder="1" applyAlignment="1" applyProtection="1">
      <alignment horizontal="right" vertical="center"/>
    </xf>
    <xf numFmtId="0" fontId="22" fillId="17" borderId="57" xfId="0" applyFont="1" applyFill="1" applyBorder="1" applyAlignment="1" applyProtection="1">
      <alignment horizontal="center" vertical="center"/>
    </xf>
    <xf numFmtId="0" fontId="22" fillId="17" borderId="52" xfId="0" applyFont="1" applyFill="1" applyBorder="1" applyAlignment="1" applyProtection="1">
      <alignment horizontal="left" vertical="center"/>
    </xf>
    <xf numFmtId="0" fontId="60" fillId="0" borderId="0" xfId="0" applyFont="1" applyAlignment="1" applyProtection="1">
      <alignment horizontal="right" vertical="top" wrapText="1" indent="1"/>
    </xf>
    <xf numFmtId="0" fontId="18" fillId="0" borderId="0" xfId="0" applyFont="1" applyAlignment="1">
      <alignment vertical="center"/>
    </xf>
    <xf numFmtId="0" fontId="21" fillId="10" borderId="129" xfId="0" applyFont="1" applyFill="1" applyBorder="1" applyAlignment="1" applyProtection="1">
      <alignment horizontal="center"/>
      <protection locked="0"/>
    </xf>
    <xf numFmtId="0" fontId="21" fillId="10" borderId="130" xfId="0" applyFont="1" applyFill="1" applyBorder="1" applyAlignment="1" applyProtection="1">
      <alignment horizontal="center"/>
      <protection locked="0"/>
    </xf>
    <xf numFmtId="0" fontId="21" fillId="10" borderId="201" xfId="0" applyFont="1" applyFill="1" applyBorder="1" applyAlignment="1" applyProtection="1">
      <alignment horizontal="center"/>
      <protection locked="0"/>
    </xf>
    <xf numFmtId="0" fontId="20" fillId="10" borderId="56" xfId="0" applyFont="1" applyFill="1" applyBorder="1" applyAlignment="1" applyProtection="1">
      <alignment horizontal="center" vertical="center"/>
      <protection locked="0"/>
    </xf>
    <xf numFmtId="0" fontId="20" fillId="10" borderId="70"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203" xfId="0" applyFont="1" applyFill="1" applyBorder="1" applyAlignment="1" applyProtection="1">
      <alignment horizontal="center" vertical="center"/>
      <protection locked="0"/>
    </xf>
    <xf numFmtId="0" fontId="20" fillId="0" borderId="51" xfId="0" applyFont="1" applyBorder="1" applyAlignment="1">
      <alignment horizontal="left" vertical="center"/>
    </xf>
    <xf numFmtId="0" fontId="20" fillId="0" borderId="53" xfId="0" applyFont="1" applyBorder="1" applyAlignment="1">
      <alignment horizontal="left" vertical="center"/>
    </xf>
    <xf numFmtId="0" fontId="20" fillId="0" borderId="50" xfId="0" applyFont="1" applyBorder="1" applyAlignment="1">
      <alignment horizontal="left" vertical="center"/>
    </xf>
    <xf numFmtId="0" fontId="20" fillId="0" borderId="52" xfId="0" applyFont="1" applyBorder="1" applyAlignment="1">
      <alignment horizontal="left" vertical="center"/>
    </xf>
    <xf numFmtId="0" fontId="62" fillId="0" borderId="45" xfId="0" applyFont="1" applyBorder="1" applyAlignment="1">
      <alignment horizontal="center" vertical="center"/>
    </xf>
    <xf numFmtId="0" fontId="62" fillId="0" borderId="48" xfId="0" applyFont="1" applyBorder="1" applyAlignment="1">
      <alignment horizontal="center" vertical="center"/>
    </xf>
    <xf numFmtId="0" fontId="62" fillId="0" borderId="204" xfId="0" applyFont="1" applyBorder="1" applyAlignment="1">
      <alignment horizontal="center" vertical="center"/>
    </xf>
    <xf numFmtId="0" fontId="20" fillId="0" borderId="147" xfId="0" applyFont="1" applyBorder="1" applyAlignment="1">
      <alignment horizontal="left" vertical="center"/>
    </xf>
    <xf numFmtId="0" fontId="20" fillId="0" borderId="148" xfId="0" applyFont="1" applyBorder="1" applyAlignment="1">
      <alignment horizontal="center" vertical="center"/>
    </xf>
    <xf numFmtId="0" fontId="20" fillId="0" borderId="149" xfId="0" applyFont="1" applyBorder="1" applyAlignment="1">
      <alignment horizontal="left" vertical="center"/>
    </xf>
    <xf numFmtId="0" fontId="14" fillId="9" borderId="112" xfId="0" applyFont="1" applyFill="1" applyBorder="1" applyAlignment="1">
      <alignment horizontal="center" vertical="center"/>
    </xf>
    <xf numFmtId="0" fontId="20" fillId="10" borderId="147" xfId="0" applyFont="1" applyFill="1" applyBorder="1" applyAlignment="1" applyProtection="1">
      <alignment horizontal="center" vertical="center"/>
      <protection locked="0"/>
    </xf>
    <xf numFmtId="0" fontId="20" fillId="10" borderId="150"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0" fontId="20" fillId="10" borderId="53" xfId="0" applyFont="1" applyFill="1" applyBorder="1" applyAlignment="1" applyProtection="1">
      <alignment horizontal="center" vertical="center"/>
      <protection locked="0"/>
    </xf>
    <xf numFmtId="0" fontId="20" fillId="10" borderId="148" xfId="0" applyFont="1" applyFill="1" applyBorder="1" applyAlignment="1">
      <alignment horizontal="center" vertical="center"/>
    </xf>
    <xf numFmtId="0" fontId="20" fillId="10" borderId="56" xfId="0" applyFont="1" applyFill="1" applyBorder="1" applyAlignment="1">
      <alignment horizontal="center" vertical="center"/>
    </xf>
    <xf numFmtId="0" fontId="20" fillId="10" borderId="72" xfId="0" applyFont="1" applyFill="1" applyBorder="1" applyAlignment="1">
      <alignment horizontal="center" vertical="center"/>
    </xf>
    <xf numFmtId="0" fontId="21" fillId="0" borderId="204" xfId="0" applyFont="1" applyBorder="1" applyAlignment="1">
      <alignment horizontal="center" vertical="center"/>
    </xf>
    <xf numFmtId="0" fontId="21" fillId="10" borderId="129" xfId="0" applyFont="1" applyFill="1" applyBorder="1" applyAlignment="1" applyProtection="1">
      <alignment horizontal="center" vertical="center"/>
      <protection locked="0"/>
    </xf>
    <xf numFmtId="0" fontId="21" fillId="10" borderId="130" xfId="0" applyFont="1" applyFill="1" applyBorder="1" applyAlignment="1" applyProtection="1">
      <alignment horizontal="center" vertical="center"/>
      <protection locked="0"/>
    </xf>
    <xf numFmtId="0" fontId="21" fillId="0" borderId="205" xfId="0" applyFont="1" applyBorder="1" applyAlignment="1">
      <alignment horizontal="center" vertical="center"/>
    </xf>
    <xf numFmtId="0" fontId="14" fillId="9" borderId="114" xfId="0" applyFont="1" applyFill="1" applyBorder="1" applyAlignment="1">
      <alignment horizontal="center" vertical="center"/>
    </xf>
    <xf numFmtId="167" fontId="21" fillId="0" borderId="149" xfId="0" applyNumberFormat="1" applyFont="1" applyBorder="1" applyAlignment="1">
      <alignment horizontal="center" vertical="center"/>
    </xf>
    <xf numFmtId="167" fontId="21" fillId="0" borderId="50" xfId="0" applyNumberFormat="1" applyFont="1" applyBorder="1" applyAlignment="1">
      <alignment horizontal="center" vertical="center"/>
    </xf>
    <xf numFmtId="167" fontId="21" fillId="0" borderId="52" xfId="0" applyNumberFormat="1" applyFont="1" applyBorder="1" applyAlignment="1">
      <alignment horizontal="center" vertical="center"/>
    </xf>
    <xf numFmtId="0" fontId="14" fillId="0" borderId="41"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206" xfId="0" applyFont="1" applyFill="1" applyBorder="1" applyAlignment="1" applyProtection="1">
      <alignment horizontal="center" vertical="center"/>
      <protection locked="0"/>
    </xf>
    <xf numFmtId="0" fontId="20" fillId="10" borderId="207" xfId="0" applyFont="1" applyFill="1" applyBorder="1" applyAlignment="1" applyProtection="1">
      <alignment horizontal="center" vertical="center"/>
      <protection locked="0"/>
    </xf>
    <xf numFmtId="0" fontId="20" fillId="10" borderId="208" xfId="0" applyFont="1" applyFill="1" applyBorder="1" applyAlignment="1" applyProtection="1">
      <alignment horizontal="center" vertical="center"/>
      <protection locked="0"/>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10" borderId="201" xfId="0" applyFont="1" applyFill="1" applyBorder="1" applyAlignment="1" applyProtection="1">
      <alignment horizontal="center" vertical="center"/>
      <protection locked="0"/>
    </xf>
    <xf numFmtId="0" fontId="18" fillId="0" borderId="194" xfId="0" applyFont="1" applyBorder="1" applyAlignment="1">
      <alignment vertical="center"/>
    </xf>
    <xf numFmtId="0" fontId="21" fillId="0" borderId="210"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213" xfId="0" applyFont="1" applyBorder="1" applyAlignment="1">
      <alignment horizontal="center" vertical="center"/>
    </xf>
    <xf numFmtId="0" fontId="62" fillId="0" borderId="213" xfId="0" applyFont="1" applyBorder="1" applyAlignment="1">
      <alignment horizontal="center" vertical="center"/>
    </xf>
    <xf numFmtId="0" fontId="20" fillId="0" borderId="214" xfId="0" applyFont="1" applyBorder="1" applyAlignment="1">
      <alignment horizontal="left" vertical="center"/>
    </xf>
    <xf numFmtId="0" fontId="20" fillId="0" borderId="143" xfId="0" applyFont="1" applyBorder="1" applyAlignment="1">
      <alignment horizontal="center" vertical="center"/>
    </xf>
    <xf numFmtId="0" fontId="20" fillId="0" borderId="215" xfId="0" applyFont="1" applyBorder="1" applyAlignment="1">
      <alignment horizontal="left" vertical="center"/>
    </xf>
    <xf numFmtId="0" fontId="20" fillId="10" borderId="214" xfId="0" applyFont="1" applyFill="1" applyBorder="1" applyAlignment="1" applyProtection="1">
      <alignment horizontal="center" vertical="center"/>
      <protection locked="0"/>
    </xf>
    <xf numFmtId="0" fontId="20" fillId="10" borderId="143" xfId="0" applyFont="1" applyFill="1" applyBorder="1" applyAlignment="1">
      <alignment horizontal="center" vertical="center"/>
    </xf>
    <xf numFmtId="0" fontId="20" fillId="10" borderId="143" xfId="0" applyFont="1" applyFill="1" applyBorder="1" applyAlignment="1" applyProtection="1">
      <alignment horizontal="center" vertical="center"/>
      <protection locked="0"/>
    </xf>
    <xf numFmtId="0" fontId="20" fillId="10" borderId="216" xfId="0" applyFont="1" applyFill="1" applyBorder="1" applyAlignment="1" applyProtection="1">
      <alignment horizontal="center" vertical="center"/>
      <protection locked="0"/>
    </xf>
    <xf numFmtId="0" fontId="20" fillId="10" borderId="144" xfId="0" applyFont="1" applyFill="1" applyBorder="1" applyAlignment="1" applyProtection="1">
      <alignment horizontal="center" vertical="center"/>
      <protection locked="0"/>
    </xf>
    <xf numFmtId="0" fontId="21" fillId="0" borderId="48" xfId="0" applyFont="1" applyBorder="1" applyAlignment="1">
      <alignment horizontal="center" vertical="center"/>
    </xf>
    <xf numFmtId="0" fontId="20" fillId="10" borderId="57" xfId="0" applyFont="1" applyFill="1" applyBorder="1" applyAlignment="1">
      <alignment horizontal="center" vertical="center"/>
    </xf>
    <xf numFmtId="0" fontId="21" fillId="10" borderId="194" xfId="0" applyFont="1" applyFill="1" applyBorder="1" applyAlignment="1" applyProtection="1">
      <alignment horizontal="center" vertical="center"/>
      <protection locked="0"/>
    </xf>
    <xf numFmtId="0" fontId="21" fillId="0" borderId="111" xfId="0" applyFont="1" applyBorder="1" applyAlignment="1">
      <alignment horizontal="center" vertical="center"/>
    </xf>
    <xf numFmtId="0" fontId="62" fillId="0" borderId="111" xfId="0" applyFont="1" applyBorder="1" applyAlignment="1">
      <alignment horizontal="center" vertical="center"/>
    </xf>
    <xf numFmtId="0" fontId="20" fillId="0" borderId="217" xfId="0" applyFont="1" applyBorder="1" applyAlignment="1">
      <alignment horizontal="left" vertical="center"/>
    </xf>
    <xf numFmtId="0" fontId="20" fillId="0" borderId="115" xfId="0" applyFont="1" applyBorder="1" applyAlignment="1">
      <alignment horizontal="left" vertical="center"/>
    </xf>
    <xf numFmtId="0" fontId="20" fillId="10" borderId="217" xfId="0" applyFont="1" applyFill="1" applyBorder="1" applyAlignment="1" applyProtection="1">
      <alignment horizontal="center" vertical="center"/>
      <protection locked="0"/>
    </xf>
    <xf numFmtId="0" fontId="20" fillId="10" borderId="121" xfId="0" applyFont="1" applyFill="1" applyBorder="1" applyAlignment="1">
      <alignment horizontal="center" vertical="center"/>
    </xf>
    <xf numFmtId="0" fontId="20" fillId="10" borderId="121" xfId="0" applyFont="1" applyFill="1" applyBorder="1" applyAlignment="1" applyProtection="1">
      <alignment horizontal="center" vertical="center"/>
      <protection locked="0"/>
    </xf>
    <xf numFmtId="0" fontId="20" fillId="10" borderId="218" xfId="0" applyFont="1" applyFill="1" applyBorder="1" applyAlignment="1" applyProtection="1">
      <alignment horizontal="center" vertical="center"/>
      <protection locked="0"/>
    </xf>
    <xf numFmtId="0" fontId="20" fillId="10" borderId="219" xfId="0" applyFont="1" applyFill="1" applyBorder="1" applyAlignment="1" applyProtection="1">
      <alignment horizontal="center" vertical="center"/>
      <protection locked="0"/>
    </xf>
    <xf numFmtId="0" fontId="20" fillId="10" borderId="220" xfId="0" applyFont="1" applyFill="1" applyBorder="1" applyAlignment="1" applyProtection="1">
      <alignment horizontal="center" vertical="center"/>
      <protection locked="0"/>
    </xf>
    <xf numFmtId="164" fontId="6" fillId="0" borderId="141" xfId="0" applyNumberFormat="1" applyFont="1" applyBorder="1" applyAlignment="1">
      <alignment vertical="center" shrinkToFit="1"/>
    </xf>
    <xf numFmtId="0" fontId="6" fillId="0" borderId="140" xfId="0" applyFont="1" applyBorder="1" applyAlignment="1">
      <alignment horizontal="left" vertical="center" shrinkToFit="1"/>
    </xf>
    <xf numFmtId="164" fontId="6" fillId="0" borderId="44" xfId="0" applyNumberFormat="1" applyFont="1" applyBorder="1" applyAlignment="1">
      <alignment vertical="center" shrinkToFit="1"/>
    </xf>
    <xf numFmtId="0" fontId="6" fillId="0" borderId="46" xfId="0" applyFont="1" applyBorder="1" applyAlignment="1">
      <alignment horizontal="left" vertical="center" shrinkToFit="1"/>
    </xf>
    <xf numFmtId="164" fontId="6" fillId="0" borderId="47" xfId="0" applyNumberFormat="1" applyFont="1" applyBorder="1" applyAlignment="1">
      <alignment vertical="center" shrinkToFit="1"/>
    </xf>
    <xf numFmtId="0" fontId="6" fillId="0" borderId="49" xfId="0" applyFont="1" applyBorder="1" applyAlignment="1">
      <alignment horizontal="left" vertical="center" shrinkToFit="1"/>
    </xf>
    <xf numFmtId="0" fontId="21" fillId="0" borderId="41"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44" xfId="0" applyNumberFormat="1" applyFont="1" applyBorder="1" applyAlignment="1">
      <alignment horizontal="center" vertical="center"/>
    </xf>
    <xf numFmtId="0" fontId="21" fillId="0" borderId="47" xfId="0" applyNumberFormat="1" applyFont="1" applyBorder="1" applyAlignment="1">
      <alignment horizontal="center" vertical="center"/>
    </xf>
    <xf numFmtId="0" fontId="21" fillId="0" borderId="221" xfId="0" applyNumberFormat="1" applyFont="1" applyBorder="1" applyAlignment="1">
      <alignment horizontal="center" vertical="center"/>
    </xf>
    <xf numFmtId="0" fontId="21" fillId="0" borderId="145" xfId="0" applyNumberFormat="1" applyFont="1" applyBorder="1" applyAlignment="1">
      <alignment horizontal="center" vertical="center"/>
    </xf>
    <xf numFmtId="0" fontId="21" fillId="0" borderId="202" xfId="0" applyNumberFormat="1" applyFont="1" applyBorder="1" applyAlignment="1">
      <alignment horizontal="center" vertical="center"/>
    </xf>
    <xf numFmtId="167" fontId="21" fillId="0" borderId="111"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8" xfId="0" applyNumberFormat="1" applyFont="1" applyBorder="1" applyAlignment="1">
      <alignment horizontal="center" vertical="center"/>
    </xf>
    <xf numFmtId="0" fontId="21" fillId="0" borderId="142" xfId="0" applyNumberFormat="1" applyFont="1" applyBorder="1" applyAlignment="1">
      <alignment horizontal="center" vertical="center"/>
    </xf>
    <xf numFmtId="167" fontId="21" fillId="0" borderId="213" xfId="0" applyNumberFormat="1" applyFont="1" applyBorder="1" applyAlignment="1">
      <alignment horizontal="center" vertical="center"/>
    </xf>
    <xf numFmtId="0" fontId="21" fillId="0" borderId="58" xfId="0" applyNumberFormat="1" applyFont="1" applyBorder="1" applyAlignment="1">
      <alignment horizontal="center" vertical="center"/>
    </xf>
    <xf numFmtId="0" fontId="14" fillId="9" borderId="151" xfId="0" applyFont="1" applyFill="1" applyBorder="1" applyAlignment="1">
      <alignment horizontal="center" vertical="center"/>
    </xf>
    <xf numFmtId="164" fontId="20" fillId="18" borderId="142" xfId="0" applyNumberFormat="1" applyFont="1" applyFill="1" applyBorder="1" applyAlignment="1">
      <alignment horizontal="center" vertical="center"/>
    </xf>
    <xf numFmtId="164" fontId="20" fillId="19" borderId="145" xfId="0" applyNumberFormat="1" applyFont="1" applyFill="1" applyBorder="1" applyAlignment="1">
      <alignment horizontal="center" vertical="center"/>
    </xf>
    <xf numFmtId="164" fontId="20" fillId="11" borderId="145" xfId="0" applyNumberFormat="1" applyFont="1" applyFill="1" applyBorder="1" applyAlignment="1">
      <alignment horizontal="center" vertical="center"/>
    </xf>
    <xf numFmtId="164" fontId="20" fillId="0" borderId="145" xfId="0" applyNumberFormat="1" applyFont="1" applyBorder="1" applyAlignment="1">
      <alignment horizontal="center" vertical="center"/>
    </xf>
    <xf numFmtId="164" fontId="20" fillId="0" borderId="202" xfId="0" applyNumberFormat="1" applyFont="1" applyBorder="1" applyAlignment="1">
      <alignment horizontal="center" vertical="center"/>
    </xf>
    <xf numFmtId="0" fontId="18" fillId="0" borderId="0" xfId="0" applyFont="1" applyFill="1" applyBorder="1" applyProtection="1"/>
    <xf numFmtId="0" fontId="0" fillId="0" borderId="0" xfId="0" applyFill="1" applyBorder="1"/>
    <xf numFmtId="0" fontId="18" fillId="0" borderId="0" xfId="0" applyFont="1" applyFill="1" applyBorder="1" applyAlignment="1" applyProtection="1">
      <alignment horizontal="center" vertical="center"/>
    </xf>
    <xf numFmtId="165" fontId="20" fillId="0" borderId="0" xfId="0" applyNumberFormat="1" applyFont="1" applyBorder="1" applyAlignment="1">
      <alignment horizontal="left" vertical="center"/>
    </xf>
    <xf numFmtId="0" fontId="0" fillId="0" borderId="225" xfId="0" applyBorder="1" applyAlignment="1">
      <alignment horizontal="center" vertical="center"/>
    </xf>
    <xf numFmtId="0" fontId="0" fillId="0" borderId="226" xfId="0" applyBorder="1" applyAlignment="1">
      <alignment horizontal="center" vertical="center"/>
    </xf>
    <xf numFmtId="0" fontId="0" fillId="0" borderId="227" xfId="0" applyBorder="1" applyAlignment="1">
      <alignment horizontal="center" vertical="center"/>
    </xf>
    <xf numFmtId="0" fontId="0" fillId="0" borderId="228" xfId="0" applyBorder="1" applyAlignment="1">
      <alignment horizontal="center" vertical="center"/>
    </xf>
    <xf numFmtId="0" fontId="0" fillId="0" borderId="231"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5" xfId="0" applyFont="1" applyFill="1" applyBorder="1" applyAlignment="1">
      <alignment horizontal="center" vertical="center" shrinkToFit="1"/>
    </xf>
    <xf numFmtId="0" fontId="21" fillId="15" borderId="150" xfId="0" applyFont="1" applyFill="1" applyBorder="1" applyAlignment="1" applyProtection="1"/>
    <xf numFmtId="0" fontId="21" fillId="15" borderId="203" xfId="0" applyFont="1" applyFill="1" applyBorder="1" applyAlignment="1" applyProtection="1"/>
    <xf numFmtId="164" fontId="15" fillId="0" borderId="44" xfId="0" applyNumberFormat="1" applyFont="1" applyBorder="1" applyAlignment="1">
      <alignment horizontal="center" vertical="center" shrinkToFit="1"/>
    </xf>
    <xf numFmtId="164" fontId="15" fillId="0" borderId="47" xfId="0" applyNumberFormat="1" applyFont="1" applyBorder="1" applyAlignment="1">
      <alignment horizontal="center" vertical="center" shrinkToFit="1"/>
    </xf>
    <xf numFmtId="0" fontId="6" fillId="0" borderId="45" xfId="0" applyFont="1" applyBorder="1" applyAlignment="1">
      <alignment horizontal="left" vertical="center" shrinkToFit="1"/>
    </xf>
    <xf numFmtId="0" fontId="6" fillId="0" borderId="48" xfId="0" applyFont="1" applyBorder="1" applyAlignment="1">
      <alignment horizontal="left" vertical="center" shrinkToFit="1"/>
    </xf>
    <xf numFmtId="164" fontId="15" fillId="0" borderId="58" xfId="0" applyNumberFormat="1" applyFont="1" applyBorder="1" applyAlignment="1">
      <alignment horizontal="center" vertical="center" shrinkToFit="1"/>
    </xf>
    <xf numFmtId="0" fontId="6" fillId="0" borderId="204" xfId="0" applyFont="1" applyBorder="1" applyAlignment="1">
      <alignment horizontal="left" vertical="center" shrinkToFit="1"/>
    </xf>
    <xf numFmtId="0" fontId="14" fillId="9" borderId="151" xfId="0" applyFont="1" applyFill="1" applyBorder="1" applyAlignment="1">
      <alignment horizontal="center" vertical="center" shrinkToFit="1"/>
    </xf>
    <xf numFmtId="0" fontId="14" fillId="9" borderId="112" xfId="0" applyFont="1" applyFill="1" applyBorder="1" applyAlignment="1">
      <alignment vertical="center" shrinkToFit="1"/>
    </xf>
    <xf numFmtId="0" fontId="14" fillId="9" borderId="134" xfId="0" applyFont="1" applyFill="1" applyBorder="1" applyAlignment="1">
      <alignment horizontal="center" vertical="center" shrinkToFit="1"/>
    </xf>
    <xf numFmtId="0" fontId="5" fillId="0" borderId="0" xfId="0" applyFont="1" applyAlignment="1">
      <alignment wrapText="1"/>
    </xf>
    <xf numFmtId="0" fontId="6" fillId="10" borderId="59" xfId="0" applyFont="1" applyFill="1" applyBorder="1" applyAlignment="1" applyProtection="1">
      <alignment horizontal="center" vertical="center"/>
      <protection locked="0"/>
    </xf>
    <xf numFmtId="0" fontId="6" fillId="10" borderId="46" xfId="0" applyFont="1" applyFill="1" applyBorder="1" applyAlignment="1" applyProtection="1">
      <alignment horizontal="center" vertical="center"/>
      <protection locked="0"/>
    </xf>
    <xf numFmtId="0" fontId="6" fillId="10" borderId="49" xfId="0" applyFont="1" applyFill="1" applyBorder="1" applyAlignment="1" applyProtection="1">
      <alignment horizontal="center" vertical="center"/>
      <protection locked="0"/>
    </xf>
    <xf numFmtId="0" fontId="0" fillId="0" borderId="0" xfId="0" applyAlignment="1">
      <alignment horizontal="center" vertical="center"/>
    </xf>
    <xf numFmtId="0" fontId="20" fillId="0" borderId="240" xfId="0" applyFont="1" applyBorder="1" applyAlignment="1">
      <alignment horizontal="center" vertical="center"/>
    </xf>
    <xf numFmtId="0" fontId="18" fillId="0" borderId="0" xfId="0" applyFont="1" applyAlignment="1">
      <alignment horizontal="center" vertical="top"/>
    </xf>
    <xf numFmtId="0" fontId="23" fillId="0" borderId="58" xfId="0" applyNumberFormat="1" applyFont="1" applyBorder="1" applyAlignment="1">
      <alignment horizontal="center" vertical="center"/>
    </xf>
    <xf numFmtId="0" fontId="23" fillId="0" borderId="44" xfId="0" applyNumberFormat="1" applyFont="1" applyBorder="1" applyAlignment="1">
      <alignment horizontal="center" vertical="center"/>
    </xf>
    <xf numFmtId="0" fontId="23" fillId="0" borderId="47" xfId="0" applyNumberFormat="1" applyFont="1" applyBorder="1" applyAlignment="1">
      <alignment horizontal="center" vertical="center"/>
    </xf>
    <xf numFmtId="0" fontId="21" fillId="10" borderId="241" xfId="0" applyFont="1" applyFill="1" applyBorder="1" applyAlignment="1" applyProtection="1">
      <alignment horizontal="center"/>
      <protection locked="0"/>
    </xf>
    <xf numFmtId="0" fontId="6" fillId="0" borderId="121" xfId="0" applyFont="1" applyBorder="1" applyAlignment="1">
      <alignment horizontal="center" vertical="center" shrinkToFit="1"/>
    </xf>
    <xf numFmtId="0" fontId="6" fillId="10" borderId="121" xfId="0" applyFont="1" applyFill="1" applyBorder="1" applyAlignment="1">
      <alignment horizontal="center" vertical="center" shrinkToFit="1"/>
    </xf>
    <xf numFmtId="0" fontId="6" fillId="10" borderId="219" xfId="0" applyFont="1" applyFill="1" applyBorder="1" applyAlignment="1" applyProtection="1">
      <alignment horizontal="left" vertical="center" shrinkToFit="1"/>
      <protection locked="0"/>
    </xf>
    <xf numFmtId="0" fontId="6" fillId="10" borderId="56" xfId="0" applyFont="1" applyFill="1" applyBorder="1" applyAlignment="1">
      <alignment horizontal="center" vertical="center" shrinkToFit="1"/>
    </xf>
    <xf numFmtId="0" fontId="6" fillId="10" borderId="70" xfId="0" applyFont="1" applyFill="1" applyBorder="1" applyAlignment="1" applyProtection="1">
      <alignment horizontal="left" vertical="center" shrinkToFit="1"/>
      <protection locked="0"/>
    </xf>
    <xf numFmtId="0" fontId="6" fillId="10" borderId="57" xfId="0" applyFont="1" applyFill="1" applyBorder="1" applyAlignment="1">
      <alignment horizontal="center" vertical="center" shrinkToFit="1"/>
    </xf>
    <xf numFmtId="0" fontId="6" fillId="10" borderId="203" xfId="0" applyFont="1" applyFill="1" applyBorder="1" applyAlignment="1" applyProtection="1">
      <alignment horizontal="left" vertical="center" shrinkToFit="1"/>
      <protection locked="0"/>
    </xf>
    <xf numFmtId="0" fontId="13" fillId="0" borderId="221" xfId="0" applyFont="1" applyBorder="1" applyAlignment="1">
      <alignment horizontal="center" vertical="center" shrinkToFit="1"/>
    </xf>
    <xf numFmtId="0" fontId="13" fillId="0" borderId="145" xfId="0" applyFont="1" applyBorder="1" applyAlignment="1">
      <alignment horizontal="center" vertical="center" shrinkToFit="1"/>
    </xf>
    <xf numFmtId="0" fontId="13" fillId="0" borderId="202" xfId="0" applyFont="1" applyBorder="1" applyAlignment="1">
      <alignment horizontal="center" vertical="center" shrinkToFit="1"/>
    </xf>
    <xf numFmtId="0" fontId="6" fillId="10" borderId="121" xfId="0" applyFont="1" applyFill="1" applyBorder="1" applyAlignment="1" applyProtection="1">
      <alignment horizontal="right" vertical="center" shrinkToFit="1"/>
      <protection locked="0"/>
    </xf>
    <xf numFmtId="0" fontId="6" fillId="10" borderId="56" xfId="0" applyFont="1" applyFill="1" applyBorder="1" applyAlignment="1" applyProtection="1">
      <alignment horizontal="right" vertical="center" shrinkToFit="1"/>
      <protection locked="0"/>
    </xf>
    <xf numFmtId="0" fontId="6" fillId="10" borderId="57" xfId="0" applyFont="1" applyFill="1" applyBorder="1" applyAlignment="1" applyProtection="1">
      <alignment horizontal="right" vertical="center" shrinkToFit="1"/>
      <protection locked="0"/>
    </xf>
    <xf numFmtId="0" fontId="6" fillId="0" borderId="217" xfId="0" applyFont="1" applyBorder="1" applyAlignment="1">
      <alignment vertical="center" shrinkToFit="1"/>
    </xf>
    <xf numFmtId="0" fontId="6" fillId="0" borderId="51" xfId="0" applyFont="1" applyBorder="1" applyAlignment="1">
      <alignment vertical="center" shrinkToFit="1"/>
    </xf>
    <xf numFmtId="0" fontId="6" fillId="0" borderId="53" xfId="0" applyFont="1" applyBorder="1" applyAlignment="1">
      <alignment vertical="center" shrinkToFit="1"/>
    </xf>
    <xf numFmtId="0" fontId="6" fillId="0" borderId="115" xfId="0" applyFont="1" applyBorder="1" applyAlignment="1">
      <alignment vertical="center" shrinkToFit="1"/>
    </xf>
    <xf numFmtId="0" fontId="6" fillId="0" borderId="50" xfId="0" applyFont="1" applyBorder="1" applyAlignment="1">
      <alignment vertical="center" shrinkToFit="1"/>
    </xf>
    <xf numFmtId="0" fontId="6" fillId="0" borderId="52" xfId="0" applyFont="1" applyBorder="1" applyAlignment="1">
      <alignment vertical="center" shrinkToFit="1"/>
    </xf>
    <xf numFmtId="0" fontId="20" fillId="0" borderId="0" xfId="0" applyNumberFormat="1" applyFont="1" applyBorder="1" applyAlignment="1">
      <alignment horizontal="left" vertical="center"/>
    </xf>
    <xf numFmtId="0" fontId="21" fillId="0" borderId="126"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242" xfId="0" applyFont="1" applyBorder="1" applyAlignment="1">
      <alignment horizontal="center" vertical="center"/>
    </xf>
    <xf numFmtId="0" fontId="20" fillId="0" borderId="243" xfId="0" applyFont="1" applyBorder="1" applyAlignment="1">
      <alignment horizontal="center" vertical="center"/>
    </xf>
    <xf numFmtId="0" fontId="20" fillId="0" borderId="244" xfId="0" applyFont="1" applyBorder="1" applyAlignment="1">
      <alignment horizontal="center" vertical="center"/>
    </xf>
    <xf numFmtId="0" fontId="70" fillId="8" borderId="222" xfId="0" applyFont="1" applyFill="1" applyBorder="1" applyAlignment="1" applyProtection="1">
      <alignment horizontal="center" vertical="center"/>
      <protection locked="0"/>
    </xf>
    <xf numFmtId="0" fontId="70" fillId="8" borderId="223" xfId="0" applyFont="1" applyFill="1" applyBorder="1" applyAlignment="1" applyProtection="1">
      <alignment horizontal="center" vertical="center"/>
      <protection locked="0"/>
    </xf>
    <xf numFmtId="0" fontId="70" fillId="8" borderId="229" xfId="0" applyFont="1" applyFill="1" applyBorder="1" applyAlignment="1" applyProtection="1">
      <alignment horizontal="center" vertical="center"/>
      <protection locked="0"/>
    </xf>
    <xf numFmtId="0" fontId="70" fillId="8" borderId="224" xfId="0" applyFont="1" applyFill="1" applyBorder="1" applyAlignment="1" applyProtection="1">
      <alignment horizontal="center" vertical="center"/>
      <protection locked="0"/>
    </xf>
    <xf numFmtId="0" fontId="70" fillId="0" borderId="45" xfId="0" applyFont="1" applyBorder="1" applyAlignment="1" applyProtection="1">
      <alignment horizontal="center" vertical="center"/>
      <protection locked="0"/>
    </xf>
    <xf numFmtId="0" fontId="70" fillId="0" borderId="230" xfId="0" applyFont="1" applyBorder="1" applyAlignment="1" applyProtection="1">
      <alignment horizontal="center" vertical="center"/>
      <protection locked="0"/>
    </xf>
    <xf numFmtId="0" fontId="70" fillId="8" borderId="232" xfId="0" applyFont="1" applyFill="1" applyBorder="1" applyAlignment="1" applyProtection="1">
      <alignment horizontal="center" vertical="center"/>
      <protection locked="0"/>
    </xf>
    <xf numFmtId="0" fontId="70" fillId="0" borderId="233" xfId="0" applyFont="1" applyBorder="1" applyAlignment="1" applyProtection="1">
      <alignment horizontal="center" vertical="center"/>
      <protection locked="0"/>
    </xf>
    <xf numFmtId="0" fontId="70" fillId="0" borderId="234" xfId="0" applyFont="1" applyBorder="1" applyAlignment="1" applyProtection="1">
      <alignment horizontal="center" vertical="center"/>
      <protection locked="0"/>
    </xf>
    <xf numFmtId="0" fontId="0" fillId="0" borderId="254" xfId="0" applyBorder="1"/>
    <xf numFmtId="0" fontId="0" fillId="0" borderId="254"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55" xfId="0" applyFont="1" applyBorder="1" applyAlignment="1">
      <alignment horizontal="center" vertical="center"/>
    </xf>
    <xf numFmtId="165" fontId="18" fillId="0" borderId="0" xfId="0" applyNumberFormat="1" applyFont="1" applyAlignment="1">
      <alignment horizontal="right" indent="1"/>
    </xf>
    <xf numFmtId="0" fontId="21" fillId="0" borderId="239" xfId="0" applyNumberFormat="1" applyFont="1" applyBorder="1" applyAlignment="1">
      <alignment horizontal="center" vertical="center"/>
    </xf>
    <xf numFmtId="167" fontId="21" fillId="0" borderId="204" xfId="0" applyNumberFormat="1" applyFont="1" applyBorder="1" applyAlignment="1">
      <alignment horizontal="center" vertical="center"/>
    </xf>
    <xf numFmtId="0" fontId="20" fillId="10" borderId="256" xfId="0" applyFont="1" applyFill="1" applyBorder="1" applyAlignment="1" applyProtection="1">
      <alignment horizontal="center" vertical="center"/>
      <protection locked="0"/>
    </xf>
    <xf numFmtId="0" fontId="21" fillId="15" borderId="70" xfId="0" applyFont="1" applyFill="1" applyBorder="1" applyAlignment="1" applyProtection="1"/>
    <xf numFmtId="0" fontId="18" fillId="15" borderId="239" xfId="0" applyFont="1" applyFill="1" applyBorder="1" applyAlignment="1" applyProtection="1">
      <alignment horizontal="left" vertical="center" indent="1" shrinkToFit="1"/>
    </xf>
    <xf numFmtId="0" fontId="18" fillId="15" borderId="145" xfId="0" applyFont="1" applyFill="1" applyBorder="1" applyAlignment="1" applyProtection="1">
      <alignment horizontal="left" vertical="center" indent="1" shrinkToFit="1"/>
    </xf>
    <xf numFmtId="0" fontId="18" fillId="15" borderId="202" xfId="0" applyFont="1" applyFill="1" applyBorder="1" applyAlignment="1" applyProtection="1">
      <alignment horizontal="left" vertical="center" indent="1" shrinkToFit="1"/>
    </xf>
    <xf numFmtId="167" fontId="53" fillId="15" borderId="148" xfId="0" applyNumberFormat="1" applyFont="1" applyFill="1" applyBorder="1" applyAlignment="1" applyProtection="1">
      <alignment horizontal="right" indent="1"/>
    </xf>
    <xf numFmtId="167" fontId="53" fillId="15" borderId="56" xfId="0" applyNumberFormat="1" applyFont="1" applyFill="1" applyBorder="1" applyAlignment="1" applyProtection="1">
      <alignment horizontal="right" indent="1"/>
    </xf>
    <xf numFmtId="167" fontId="53" fillId="15" borderId="57" xfId="0" applyNumberFormat="1" applyFont="1" applyFill="1" applyBorder="1" applyAlignment="1" applyProtection="1">
      <alignment horizontal="right" indent="1"/>
    </xf>
    <xf numFmtId="49" fontId="24" fillId="0" borderId="58" xfId="0" applyNumberFormat="1" applyFont="1" applyBorder="1" applyAlignment="1">
      <alignment horizontal="center" vertical="center"/>
    </xf>
    <xf numFmtId="49" fontId="24" fillId="0" borderId="60" xfId="0" applyNumberFormat="1" applyFont="1" applyBorder="1" applyAlignment="1">
      <alignment horizontal="center" vertical="center"/>
    </xf>
    <xf numFmtId="0" fontId="42" fillId="0" borderId="72" xfId="0" applyNumberFormat="1" applyFont="1" applyFill="1" applyBorder="1" applyAlignment="1" applyProtection="1">
      <alignment horizontal="center" vertical="center"/>
      <protection hidden="1"/>
    </xf>
    <xf numFmtId="49" fontId="24" fillId="0" borderId="58" xfId="0" applyNumberFormat="1" applyFont="1" applyBorder="1" applyAlignment="1">
      <alignment horizontal="center" vertical="center"/>
    </xf>
    <xf numFmtId="49" fontId="24" fillId="0" borderId="60" xfId="0" applyNumberFormat="1" applyFont="1" applyBorder="1" applyAlignment="1">
      <alignment horizontal="center" vertical="center"/>
    </xf>
    <xf numFmtId="0" fontId="14" fillId="9" borderId="54"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31" xfId="0" applyFont="1" applyFill="1" applyBorder="1" applyAlignment="1">
      <alignment horizontal="center" vertical="center"/>
    </xf>
    <xf numFmtId="0" fontId="20" fillId="0" borderId="56" xfId="0" applyFont="1" applyBorder="1" applyAlignment="1">
      <alignment horizontal="left" vertical="center"/>
    </xf>
    <xf numFmtId="0" fontId="14" fillId="9" borderId="257" xfId="0" applyFont="1" applyFill="1" applyBorder="1" applyAlignment="1">
      <alignment horizontal="center" vertical="center"/>
    </xf>
    <xf numFmtId="0" fontId="19" fillId="9" borderId="151" xfId="0" applyFont="1" applyFill="1" applyBorder="1" applyAlignment="1">
      <alignment vertical="center"/>
    </xf>
    <xf numFmtId="0" fontId="19" fillId="9" borderId="134" xfId="0" applyFont="1" applyFill="1" applyBorder="1" applyAlignment="1">
      <alignment vertical="center" shrinkToFit="1"/>
    </xf>
    <xf numFmtId="164" fontId="6" fillId="0" borderId="141" xfId="0" applyNumberFormat="1" applyFont="1" applyBorder="1" applyAlignment="1">
      <alignment horizontal="center" vertical="center" shrinkToFit="1"/>
    </xf>
    <xf numFmtId="0" fontId="6" fillId="0" borderId="141" xfId="0" applyFont="1" applyBorder="1" applyAlignment="1">
      <alignment horizontal="center" vertical="center" shrinkToFit="1"/>
    </xf>
    <xf numFmtId="0" fontId="6" fillId="0" borderId="139" xfId="0" applyFont="1" applyBorder="1" applyAlignment="1">
      <alignment horizontal="center" vertical="center"/>
    </xf>
    <xf numFmtId="0" fontId="20" fillId="0" borderId="59" xfId="0" applyFont="1" applyFill="1" applyBorder="1" applyAlignment="1" applyProtection="1">
      <alignment vertical="center" shrinkToFit="1"/>
    </xf>
    <xf numFmtId="164" fontId="6" fillId="0" borderId="44" xfId="0" applyNumberFormat="1" applyFont="1" applyBorder="1" applyAlignment="1">
      <alignment horizontal="center" vertical="center" shrinkToFit="1"/>
    </xf>
    <xf numFmtId="0" fontId="6" fillId="0" borderId="56" xfId="0" applyFont="1" applyBorder="1" applyAlignment="1">
      <alignment horizontal="center" vertical="center"/>
    </xf>
    <xf numFmtId="49" fontId="24" fillId="0" borderId="44" xfId="0" applyNumberFormat="1" applyFont="1" applyBorder="1" applyAlignment="1">
      <alignment horizontal="center" vertical="center"/>
    </xf>
    <xf numFmtId="0" fontId="20" fillId="0" borderId="46" xfId="0" applyFont="1" applyFill="1" applyBorder="1" applyAlignment="1" applyProtection="1">
      <alignment vertical="center" shrinkToFit="1"/>
    </xf>
    <xf numFmtId="164" fontId="6" fillId="0" borderId="47" xfId="0" applyNumberFormat="1" applyFont="1" applyBorder="1" applyAlignment="1">
      <alignment horizontal="center" vertical="center" shrinkToFit="1"/>
    </xf>
    <xf numFmtId="0" fontId="6" fillId="0" borderId="57" xfId="0" applyFont="1" applyBorder="1" applyAlignment="1">
      <alignment horizontal="center" vertical="center"/>
    </xf>
    <xf numFmtId="49" fontId="24" fillId="0" borderId="47" xfId="0" applyNumberFormat="1" applyFont="1" applyBorder="1" applyAlignment="1">
      <alignment horizontal="center" vertical="center"/>
    </xf>
    <xf numFmtId="0" fontId="20" fillId="0" borderId="49"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63"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0" borderId="264" xfId="0" applyFont="1" applyFill="1" applyBorder="1" applyAlignment="1" applyProtection="1">
      <alignment horizontal="center" vertical="center"/>
    </xf>
    <xf numFmtId="0" fontId="7" fillId="0" borderId="265" xfId="0" applyNumberFormat="1" applyFont="1" applyFill="1" applyBorder="1" applyAlignment="1" applyProtection="1">
      <alignment horizontal="right" vertical="center" indent="1"/>
      <protection hidden="1"/>
    </xf>
    <xf numFmtId="0" fontId="7" fillId="0" borderId="266" xfId="0" applyNumberFormat="1" applyFont="1" applyFill="1" applyBorder="1" applyAlignment="1" applyProtection="1">
      <alignment horizontal="center" vertical="center"/>
      <protection hidden="1"/>
    </xf>
    <xf numFmtId="0" fontId="7" fillId="0" borderId="267" xfId="0" applyNumberFormat="1" applyFont="1" applyFill="1" applyBorder="1" applyAlignment="1" applyProtection="1">
      <alignment horizontal="center" vertical="center"/>
      <protection hidden="1"/>
    </xf>
    <xf numFmtId="0" fontId="7" fillId="0" borderId="268" xfId="0" applyNumberFormat="1" applyFont="1" applyFill="1" applyBorder="1" applyAlignment="1" applyProtection="1">
      <alignment horizontal="center" vertical="center"/>
      <protection hidden="1"/>
    </xf>
    <xf numFmtId="0" fontId="7" fillId="0" borderId="266" xfId="0" applyNumberFormat="1" applyFont="1" applyFill="1" applyBorder="1" applyAlignment="1" applyProtection="1">
      <alignment vertical="center"/>
      <protection hidden="1"/>
    </xf>
    <xf numFmtId="0" fontId="7" fillId="0" borderId="267" xfId="0" applyNumberFormat="1" applyFont="1" applyFill="1" applyBorder="1" applyAlignment="1" applyProtection="1">
      <alignment vertical="center"/>
      <protection hidden="1"/>
    </xf>
    <xf numFmtId="0" fontId="7" fillId="0" borderId="269" xfId="0" applyNumberFormat="1" applyFont="1" applyFill="1" applyBorder="1" applyAlignment="1" applyProtection="1">
      <alignment horizontal="center" vertical="center"/>
      <protection hidden="1"/>
    </xf>
    <xf numFmtId="0" fontId="7" fillId="0" borderId="270" xfId="0" applyNumberFormat="1" applyFont="1" applyFill="1" applyBorder="1" applyAlignment="1" applyProtection="1">
      <alignment horizontal="center" vertical="center"/>
      <protection hidden="1"/>
    </xf>
    <xf numFmtId="0" fontId="7" fillId="0" borderId="271" xfId="0" applyNumberFormat="1" applyFont="1" applyFill="1" applyBorder="1" applyAlignment="1" applyProtection="1">
      <alignment horizontal="right" vertical="center" indent="1"/>
      <protection hidden="1"/>
    </xf>
    <xf numFmtId="0" fontId="7" fillId="0" borderId="272" xfId="0" applyNumberFormat="1" applyFont="1" applyFill="1" applyBorder="1" applyAlignment="1" applyProtection="1">
      <alignment horizontal="center" vertical="center"/>
      <protection hidden="1"/>
    </xf>
    <xf numFmtId="0" fontId="7" fillId="0" borderId="273" xfId="0" applyNumberFormat="1" applyFont="1" applyFill="1" applyBorder="1" applyAlignment="1" applyProtection="1">
      <alignment horizontal="center" vertical="center"/>
      <protection hidden="1"/>
    </xf>
    <xf numFmtId="0" fontId="7" fillId="0" borderId="274" xfId="0" applyNumberFormat="1" applyFont="1" applyFill="1" applyBorder="1" applyAlignment="1" applyProtection="1">
      <alignment horizontal="center" vertical="center"/>
      <protection hidden="1"/>
    </xf>
    <xf numFmtId="0" fontId="7" fillId="0" borderId="272" xfId="0" applyNumberFormat="1" applyFont="1" applyFill="1" applyBorder="1" applyAlignment="1" applyProtection="1">
      <alignment vertical="center"/>
      <protection hidden="1"/>
    </xf>
    <xf numFmtId="0" fontId="7" fillId="0" borderId="273" xfId="0" applyNumberFormat="1" applyFont="1" applyFill="1" applyBorder="1" applyAlignment="1" applyProtection="1">
      <alignment vertical="center"/>
      <protection hidden="1"/>
    </xf>
    <xf numFmtId="0" fontId="7" fillId="0" borderId="275" xfId="0" applyNumberFormat="1" applyFont="1" applyFill="1" applyBorder="1" applyAlignment="1" applyProtection="1">
      <alignment horizontal="center" vertical="center"/>
      <protection hidden="1"/>
    </xf>
    <xf numFmtId="0" fontId="7" fillId="0" borderId="276" xfId="0" applyNumberFormat="1" applyFont="1" applyFill="1" applyBorder="1" applyAlignment="1" applyProtection="1">
      <alignment horizontal="center" vertical="center"/>
      <protection hidden="1"/>
    </xf>
    <xf numFmtId="0" fontId="21" fillId="17" borderId="51" xfId="0" applyFont="1" applyFill="1" applyBorder="1" applyAlignment="1">
      <alignment horizontal="right" vertical="center"/>
    </xf>
    <xf numFmtId="0" fontId="21" fillId="17" borderId="56" xfId="0" applyFont="1" applyFill="1" applyBorder="1" applyAlignment="1">
      <alignment horizontal="center" vertical="center"/>
    </xf>
    <xf numFmtId="0" fontId="21" fillId="17" borderId="50" xfId="0" applyFont="1" applyFill="1" applyBorder="1" applyAlignment="1">
      <alignment horizontal="left" vertical="center"/>
    </xf>
    <xf numFmtId="0" fontId="21" fillId="17" borderId="53" xfId="0" applyFont="1" applyFill="1" applyBorder="1" applyAlignment="1">
      <alignment horizontal="right" vertical="center"/>
    </xf>
    <xf numFmtId="0" fontId="21" fillId="17" borderId="57" xfId="0" applyFont="1" applyFill="1" applyBorder="1" applyAlignment="1">
      <alignment horizontal="center" vertical="center"/>
    </xf>
    <xf numFmtId="0" fontId="21" fillId="17" borderId="52" xfId="0" applyFont="1" applyFill="1" applyBorder="1" applyAlignment="1">
      <alignment horizontal="left" vertical="center"/>
    </xf>
    <xf numFmtId="0" fontId="21" fillId="0" borderId="45" xfId="0" applyFont="1" applyBorder="1" applyAlignment="1">
      <alignment horizontal="center" vertical="center"/>
    </xf>
    <xf numFmtId="0" fontId="18" fillId="0" borderId="0" xfId="0" quotePrefix="1" applyFont="1"/>
    <xf numFmtId="0" fontId="61" fillId="0" borderId="0" xfId="0" applyFont="1" applyBorder="1" applyAlignment="1">
      <alignment vertical="center"/>
    </xf>
    <xf numFmtId="0" fontId="61" fillId="0" borderId="280" xfId="0" applyFont="1" applyBorder="1" applyAlignment="1">
      <alignment vertical="center"/>
    </xf>
    <xf numFmtId="14" fontId="63" fillId="0" borderId="0" xfId="0" applyNumberFormat="1" applyFont="1" applyBorder="1" applyAlignment="1">
      <alignment vertical="center"/>
    </xf>
    <xf numFmtId="14" fontId="63" fillId="0" borderId="280" xfId="0" applyNumberFormat="1" applyFont="1" applyBorder="1" applyAlignment="1">
      <alignment vertical="center"/>
    </xf>
    <xf numFmtId="0" fontId="63" fillId="0" borderId="0" xfId="0" applyFont="1" applyBorder="1" applyAlignment="1">
      <alignment vertical="center"/>
    </xf>
    <xf numFmtId="0" fontId="63" fillId="0" borderId="280" xfId="0" applyFont="1" applyBorder="1" applyAlignment="1">
      <alignment vertical="center"/>
    </xf>
    <xf numFmtId="0" fontId="13" fillId="0" borderId="0" xfId="0" applyFont="1" applyAlignment="1">
      <alignment horizontal="center" vertical="center"/>
    </xf>
    <xf numFmtId="165" fontId="21" fillId="0" borderId="0" xfId="0" applyNumberFormat="1" applyFont="1" applyAlignment="1">
      <alignment horizontal="center" vertical="center"/>
    </xf>
    <xf numFmtId="165" fontId="14" fillId="9" borderId="287" xfId="0" applyNumberFormat="1" applyFont="1" applyFill="1" applyBorder="1" applyAlignment="1">
      <alignment vertical="center" shrinkToFit="1"/>
    </xf>
    <xf numFmtId="0" fontId="7" fillId="0" borderId="154" xfId="1" applyNumberFormat="1" applyFont="1" applyFill="1" applyBorder="1" applyAlignment="1" applyProtection="1">
      <alignment vertical="center"/>
      <protection hidden="1"/>
    </xf>
    <xf numFmtId="0" fontId="7" fillId="0" borderId="288" xfId="1" applyNumberFormat="1" applyFont="1" applyFill="1" applyBorder="1" applyAlignment="1" applyProtection="1">
      <alignment vertical="center"/>
      <protection hidden="1"/>
    </xf>
    <xf numFmtId="0" fontId="7" fillId="0" borderId="288"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5"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7" xfId="1" applyNumberFormat="1" applyFont="1" applyFill="1" applyBorder="1" applyAlignment="1" applyProtection="1">
      <alignment horizontal="center" vertical="center"/>
      <protection hidden="1"/>
    </xf>
    <xf numFmtId="0" fontId="7" fillId="0" borderId="108"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horizontal="center" vertical="center"/>
      <protection hidden="1"/>
    </xf>
    <xf numFmtId="0" fontId="7" fillId="0" borderId="110" xfId="1" applyNumberFormat="1" applyFont="1" applyFill="1" applyBorder="1" applyAlignment="1" applyProtection="1">
      <alignment horizontal="center" vertical="center"/>
      <protection hidden="1"/>
    </xf>
    <xf numFmtId="166" fontId="7" fillId="0" borderId="109" xfId="1" applyNumberFormat="1" applyFont="1" applyFill="1" applyBorder="1" applyAlignment="1" applyProtection="1">
      <alignment horizontal="center" vertical="center"/>
      <protection hidden="1"/>
    </xf>
    <xf numFmtId="0" fontId="72" fillId="0" borderId="0" xfId="0" applyNumberFormat="1" applyFont="1" applyAlignment="1">
      <alignment horizontal="center"/>
    </xf>
    <xf numFmtId="0" fontId="72" fillId="0" borderId="0" xfId="0" applyNumberFormat="1" applyFont="1" applyAlignment="1"/>
    <xf numFmtId="0" fontId="14" fillId="9" borderId="112" xfId="0" applyFont="1" applyFill="1" applyBorder="1" applyAlignment="1">
      <alignment horizontal="center" vertical="center"/>
    </xf>
    <xf numFmtId="0" fontId="20" fillId="10" borderId="115"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0" fillId="10" borderId="52" xfId="0" applyFont="1" applyFill="1" applyBorder="1" applyAlignment="1" applyProtection="1">
      <alignment horizontal="center" vertical="center"/>
      <protection locked="0"/>
    </xf>
    <xf numFmtId="0" fontId="73" fillId="0" borderId="0" xfId="0" applyFont="1" applyAlignment="1">
      <alignment vertical="center"/>
    </xf>
    <xf numFmtId="0" fontId="74" fillId="0" borderId="0" xfId="0" applyFont="1" applyAlignment="1">
      <alignment vertical="center"/>
    </xf>
    <xf numFmtId="0" fontId="74" fillId="0" borderId="0" xfId="0" applyFont="1"/>
    <xf numFmtId="0" fontId="75" fillId="0" borderId="0" xfId="0" applyNumberFormat="1" applyFont="1" applyAlignment="1">
      <alignment horizontal="center"/>
    </xf>
    <xf numFmtId="0" fontId="75" fillId="0" borderId="0" xfId="0" applyNumberFormat="1" applyFont="1" applyAlignment="1"/>
    <xf numFmtId="0" fontId="21" fillId="0" borderId="289" xfId="0" applyNumberFormat="1" applyFont="1" applyBorder="1" applyAlignment="1">
      <alignment horizontal="center" vertical="center"/>
    </xf>
    <xf numFmtId="167" fontId="21" fillId="0" borderId="115" xfId="0" applyNumberFormat="1" applyFont="1" applyBorder="1" applyAlignment="1">
      <alignment horizontal="center" vertical="center"/>
    </xf>
    <xf numFmtId="0" fontId="21" fillId="17" borderId="217" xfId="0" applyFont="1" applyFill="1" applyBorder="1" applyAlignment="1">
      <alignment horizontal="right" vertical="center"/>
    </xf>
    <xf numFmtId="0" fontId="21" fillId="17" borderId="121" xfId="0" applyFont="1" applyFill="1" applyBorder="1" applyAlignment="1">
      <alignment horizontal="center" vertical="center"/>
    </xf>
    <xf numFmtId="0" fontId="21" fillId="17" borderId="115" xfId="0" applyFont="1" applyFill="1" applyBorder="1" applyAlignment="1">
      <alignment horizontal="left" vertical="center"/>
    </xf>
    <xf numFmtId="0" fontId="20" fillId="0" borderId="121" xfId="0" applyFont="1" applyBorder="1" applyAlignment="1">
      <alignment horizontal="left" vertical="center"/>
    </xf>
    <xf numFmtId="0" fontId="20" fillId="0" borderId="57" xfId="0" applyFont="1" applyBorder="1" applyAlignment="1">
      <alignment horizontal="left" vertical="center"/>
    </xf>
    <xf numFmtId="167" fontId="76" fillId="0" borderId="111" xfId="0" applyNumberFormat="1" applyFont="1" applyBorder="1" applyAlignment="1">
      <alignment horizontal="center" vertical="center" shrinkToFit="1"/>
    </xf>
    <xf numFmtId="0" fontId="76" fillId="0" borderId="111" xfId="0" applyFont="1" applyBorder="1" applyAlignment="1">
      <alignment horizontal="center" vertical="center" shrinkToFit="1"/>
    </xf>
    <xf numFmtId="167" fontId="76" fillId="0" borderId="45" xfId="0" applyNumberFormat="1" applyFont="1" applyBorder="1" applyAlignment="1">
      <alignment horizontal="center" vertical="center" shrinkToFit="1"/>
    </xf>
    <xf numFmtId="0" fontId="76" fillId="0" borderId="45" xfId="0" applyFont="1" applyBorder="1" applyAlignment="1">
      <alignment horizontal="center" vertical="center" shrinkToFit="1"/>
    </xf>
    <xf numFmtId="167" fontId="76" fillId="0" borderId="48" xfId="0" applyNumberFormat="1" applyFont="1" applyBorder="1" applyAlignment="1">
      <alignment horizontal="center" vertical="center" shrinkToFit="1"/>
    </xf>
    <xf numFmtId="0" fontId="76" fillId="0" borderId="48" xfId="0" applyFont="1" applyBorder="1" applyAlignment="1">
      <alignment horizontal="center" vertical="center" shrinkToFit="1"/>
    </xf>
    <xf numFmtId="0" fontId="30" fillId="0" borderId="0" xfId="3" applyFill="1" applyBorder="1" applyAlignment="1" applyProtection="1">
      <alignment vertical="center"/>
    </xf>
    <xf numFmtId="0" fontId="0" fillId="0" borderId="0" xfId="0" applyAlignment="1">
      <alignment horizontal="center" vertical="center"/>
    </xf>
    <xf numFmtId="0" fontId="0" fillId="0" borderId="74" xfId="0" applyBorder="1"/>
    <xf numFmtId="0" fontId="0" fillId="0" borderId="78" xfId="0" applyBorder="1"/>
    <xf numFmtId="0" fontId="0" fillId="0" borderId="75" xfId="0" applyBorder="1" applyAlignment="1">
      <alignment horizontal="center"/>
    </xf>
    <xf numFmtId="0" fontId="0" fillId="0" borderId="76" xfId="0" applyBorder="1" applyAlignment="1">
      <alignment horizontal="center"/>
    </xf>
    <xf numFmtId="0" fontId="0" fillId="0" borderId="79" xfId="0" applyBorder="1" applyAlignment="1">
      <alignment horizontal="center"/>
    </xf>
    <xf numFmtId="0" fontId="0" fillId="0" borderId="74" xfId="0" applyNumberFormat="1" applyBorder="1" applyAlignment="1">
      <alignment horizontal="center"/>
    </xf>
    <xf numFmtId="0" fontId="0" fillId="0" borderId="0" xfId="0" applyNumberFormat="1" applyBorder="1" applyAlignment="1">
      <alignment horizontal="center"/>
    </xf>
    <xf numFmtId="0" fontId="0" fillId="0" borderId="78" xfId="0" applyNumberFormat="1" applyBorder="1" applyAlignment="1">
      <alignment horizontal="center"/>
    </xf>
    <xf numFmtId="0" fontId="0" fillId="0" borderId="74" xfId="0" applyBorder="1" applyAlignment="1">
      <alignment horizontal="center"/>
    </xf>
    <xf numFmtId="0" fontId="0" fillId="0" borderId="78" xfId="0" applyBorder="1" applyAlignment="1">
      <alignment horizontal="center"/>
    </xf>
    <xf numFmtId="0" fontId="77" fillId="9" borderId="294" xfId="0" applyFont="1" applyFill="1" applyBorder="1" applyAlignment="1">
      <alignment horizontal="center" vertical="center"/>
    </xf>
    <xf numFmtId="0" fontId="77" fillId="9" borderId="295" xfId="0" applyFont="1" applyFill="1" applyBorder="1" applyAlignment="1">
      <alignment horizontal="center" vertical="center"/>
    </xf>
    <xf numFmtId="0" fontId="77" fillId="9" borderId="293" xfId="0" applyFont="1" applyFill="1" applyBorder="1" applyAlignment="1">
      <alignment horizontal="center" vertical="center"/>
    </xf>
    <xf numFmtId="0" fontId="77" fillId="9" borderId="296" xfId="0" applyFont="1" applyFill="1" applyBorder="1" applyAlignment="1">
      <alignment horizontal="center" vertical="center"/>
    </xf>
    <xf numFmtId="0" fontId="78" fillId="0" borderId="0" xfId="0" applyFont="1" applyAlignment="1">
      <alignment horizontal="center"/>
    </xf>
    <xf numFmtId="167" fontId="0" fillId="0" borderId="204" xfId="0" applyNumberFormat="1" applyBorder="1" applyAlignment="1">
      <alignment horizontal="center" vertical="center"/>
    </xf>
    <xf numFmtId="0" fontId="0" fillId="0" borderId="147" xfId="0" applyBorder="1" applyAlignment="1">
      <alignment horizontal="center" vertical="center"/>
    </xf>
    <xf numFmtId="0" fontId="0" fillId="0" borderId="292" xfId="0" applyBorder="1" applyAlignment="1">
      <alignment vertical="center"/>
    </xf>
    <xf numFmtId="167" fontId="0" fillId="0" borderId="45" xfId="0" applyNumberFormat="1" applyBorder="1" applyAlignment="1">
      <alignment horizontal="center" vertical="center"/>
    </xf>
    <xf numFmtId="0" fontId="0" fillId="0" borderId="51" xfId="0" applyBorder="1" applyAlignment="1">
      <alignment horizontal="center" vertical="center"/>
    </xf>
    <xf numFmtId="0" fontId="0" fillId="0" borderId="243" xfId="0" applyBorder="1" applyAlignment="1">
      <alignment vertical="center"/>
    </xf>
    <xf numFmtId="167" fontId="0" fillId="0" borderId="290" xfId="0" applyNumberFormat="1" applyBorder="1" applyAlignment="1">
      <alignment horizontal="center" vertical="center"/>
    </xf>
    <xf numFmtId="0" fontId="0" fillId="0" borderId="297" xfId="0" applyBorder="1" applyAlignment="1">
      <alignment horizontal="center" vertical="center"/>
    </xf>
    <xf numFmtId="0" fontId="0" fillId="0" borderId="291" xfId="0" applyBorder="1" applyAlignment="1">
      <alignment vertical="center"/>
    </xf>
    <xf numFmtId="0" fontId="3" fillId="0" borderId="298" xfId="0" applyFont="1" applyBorder="1" applyAlignment="1">
      <alignment horizontal="center" vertical="center"/>
    </xf>
    <xf numFmtId="0" fontId="3" fillId="0" borderId="108" xfId="0" applyFont="1" applyBorder="1"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0" fillId="0" borderId="73" xfId="0" applyBorder="1" applyAlignment="1">
      <alignment horizontal="center"/>
    </xf>
    <xf numFmtId="0" fontId="0" fillId="0" borderId="1" xfId="0" applyBorder="1" applyAlignment="1">
      <alignment horizontal="center"/>
    </xf>
    <xf numFmtId="0" fontId="0" fillId="0" borderId="77" xfId="0" applyBorder="1" applyAlignment="1">
      <alignment horizontal="center"/>
    </xf>
    <xf numFmtId="0" fontId="19" fillId="9" borderId="62" xfId="0" applyFont="1" applyFill="1" applyBorder="1" applyAlignment="1">
      <alignment horizontal="center" vertical="center"/>
    </xf>
    <xf numFmtId="0" fontId="19" fillId="9" borderId="63" xfId="0" applyFont="1" applyFill="1" applyBorder="1" applyAlignment="1">
      <alignment horizontal="center" vertical="center"/>
    </xf>
    <xf numFmtId="0" fontId="19" fillId="9" borderId="66" xfId="0" applyFont="1" applyFill="1" applyBorder="1" applyAlignment="1">
      <alignment horizontal="left" vertical="center"/>
    </xf>
    <xf numFmtId="0" fontId="19" fillId="9" borderId="67" xfId="0" applyFont="1" applyFill="1" applyBorder="1" applyAlignment="1">
      <alignment horizontal="left" vertical="center"/>
    </xf>
    <xf numFmtId="49" fontId="24" fillId="0" borderId="61"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20" fillId="10" borderId="65" xfId="0" applyFont="1" applyFill="1" applyBorder="1" applyAlignment="1" applyProtection="1">
      <alignment horizontal="left" vertical="center"/>
      <protection locked="0"/>
    </xf>
    <xf numFmtId="0" fontId="20" fillId="10" borderId="59" xfId="0" applyFont="1" applyFill="1" applyBorder="1" applyAlignment="1" applyProtection="1">
      <alignment horizontal="left" vertical="center"/>
      <protection locked="0"/>
    </xf>
    <xf numFmtId="49" fontId="24" fillId="0" borderId="60"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49" fontId="24" fillId="0" borderId="68" xfId="0" applyNumberFormat="1" applyFont="1" applyBorder="1" applyAlignment="1">
      <alignment horizontal="center" vertical="center"/>
    </xf>
    <xf numFmtId="0" fontId="20" fillId="10" borderId="69" xfId="0" applyFont="1" applyFill="1" applyBorder="1" applyAlignment="1" applyProtection="1">
      <alignment horizontal="left" vertical="center"/>
      <protection locked="0"/>
    </xf>
    <xf numFmtId="164" fontId="24" fillId="0" borderId="0" xfId="0" applyNumberFormat="1" applyFont="1" applyFill="1" applyBorder="1" applyAlignment="1">
      <alignment horizontal="center" vertical="center"/>
    </xf>
    <xf numFmtId="164" fontId="24" fillId="0" borderId="72" xfId="0" applyNumberFormat="1" applyFont="1" applyFill="1" applyBorder="1" applyAlignment="1">
      <alignment horizontal="center" vertical="center"/>
    </xf>
    <xf numFmtId="0" fontId="24" fillId="0" borderId="0" xfId="0" applyFont="1" applyAlignment="1">
      <alignment horizontal="left" vertical="center"/>
    </xf>
    <xf numFmtId="0" fontId="24" fillId="0" borderId="72" xfId="0" applyFont="1" applyBorder="1" applyAlignment="1">
      <alignment horizontal="left" vertical="center"/>
    </xf>
    <xf numFmtId="0" fontId="21" fillId="0" borderId="145" xfId="0" applyFont="1" applyBorder="1" applyAlignment="1">
      <alignment horizontal="left" vertical="center" indent="1"/>
    </xf>
    <xf numFmtId="0" fontId="21" fillId="15" borderId="235" xfId="0" applyFont="1" applyFill="1" applyBorder="1" applyAlignment="1">
      <alignment horizontal="left" vertical="center" indent="1"/>
    </xf>
    <xf numFmtId="0" fontId="21" fillId="15" borderId="237" xfId="0" applyFont="1" applyFill="1" applyBorder="1" applyAlignment="1">
      <alignment horizontal="left" vertical="center" indent="1"/>
    </xf>
    <xf numFmtId="0" fontId="21" fillId="0" borderId="146" xfId="0" applyFont="1" applyBorder="1" applyAlignment="1">
      <alignment horizontal="left" vertical="center" indent="1"/>
    </xf>
    <xf numFmtId="0" fontId="20" fillId="10" borderId="56" xfId="0" applyFont="1" applyFill="1" applyBorder="1" applyAlignment="1" applyProtection="1">
      <alignment horizontal="right" vertical="center" indent="1"/>
      <protection locked="0"/>
    </xf>
    <xf numFmtId="0" fontId="20" fillId="0" borderId="70" xfId="0" applyFont="1" applyBorder="1" applyAlignment="1">
      <alignment horizontal="left" vertical="center"/>
    </xf>
    <xf numFmtId="0" fontId="19" fillId="9" borderId="112" xfId="0" applyFont="1" applyFill="1" applyBorder="1" applyAlignment="1">
      <alignment horizontal="center"/>
    </xf>
    <xf numFmtId="0" fontId="19" fillId="9" borderId="134" xfId="0" applyFont="1" applyFill="1" applyBorder="1" applyAlignment="1">
      <alignment horizontal="center"/>
    </xf>
    <xf numFmtId="0" fontId="21" fillId="0" borderId="142" xfId="0" applyFont="1" applyBorder="1" applyAlignment="1">
      <alignment horizontal="left" vertical="center" indent="1"/>
    </xf>
    <xf numFmtId="0" fontId="69"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72" xfId="0" applyFont="1" applyBorder="1" applyAlignment="1">
      <alignment horizontal="left" vertical="center"/>
    </xf>
    <xf numFmtId="0" fontId="18" fillId="0" borderId="0" xfId="0" applyFont="1" applyAlignment="1">
      <alignment horizontal="center" wrapText="1"/>
    </xf>
    <xf numFmtId="0" fontId="18" fillId="0" borderId="109" xfId="0" applyFont="1" applyBorder="1" applyAlignment="1">
      <alignment horizontal="center" wrapText="1"/>
    </xf>
    <xf numFmtId="167" fontId="20" fillId="10" borderId="143" xfId="0" applyNumberFormat="1" applyFont="1" applyFill="1" applyBorder="1" applyAlignment="1" applyProtection="1">
      <alignment horizontal="right" vertical="center" indent="1"/>
      <protection locked="0"/>
    </xf>
    <xf numFmtId="167" fontId="20" fillId="10" borderId="56" xfId="0" applyNumberFormat="1" applyFont="1" applyFill="1" applyBorder="1" applyAlignment="1" applyProtection="1">
      <alignment horizontal="right" vertical="center" indent="1"/>
      <protection locked="0"/>
    </xf>
    <xf numFmtId="0" fontId="20" fillId="0" borderId="144" xfId="0" applyFont="1" applyBorder="1" applyAlignment="1">
      <alignment horizontal="left" vertical="center"/>
    </xf>
    <xf numFmtId="0" fontId="20" fillId="15" borderId="236" xfId="0" applyFont="1" applyFill="1" applyBorder="1" applyAlignment="1">
      <alignment horizontal="center" vertical="center"/>
    </xf>
    <xf numFmtId="0" fontId="20" fillId="15" borderId="238" xfId="0" applyFont="1" applyFill="1" applyBorder="1" applyAlignment="1">
      <alignment horizontal="center" vertical="center"/>
    </xf>
    <xf numFmtId="165" fontId="67" fillId="0" borderId="0" xfId="0" applyNumberFormat="1" applyFont="1" applyAlignment="1" applyProtection="1">
      <alignment horizontal="left" vertical="top" wrapText="1" indent="1"/>
    </xf>
    <xf numFmtId="0" fontId="20" fillId="10" borderId="80" xfId="0" applyFont="1" applyFill="1" applyBorder="1" applyAlignment="1" applyProtection="1">
      <alignment horizontal="right" vertical="center" indent="1"/>
      <protection locked="0"/>
    </xf>
    <xf numFmtId="0" fontId="66" fillId="0" borderId="70" xfId="0" applyFont="1" applyBorder="1" applyAlignment="1">
      <alignment horizontal="left" vertical="center"/>
    </xf>
    <xf numFmtId="0" fontId="66" fillId="0" borderId="81" xfId="0" applyFont="1" applyBorder="1" applyAlignment="1">
      <alignment horizontal="left" vertical="center"/>
    </xf>
    <xf numFmtId="167" fontId="20" fillId="15" borderId="288" xfId="0" applyNumberFormat="1" applyFont="1" applyFill="1" applyBorder="1" applyAlignment="1">
      <alignment horizontal="right" vertical="center" indent="1"/>
    </xf>
    <xf numFmtId="167" fontId="20" fillId="15" borderId="109" xfId="0" applyNumberFormat="1" applyFont="1" applyFill="1" applyBorder="1" applyAlignment="1">
      <alignment horizontal="right" vertical="center" indent="1"/>
    </xf>
    <xf numFmtId="0" fontId="0" fillId="0" borderId="0" xfId="0" applyAlignment="1">
      <alignment horizontal="center" vertical="center"/>
    </xf>
    <xf numFmtId="0" fontId="51" fillId="0" borderId="0" xfId="0" applyFont="1" applyAlignment="1">
      <alignment horizontal="center" vertical="top" textRotation="90"/>
    </xf>
    <xf numFmtId="0" fontId="38" fillId="0" borderId="0" xfId="0" applyFont="1" applyAlignment="1">
      <alignment horizontal="center"/>
    </xf>
    <xf numFmtId="0" fontId="14" fillId="9" borderId="112" xfId="0" applyFont="1" applyFill="1" applyBorder="1" applyAlignment="1">
      <alignment horizontal="center" vertical="center"/>
    </xf>
    <xf numFmtId="0" fontId="14" fillId="9" borderId="134" xfId="0" applyFont="1" applyFill="1" applyBorder="1" applyAlignment="1">
      <alignment horizontal="center" vertical="center"/>
    </xf>
    <xf numFmtId="0" fontId="58" fillId="16" borderId="195" xfId="0" applyFont="1" applyFill="1" applyBorder="1" applyAlignment="1" applyProtection="1">
      <alignment horizontal="center"/>
    </xf>
    <xf numFmtId="0" fontId="58" fillId="16" borderId="196" xfId="0" applyFont="1" applyFill="1" applyBorder="1" applyAlignment="1" applyProtection="1">
      <alignment horizontal="center"/>
    </xf>
    <xf numFmtId="0" fontId="58" fillId="16" borderId="197" xfId="0" applyFont="1" applyFill="1" applyBorder="1" applyAlignment="1" applyProtection="1">
      <alignment horizontal="center"/>
    </xf>
    <xf numFmtId="0" fontId="58" fillId="16" borderId="198" xfId="0" applyFont="1" applyFill="1" applyBorder="1" applyAlignment="1" applyProtection="1">
      <alignment horizontal="center"/>
    </xf>
    <xf numFmtId="0" fontId="58" fillId="16" borderId="199" xfId="0" applyFont="1" applyFill="1" applyBorder="1" applyAlignment="1" applyProtection="1">
      <alignment horizontal="center"/>
    </xf>
    <xf numFmtId="0" fontId="58" fillId="16" borderId="200" xfId="0" applyFont="1" applyFill="1" applyBorder="1" applyAlignment="1" applyProtection="1">
      <alignment horizontal="center"/>
    </xf>
    <xf numFmtId="0" fontId="14" fillId="9" borderId="54" xfId="0" applyFont="1" applyFill="1" applyBorder="1" applyAlignment="1">
      <alignment horizontal="center" vertical="center" shrinkToFit="1"/>
    </xf>
    <xf numFmtId="0" fontId="14" fillId="9" borderId="38" xfId="0" applyFont="1" applyFill="1" applyBorder="1" applyAlignment="1">
      <alignment horizontal="center" vertical="center" shrinkToFit="1"/>
    </xf>
    <xf numFmtId="0" fontId="14" fillId="9" borderId="55" xfId="0" applyFont="1" applyFill="1" applyBorder="1" applyAlignment="1">
      <alignment horizontal="center" vertical="center" shrinkToFit="1"/>
    </xf>
    <xf numFmtId="0" fontId="13" fillId="9" borderId="37" xfId="0" applyFont="1" applyFill="1" applyBorder="1" applyAlignment="1">
      <alignment horizontal="center" vertical="center" shrinkToFit="1"/>
    </xf>
    <xf numFmtId="0" fontId="13" fillId="9" borderId="39" xfId="0" applyFont="1" applyFill="1" applyBorder="1" applyAlignment="1">
      <alignment horizontal="center" vertical="center" shrinkToFit="1"/>
    </xf>
    <xf numFmtId="0" fontId="57" fillId="0" borderId="72" xfId="0" applyFont="1" applyBorder="1" applyAlignment="1">
      <alignment horizontal="center"/>
    </xf>
    <xf numFmtId="0" fontId="17" fillId="10" borderId="245" xfId="0" applyFont="1" applyFill="1" applyBorder="1" applyAlignment="1" applyProtection="1">
      <alignment horizontal="center" vertical="top"/>
      <protection locked="0"/>
    </xf>
    <xf numFmtId="0" fontId="17" fillId="10" borderId="246" xfId="0" applyFont="1" applyFill="1" applyBorder="1" applyAlignment="1" applyProtection="1">
      <alignment horizontal="center" vertical="top"/>
      <protection locked="0"/>
    </xf>
    <xf numFmtId="0" fontId="17" fillId="10" borderId="247" xfId="0" applyFont="1" applyFill="1" applyBorder="1" applyAlignment="1" applyProtection="1">
      <alignment horizontal="center" vertical="top"/>
      <protection locked="0"/>
    </xf>
    <xf numFmtId="14" fontId="26" fillId="10" borderId="248" xfId="0" applyNumberFormat="1" applyFont="1" applyFill="1" applyBorder="1" applyAlignment="1" applyProtection="1">
      <alignment horizontal="center" vertical="center"/>
      <protection locked="0"/>
    </xf>
    <xf numFmtId="14" fontId="26" fillId="10" borderId="209" xfId="0" applyNumberFormat="1" applyFont="1" applyFill="1" applyBorder="1" applyAlignment="1" applyProtection="1">
      <alignment horizontal="center" vertical="center"/>
      <protection locked="0"/>
    </xf>
    <xf numFmtId="14" fontId="26" fillId="10" borderId="249" xfId="0" applyNumberFormat="1" applyFont="1" applyFill="1" applyBorder="1" applyAlignment="1" applyProtection="1">
      <alignment horizontal="center" vertical="center"/>
      <protection locked="0"/>
    </xf>
    <xf numFmtId="0" fontId="26" fillId="10" borderId="248" xfId="0" applyFont="1" applyFill="1" applyBorder="1" applyAlignment="1" applyProtection="1">
      <alignment horizontal="center" vertical="center"/>
      <protection locked="0"/>
    </xf>
    <xf numFmtId="0" fontId="26" fillId="10" borderId="209" xfId="0" applyFont="1" applyFill="1" applyBorder="1" applyAlignment="1" applyProtection="1">
      <alignment horizontal="center" vertical="center"/>
      <protection locked="0"/>
    </xf>
    <xf numFmtId="0" fontId="26" fillId="10" borderId="249" xfId="0" applyFont="1" applyFill="1" applyBorder="1" applyAlignment="1" applyProtection="1">
      <alignment horizontal="center" vertical="center"/>
      <protection locked="0"/>
    </xf>
    <xf numFmtId="0" fontId="26" fillId="10" borderId="250" xfId="0" applyFont="1" applyFill="1" applyBorder="1" applyAlignment="1" applyProtection="1">
      <alignment horizontal="center" vertical="center"/>
      <protection locked="0"/>
    </xf>
    <xf numFmtId="0" fontId="26" fillId="10" borderId="251" xfId="0" applyFont="1" applyFill="1" applyBorder="1" applyAlignment="1" applyProtection="1">
      <alignment horizontal="center" vertical="center"/>
      <protection locked="0"/>
    </xf>
    <xf numFmtId="0" fontId="26" fillId="10" borderId="252" xfId="0" applyFont="1" applyFill="1" applyBorder="1" applyAlignment="1" applyProtection="1">
      <alignment horizontal="center" vertical="center"/>
      <protection locked="0"/>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68" fillId="0" borderId="0" xfId="0" applyFont="1" applyAlignment="1">
      <alignment horizontal="center" wrapText="1"/>
    </xf>
    <xf numFmtId="167" fontId="24" fillId="0" borderId="72" xfId="0" applyNumberFormat="1" applyFont="1" applyBorder="1" applyAlignment="1">
      <alignment horizontal="left"/>
    </xf>
    <xf numFmtId="0" fontId="61" fillId="0" borderId="245" xfId="0" applyFont="1" applyBorder="1" applyAlignment="1">
      <alignment horizontal="center" vertical="center"/>
    </xf>
    <xf numFmtId="0" fontId="61" fillId="0" borderId="246" xfId="0" applyFont="1" applyBorder="1" applyAlignment="1">
      <alignment horizontal="center" vertical="center"/>
    </xf>
    <xf numFmtId="0" fontId="61" fillId="0" borderId="247" xfId="0" applyFont="1" applyBorder="1" applyAlignment="1">
      <alignment horizontal="center" vertical="center"/>
    </xf>
    <xf numFmtId="14" fontId="63" fillId="0" borderId="248" xfId="0" applyNumberFormat="1" applyFont="1" applyBorder="1" applyAlignment="1">
      <alignment horizontal="center" vertical="center"/>
    </xf>
    <xf numFmtId="14" fontId="63" fillId="0" borderId="209" xfId="0" applyNumberFormat="1" applyFont="1" applyBorder="1" applyAlignment="1">
      <alignment horizontal="center" vertical="center"/>
    </xf>
    <xf numFmtId="14" fontId="63" fillId="0" borderId="249" xfId="0" applyNumberFormat="1" applyFont="1" applyBorder="1" applyAlignment="1">
      <alignment horizontal="center" vertical="center"/>
    </xf>
    <xf numFmtId="0" fontId="63" fillId="0" borderId="248" xfId="0" applyFont="1" applyBorder="1" applyAlignment="1">
      <alignment horizontal="center" vertical="center"/>
    </xf>
    <xf numFmtId="0" fontId="63" fillId="0" borderId="209" xfId="0" applyFont="1" applyBorder="1" applyAlignment="1">
      <alignment horizontal="center" vertical="center"/>
    </xf>
    <xf numFmtId="0" fontId="63" fillId="0" borderId="249" xfId="0" applyFont="1" applyBorder="1" applyAlignment="1">
      <alignment horizontal="center" vertical="center"/>
    </xf>
    <xf numFmtId="0" fontId="63" fillId="0" borderId="250" xfId="0" applyFont="1" applyBorder="1" applyAlignment="1">
      <alignment horizontal="center" vertical="center"/>
    </xf>
    <xf numFmtId="0" fontId="63" fillId="0" borderId="251" xfId="0" applyFont="1" applyBorder="1" applyAlignment="1">
      <alignment horizontal="center" vertical="center"/>
    </xf>
    <xf numFmtId="0" fontId="63" fillId="0" borderId="252" xfId="0" applyFont="1" applyBorder="1" applyAlignment="1">
      <alignment horizontal="center" vertical="center"/>
    </xf>
    <xf numFmtId="0" fontId="40" fillId="0" borderId="57" xfId="0" applyFont="1" applyBorder="1" applyAlignment="1">
      <alignment horizontal="left" vertical="center" indent="1"/>
    </xf>
    <xf numFmtId="0" fontId="40" fillId="0" borderId="203" xfId="0" applyFont="1" applyBorder="1" applyAlignment="1">
      <alignment horizontal="left" vertical="center" indent="1"/>
    </xf>
    <xf numFmtId="0" fontId="21" fillId="0" borderId="127" xfId="0" applyFont="1" applyBorder="1" applyAlignment="1">
      <alignment horizontal="left" vertical="center"/>
    </xf>
    <xf numFmtId="0" fontId="21" fillId="0" borderId="128" xfId="0" applyFont="1" applyBorder="1" applyAlignment="1">
      <alignment horizontal="left" vertical="center"/>
    </xf>
    <xf numFmtId="0" fontId="64" fillId="16" borderId="195" xfId="0" applyFont="1" applyFill="1" applyBorder="1" applyAlignment="1">
      <alignment horizontal="center"/>
    </xf>
    <xf numFmtId="0" fontId="64" fillId="16" borderId="196" xfId="0" applyFont="1" applyFill="1" applyBorder="1" applyAlignment="1">
      <alignment horizontal="center"/>
    </xf>
    <xf numFmtId="0" fontId="64" fillId="16" borderId="197" xfId="0" applyFont="1" applyFill="1" applyBorder="1" applyAlignment="1">
      <alignment horizontal="center"/>
    </xf>
    <xf numFmtId="0" fontId="64" fillId="16" borderId="198" xfId="0" applyFont="1" applyFill="1" applyBorder="1" applyAlignment="1">
      <alignment horizontal="center"/>
    </xf>
    <xf numFmtId="0" fontId="64" fillId="16" borderId="199" xfId="0" applyFont="1" applyFill="1" applyBorder="1" applyAlignment="1">
      <alignment horizontal="center"/>
    </xf>
    <xf numFmtId="0" fontId="64" fillId="16" borderId="200" xfId="0" applyFont="1" applyFill="1" applyBorder="1" applyAlignment="1">
      <alignment horizontal="center"/>
    </xf>
    <xf numFmtId="0" fontId="40" fillId="0" borderId="56" xfId="0" applyFont="1" applyBorder="1" applyAlignment="1">
      <alignment horizontal="left" vertical="center" indent="1"/>
    </xf>
    <xf numFmtId="0" fontId="40" fillId="0" borderId="70" xfId="0" applyFont="1" applyBorder="1" applyAlignment="1">
      <alignment horizontal="left" vertical="center" indent="1"/>
    </xf>
    <xf numFmtId="0" fontId="40" fillId="18" borderId="143" xfId="0" applyFont="1" applyFill="1" applyBorder="1" applyAlignment="1">
      <alignment horizontal="left" vertical="center" indent="1"/>
    </xf>
    <xf numFmtId="0" fontId="40" fillId="18" borderId="144" xfId="0" applyFont="1" applyFill="1" applyBorder="1" applyAlignment="1">
      <alignment horizontal="left" vertical="center" indent="1"/>
    </xf>
    <xf numFmtId="0" fontId="40" fillId="19" borderId="56" xfId="0" applyFont="1" applyFill="1" applyBorder="1" applyAlignment="1">
      <alignment horizontal="left" vertical="center" indent="1"/>
    </xf>
    <xf numFmtId="0" fontId="40" fillId="19" borderId="70" xfId="0" applyFont="1" applyFill="1" applyBorder="1" applyAlignment="1">
      <alignment horizontal="left" vertical="center" indent="1"/>
    </xf>
    <xf numFmtId="0" fontId="40" fillId="11" borderId="56" xfId="0" applyFont="1" applyFill="1" applyBorder="1" applyAlignment="1">
      <alignment horizontal="left" vertical="center" indent="1"/>
    </xf>
    <xf numFmtId="0" fontId="40" fillId="11" borderId="70" xfId="0" applyFont="1" applyFill="1" applyBorder="1" applyAlignment="1">
      <alignment horizontal="left" vertical="center" indent="1"/>
    </xf>
    <xf numFmtId="167" fontId="21" fillId="15" borderId="0" xfId="0" applyNumberFormat="1" applyFont="1" applyFill="1" applyBorder="1" applyAlignment="1">
      <alignment horizontal="right" vertical="center" indent="1"/>
    </xf>
    <xf numFmtId="167" fontId="24" fillId="0" borderId="253" xfId="0" applyNumberFormat="1" applyFont="1" applyBorder="1" applyAlignment="1">
      <alignment horizontal="left"/>
    </xf>
    <xf numFmtId="0" fontId="14" fillId="9" borderId="33"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31" xfId="0" applyFont="1" applyFill="1" applyBorder="1" applyAlignment="1">
      <alignment horizontal="center" vertical="center"/>
    </xf>
    <xf numFmtId="0" fontId="14" fillId="9" borderId="28" xfId="0" applyFont="1" applyFill="1" applyBorder="1" applyAlignment="1">
      <alignment horizontal="center" vertical="center"/>
    </xf>
    <xf numFmtId="0" fontId="40" fillId="11" borderId="56" xfId="0" applyFont="1" applyFill="1" applyBorder="1" applyAlignment="1">
      <alignment horizontal="left" vertical="center"/>
    </xf>
    <xf numFmtId="0" fontId="40" fillId="11" borderId="70" xfId="0" applyFont="1" applyFill="1" applyBorder="1" applyAlignment="1">
      <alignment horizontal="left" vertical="center"/>
    </xf>
    <xf numFmtId="0" fontId="21" fillId="0" borderId="211" xfId="0" applyFont="1" applyBorder="1" applyAlignment="1">
      <alignment horizontal="left" vertical="center"/>
    </xf>
    <xf numFmtId="0" fontId="21" fillId="0" borderId="212" xfId="0" applyFont="1" applyBorder="1" applyAlignment="1">
      <alignment horizontal="left" vertical="center"/>
    </xf>
    <xf numFmtId="0" fontId="40" fillId="18" borderId="143" xfId="0" applyFont="1" applyFill="1" applyBorder="1" applyAlignment="1">
      <alignment horizontal="left" vertical="center"/>
    </xf>
    <xf numFmtId="0" fontId="40" fillId="18" borderId="144" xfId="0" applyFont="1" applyFill="1" applyBorder="1" applyAlignment="1">
      <alignment horizontal="left" vertical="center"/>
    </xf>
    <xf numFmtId="0" fontId="40" fillId="19" borderId="56" xfId="0" applyFont="1" applyFill="1" applyBorder="1" applyAlignment="1">
      <alignment horizontal="left" vertical="center"/>
    </xf>
    <xf numFmtId="0" fontId="40" fillId="19" borderId="70" xfId="0" applyFont="1" applyFill="1" applyBorder="1" applyAlignment="1">
      <alignment horizontal="left" vertical="center"/>
    </xf>
    <xf numFmtId="0" fontId="40" fillId="0" borderId="56" xfId="0" applyFont="1" applyBorder="1" applyAlignment="1">
      <alignment horizontal="left" vertical="center"/>
    </xf>
    <xf numFmtId="0" fontId="40" fillId="0" borderId="70" xfId="0" applyFont="1" applyBorder="1" applyAlignment="1">
      <alignment horizontal="left" vertical="center"/>
    </xf>
    <xf numFmtId="0" fontId="40" fillId="0" borderId="57" xfId="0" applyFont="1" applyBorder="1" applyAlignment="1">
      <alignment horizontal="left" vertical="center"/>
    </xf>
    <xf numFmtId="0" fontId="40" fillId="0" borderId="203" xfId="0" applyFont="1" applyBorder="1" applyAlignment="1">
      <alignment horizontal="left" vertical="center"/>
    </xf>
    <xf numFmtId="0" fontId="25" fillId="0" borderId="0" xfId="0" applyFont="1" applyAlignment="1">
      <alignment horizontal="center" vertical="center"/>
    </xf>
    <xf numFmtId="0" fontId="46" fillId="0" borderId="0" xfId="0" applyFont="1" applyAlignment="1">
      <alignment horizontal="center" vertical="center"/>
    </xf>
    <xf numFmtId="0" fontId="65" fillId="0" borderId="0" xfId="0" applyFont="1" applyAlignment="1">
      <alignment horizontal="center" vertical="top"/>
    </xf>
    <xf numFmtId="0" fontId="57" fillId="0" borderId="72" xfId="0" applyFont="1" applyBorder="1" applyAlignment="1">
      <alignment horizontal="left"/>
    </xf>
    <xf numFmtId="0" fontId="71" fillId="0" borderId="72" xfId="0" applyFont="1" applyBorder="1" applyAlignment="1">
      <alignment horizontal="left"/>
    </xf>
    <xf numFmtId="0" fontId="13" fillId="9" borderId="258" xfId="0" applyFont="1" applyFill="1" applyBorder="1" applyAlignment="1">
      <alignment horizontal="center" vertical="center" shrinkToFit="1"/>
    </xf>
    <xf numFmtId="0" fontId="13" fillId="9" borderId="259" xfId="0" applyFont="1" applyFill="1" applyBorder="1" applyAlignment="1">
      <alignment horizontal="center" vertical="center" shrinkToFit="1"/>
    </xf>
    <xf numFmtId="0" fontId="14" fillId="9" borderId="260" xfId="0" applyFont="1" applyFill="1" applyBorder="1" applyAlignment="1">
      <alignment horizontal="center" vertical="center" shrinkToFit="1"/>
    </xf>
    <xf numFmtId="0" fontId="14" fillId="9" borderId="261" xfId="0" applyFont="1" applyFill="1" applyBorder="1" applyAlignment="1">
      <alignment horizontal="center" vertical="center" shrinkToFit="1"/>
    </xf>
    <xf numFmtId="0" fontId="14" fillId="9" borderId="262" xfId="0" applyFont="1" applyFill="1" applyBorder="1" applyAlignment="1">
      <alignment horizontal="center" vertical="center" shrinkToFit="1"/>
    </xf>
    <xf numFmtId="0" fontId="64" fillId="16" borderId="281" xfId="0" applyFont="1" applyFill="1" applyBorder="1" applyAlignment="1">
      <alignment horizontal="center" vertical="center"/>
    </xf>
    <xf numFmtId="0" fontId="64" fillId="16" borderId="282" xfId="0" applyFont="1" applyFill="1" applyBorder="1" applyAlignment="1">
      <alignment horizontal="center" vertical="center"/>
    </xf>
    <xf numFmtId="0" fontId="64" fillId="16" borderId="283" xfId="0" applyFont="1" applyFill="1" applyBorder="1" applyAlignment="1">
      <alignment horizontal="center" vertical="center"/>
    </xf>
    <xf numFmtId="0" fontId="64" fillId="16" borderId="284" xfId="0" applyFont="1" applyFill="1" applyBorder="1" applyAlignment="1">
      <alignment horizontal="center" vertical="center"/>
    </xf>
    <xf numFmtId="0" fontId="64" fillId="16" borderId="285" xfId="0" applyFont="1" applyFill="1" applyBorder="1" applyAlignment="1">
      <alignment horizontal="center" vertical="center"/>
    </xf>
    <xf numFmtId="0" fontId="64" fillId="16" borderId="286" xfId="0" applyFont="1" applyFill="1" applyBorder="1" applyAlignment="1">
      <alignment horizontal="center" vertical="center"/>
    </xf>
    <xf numFmtId="0" fontId="21" fillId="0" borderId="277" xfId="0" applyFont="1" applyBorder="1" applyAlignment="1">
      <alignment horizontal="left" vertical="center"/>
    </xf>
    <xf numFmtId="0" fontId="21" fillId="0" borderId="278" xfId="0" applyFont="1" applyBorder="1" applyAlignment="1">
      <alignment horizontal="left" vertical="center"/>
    </xf>
    <xf numFmtId="0" fontId="21" fillId="0" borderId="279" xfId="0" applyFont="1" applyBorder="1" applyAlignment="1">
      <alignment horizontal="left" vertical="center"/>
    </xf>
    <xf numFmtId="0" fontId="79" fillId="0" borderId="0" xfId="0" applyFont="1" applyAlignment="1">
      <alignment horizontal="center" vertical="center"/>
    </xf>
    <xf numFmtId="0" fontId="35" fillId="13" borderId="94" xfId="0" applyFont="1" applyFill="1" applyBorder="1" applyAlignment="1">
      <alignment horizontal="center" vertical="center" wrapText="1"/>
    </xf>
    <xf numFmtId="0" fontId="35" fillId="13" borderId="96" xfId="0" applyFont="1" applyFill="1" applyBorder="1" applyAlignment="1">
      <alignment horizontal="center" vertical="center"/>
    </xf>
    <xf numFmtId="0" fontId="34" fillId="0" borderId="89"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91" xfId="0" applyBorder="1" applyAlignment="1" applyProtection="1">
      <alignment horizontal="center"/>
      <protection locked="0"/>
    </xf>
    <xf numFmtId="0" fontId="39" fillId="14" borderId="92" xfId="0" applyFont="1" applyFill="1" applyBorder="1" applyAlignment="1">
      <alignment horizontal="center" vertical="center" wrapText="1"/>
    </xf>
    <xf numFmtId="0" fontId="39" fillId="14" borderId="95" xfId="0" applyFont="1" applyFill="1" applyBorder="1" applyAlignment="1">
      <alignment horizontal="center" vertical="center"/>
    </xf>
    <xf numFmtId="0" fontId="39" fillId="12" borderId="158" xfId="0" applyFont="1" applyFill="1" applyBorder="1" applyAlignment="1">
      <alignment horizontal="center" vertical="center" wrapText="1"/>
    </xf>
    <xf numFmtId="0" fontId="39" fillId="12" borderId="159" xfId="0" applyFont="1" applyFill="1" applyBorder="1" applyAlignment="1">
      <alignment horizontal="center" vertical="center"/>
    </xf>
    <xf numFmtId="0" fontId="0" fillId="0" borderId="0" xfId="0" applyAlignment="1">
      <alignment horizontal="left" vertical="top" wrapText="1"/>
    </xf>
    <xf numFmtId="0" fontId="18" fillId="11" borderId="85" xfId="0" applyFont="1" applyFill="1" applyBorder="1" applyAlignment="1" applyProtection="1">
      <alignment horizontal="center"/>
    </xf>
    <xf numFmtId="0" fontId="18" fillId="11" borderId="86" xfId="0" applyFont="1" applyFill="1" applyBorder="1" applyAlignment="1" applyProtection="1">
      <alignment horizontal="center"/>
    </xf>
    <xf numFmtId="0" fontId="18" fillId="11" borderId="152" xfId="0" applyFont="1" applyFill="1" applyBorder="1" applyAlignment="1" applyProtection="1">
      <alignment horizontal="center"/>
    </xf>
    <xf numFmtId="0" fontId="18" fillId="11" borderId="87"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8" xfId="0" applyFont="1" applyFill="1" applyBorder="1" applyAlignment="1" applyProtection="1">
      <alignment horizontal="center" vertical="center"/>
    </xf>
    <xf numFmtId="0" fontId="30" fillId="11" borderId="87"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8" xfId="3" applyFill="1" applyBorder="1" applyAlignment="1" applyProtection="1">
      <alignment horizontal="center" vertical="center"/>
      <protection locked="0"/>
    </xf>
    <xf numFmtId="0" fontId="18" fillId="11" borderId="104" xfId="0" applyFont="1" applyFill="1" applyBorder="1" applyAlignment="1" applyProtection="1">
      <alignment horizontal="center"/>
    </xf>
    <xf numFmtId="0" fontId="18" fillId="11" borderId="105" xfId="0" applyFont="1" applyFill="1" applyBorder="1" applyAlignment="1" applyProtection="1">
      <alignment horizontal="center"/>
    </xf>
    <xf numFmtId="0" fontId="18" fillId="11" borderId="153" xfId="0" applyFont="1" applyFill="1" applyBorder="1" applyAlignment="1" applyProtection="1">
      <alignment horizontal="center"/>
    </xf>
    <xf numFmtId="0" fontId="42" fillId="0" borderId="72" xfId="0" applyNumberFormat="1" applyFont="1" applyFill="1" applyBorder="1" applyAlignment="1" applyProtection="1">
      <alignment horizontal="center" vertical="center"/>
      <protection hidden="1"/>
    </xf>
    <xf numFmtId="3" fontId="7" fillId="0" borderId="113" xfId="0" applyNumberFormat="1" applyFont="1" applyFill="1" applyBorder="1" applyAlignment="1" applyProtection="1">
      <alignment horizontal="center" vertical="center"/>
      <protection hidden="1"/>
    </xf>
    <xf numFmtId="0" fontId="7" fillId="0" borderId="113" xfId="0" applyNumberFormat="1" applyFont="1" applyFill="1" applyBorder="1" applyAlignment="1" applyProtection="1">
      <alignment horizontal="center" vertical="center"/>
      <protection hidden="1"/>
    </xf>
    <xf numFmtId="0" fontId="50" fillId="0" borderId="164" xfId="0" applyNumberFormat="1" applyFont="1" applyBorder="1" applyAlignment="1">
      <alignment horizontal="center" vertical="center"/>
    </xf>
    <xf numFmtId="0" fontId="50" fillId="0" borderId="165" xfId="0" applyNumberFormat="1" applyFont="1" applyBorder="1" applyAlignment="1">
      <alignment horizontal="center" vertical="center"/>
    </xf>
    <xf numFmtId="0" fontId="50" fillId="0" borderId="166" xfId="0" applyNumberFormat="1" applyFont="1" applyBorder="1" applyAlignment="1">
      <alignment horizontal="center" vertic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cellXfs>
  <cellStyles count="4">
    <cellStyle name="Berechnung" xfId="2" builtinId="22"/>
    <cellStyle name="Link" xfId="3" builtinId="8"/>
    <cellStyle name="Standard" xfId="0" builtinId="0"/>
    <cellStyle name="Standard 2" xfId="1" xr:uid="{00000000-0005-0000-0000-000001000000}"/>
  </cellStyles>
  <dxfs count="37">
    <dxf>
      <font>
        <b/>
        <i val="0"/>
        <color rgb="FFDA0000"/>
      </font>
    </dxf>
    <dxf>
      <font>
        <b/>
        <i val="0"/>
        <color rgb="FFDA0000"/>
      </font>
    </dxf>
    <dxf>
      <numFmt numFmtId="165" formatCode=";;;"/>
    </dxf>
    <dxf>
      <font>
        <color rgb="FFDA0000"/>
      </font>
    </dxf>
    <dxf>
      <numFmt numFmtId="165" formatCode=";;;"/>
    </dxf>
    <dxf>
      <font>
        <color theme="2" tint="-9.9948118533890809E-2"/>
      </font>
    </dxf>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numFmt numFmtId="165" formatCode=";;;"/>
    </dxf>
    <dxf>
      <font>
        <color rgb="FFDA0000"/>
      </font>
    </dxf>
    <dxf>
      <font>
        <color theme="2" tint="-9.9948118533890809E-2"/>
      </font>
    </dxf>
    <dxf>
      <font>
        <color rgb="FFDA0000"/>
      </font>
    </dxf>
    <dxf>
      <font>
        <color rgb="FFDA0000"/>
      </font>
    </dxf>
    <dxf>
      <numFmt numFmtId="165" formatCode=";;;"/>
    </dxf>
    <dxf>
      <font>
        <color rgb="FFDA0000"/>
      </font>
    </dxf>
    <dxf>
      <font>
        <color theme="2" tint="-9.9948118533890809E-2"/>
      </font>
    </dxf>
    <dxf>
      <font>
        <color theme="2" tint="-9.9948118533890809E-2"/>
      </font>
    </dxf>
    <dxf>
      <numFmt numFmtId="165" formatCode=";;;"/>
    </dxf>
    <dxf>
      <font>
        <color rgb="FFDA0000"/>
      </font>
    </dxf>
    <dxf>
      <font>
        <color theme="2" tint="-9.9948118533890809E-2"/>
      </font>
    </dxf>
    <dxf>
      <font>
        <color theme="2" tint="-9.9948118533890809E-2"/>
      </font>
    </dxf>
    <dxf>
      <font>
        <b val="0"/>
        <i val="0"/>
        <color rgb="FFDA0000"/>
      </font>
    </dxf>
    <dxf>
      <numFmt numFmtId="165" formatCode=";;;"/>
    </dxf>
    <dxf>
      <font>
        <color theme="2" tint="-9.9948118533890809E-2"/>
      </font>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FFFE0"/>
      <color rgb="FFFFB4B4"/>
      <color rgb="FFFFFFCC"/>
      <color rgb="FFFDECE3"/>
      <color rgb="FFF8F8F8"/>
      <color rgb="FFFFF2C9"/>
      <color rgb="FFFFEDB3"/>
      <color rgb="FFA50021"/>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638174</xdr:colOff>
      <xdr:row>0</xdr:row>
      <xdr:rowOff>123825</xdr:rowOff>
    </xdr:from>
    <xdr:to>
      <xdr:col>5</xdr:col>
      <xdr:colOff>400050</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4"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142875</xdr:rowOff>
    </xdr:from>
    <xdr:to>
      <xdr:col>3</xdr:col>
      <xdr:colOff>304801</xdr:colOff>
      <xdr:row>5</xdr:row>
      <xdr:rowOff>98907</xdr:rowOff>
    </xdr:to>
    <xdr:pic>
      <xdr:nvPicPr>
        <xdr:cNvPr id="2" name="Grafik 1">
          <a:extLst>
            <a:ext uri="{FF2B5EF4-FFF2-40B4-BE49-F238E27FC236}">
              <a16:creationId xmlns:a16="http://schemas.microsoft.com/office/drawing/2014/main" id="{A14C5DFD-90D0-4058-9B1A-04EE58D93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142875</xdr:rowOff>
    </xdr:from>
    <xdr:to>
      <xdr:col>3</xdr:col>
      <xdr:colOff>304801</xdr:colOff>
      <xdr:row>5</xdr:row>
      <xdr:rowOff>98907</xdr:rowOff>
    </xdr:to>
    <xdr:pic>
      <xdr:nvPicPr>
        <xdr:cNvPr id="2" name="Grafik 1">
          <a:extLst>
            <a:ext uri="{FF2B5EF4-FFF2-40B4-BE49-F238E27FC236}">
              <a16:creationId xmlns:a16="http://schemas.microsoft.com/office/drawing/2014/main" id="{4F716205-F885-4C0B-B38E-34C64C33C3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28575</xdr:colOff>
      <xdr:row>0</xdr:row>
      <xdr:rowOff>142875</xdr:rowOff>
    </xdr:from>
    <xdr:to>
      <xdr:col>5</xdr:col>
      <xdr:colOff>9526</xdr:colOff>
      <xdr:row>5</xdr:row>
      <xdr:rowOff>108432</xdr:rowOff>
    </xdr:to>
    <xdr:pic>
      <xdr:nvPicPr>
        <xdr:cNvPr id="2" name="Grafik 1">
          <a:extLst>
            <a:ext uri="{FF2B5EF4-FFF2-40B4-BE49-F238E27FC236}">
              <a16:creationId xmlns:a16="http://schemas.microsoft.com/office/drawing/2014/main" id="{D540E453-DBB2-46D8-AAED-33B65FA17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390523</xdr:colOff>
      <xdr:row>2</xdr:row>
      <xdr:rowOff>66674</xdr:rowOff>
    </xdr:from>
    <xdr:to>
      <xdr:col>22</xdr:col>
      <xdr:colOff>0</xdr:colOff>
      <xdr:row>50</xdr:row>
      <xdr:rowOff>0</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4"/>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12</xdr:col>
      <xdr:colOff>9524</xdr:colOff>
      <xdr:row>52</xdr:row>
      <xdr:rowOff>0</xdr:rowOff>
    </xdr:from>
    <xdr:to>
      <xdr:col>21</xdr:col>
      <xdr:colOff>761999</xdr:colOff>
      <xdr:row>96</xdr:row>
      <xdr:rowOff>152400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66675</xdr:rowOff>
    </xdr:from>
    <xdr:to>
      <xdr:col>11</xdr:col>
      <xdr:colOff>9525</xdr:colOff>
      <xdr:row>50</xdr:row>
      <xdr:rowOff>0</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5"/>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Finals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Finals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Finals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endParaRPr lang="de-DE" sz="1400">
            <a:effectLst/>
          </a:endParaRPr>
        </a:p>
      </xdr:txBody>
    </xdr:sp>
    <xdr:clientData/>
  </xdr:twoCellAnchor>
  <xdr:twoCellAnchor>
    <xdr:from>
      <xdr:col>1</xdr:col>
      <xdr:colOff>9524</xdr:colOff>
      <xdr:row>52</xdr:row>
      <xdr:rowOff>9525</xdr:rowOff>
    </xdr:from>
    <xdr:to>
      <xdr:col>10</xdr:col>
      <xdr:colOff>761999</xdr:colOff>
      <xdr:row>97</xdr:row>
      <xdr:rowOff>0</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71524" y="8429625"/>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and "</a:t>
          </a:r>
          <a:r>
            <a:rPr lang="de-DE" sz="1400" b="1"/>
            <a:t>DirComparison_B</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B39"/>
  <sheetViews>
    <sheetView showGridLines="0" showRowColHeaders="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49" customWidth="1"/>
    <col min="17" max="17" width="29.7109375" style="169" customWidth="1"/>
    <col min="18" max="18" width="12.42578125" style="169" customWidth="1"/>
    <col min="19" max="19" width="11.42578125" style="169" customWidth="1"/>
    <col min="20" max="20" width="10.7109375" style="169" customWidth="1"/>
    <col min="21" max="21" width="11.42578125" hidden="1" customWidth="1"/>
    <col min="22" max="28" width="4.7109375" hidden="1" customWidth="1"/>
    <col min="29" max="16384" width="11.42578125" hidden="1"/>
  </cols>
  <sheetData>
    <row r="1" spans="1:28" ht="9.75" customHeight="1" x14ac:dyDescent="0.25">
      <c r="A1" s="163"/>
    </row>
    <row r="2" spans="1:28" ht="33.75" x14ac:dyDescent="0.5">
      <c r="A2" s="162"/>
      <c r="B2" s="239"/>
      <c r="C2" s="239"/>
      <c r="D2" s="239"/>
      <c r="E2" s="707" t="str">
        <f>Sprache!$E$30</f>
        <v>Teilnehmer und Ablaufplan</v>
      </c>
      <c r="F2" s="707"/>
      <c r="G2" s="707"/>
      <c r="H2" s="707"/>
      <c r="I2" s="707"/>
      <c r="J2" s="707"/>
      <c r="K2" s="707"/>
      <c r="L2" s="707"/>
      <c r="M2" s="707"/>
      <c r="N2" s="707"/>
      <c r="O2" s="239"/>
      <c r="P2" s="239"/>
      <c r="Q2" s="239"/>
      <c r="R2" s="239"/>
      <c r="S2" s="239"/>
    </row>
    <row r="3" spans="1:28" x14ac:dyDescent="0.25"/>
    <row r="4" spans="1:28" ht="29.25" customHeight="1" thickBot="1" x14ac:dyDescent="0.3">
      <c r="C4" s="311" t="str">
        <f>Sprache!$E$16&amp;" A"</f>
        <v>Gruppe A</v>
      </c>
      <c r="D4" s="172"/>
      <c r="E4" s="708" t="str">
        <f>Sprache!$E$32</f>
        <v>Ablaufplan</v>
      </c>
      <c r="F4" s="708"/>
      <c r="G4" s="352"/>
      <c r="H4" s="352"/>
      <c r="I4" s="352"/>
      <c r="J4" s="352"/>
      <c r="K4" s="352"/>
      <c r="L4" s="352"/>
      <c r="M4" s="352"/>
      <c r="N4" s="352"/>
      <c r="O4" s="709" t="str">
        <f>Sprache!$E$20</f>
        <v>Zusätzl. Pause (min)</v>
      </c>
      <c r="Q4" s="412" t="str">
        <f>Sprache!$E$41</f>
        <v>Spielzeiten</v>
      </c>
    </row>
    <row r="5" spans="1:28" ht="15.95" customHeight="1" thickTop="1" thickBot="1" x14ac:dyDescent="0.3">
      <c r="A5" s="69"/>
      <c r="B5" s="681"/>
      <c r="C5" s="683" t="str">
        <f>Sprache!$E$10</f>
        <v>Teilnehmer bzw. Mannschaft</v>
      </c>
      <c r="D5" s="65"/>
      <c r="E5" s="186" t="str">
        <f>Sprache!$E$33</f>
        <v>Spiel-Nr.</v>
      </c>
      <c r="F5" s="187" t="str">
        <f>Sprache!$E$39</f>
        <v>Beginn</v>
      </c>
      <c r="G5" s="187" t="str">
        <f>Sprache!$E$48</f>
        <v>Feld</v>
      </c>
      <c r="H5" s="187" t="str">
        <f>Sprache!$E$17</f>
        <v>Grp</v>
      </c>
      <c r="I5" s="703" t="str">
        <f>Sprache!$E$34</f>
        <v>Paarungen</v>
      </c>
      <c r="J5" s="703"/>
      <c r="K5" s="703"/>
      <c r="L5" s="703" t="str">
        <f>Sprache!$E$31</f>
        <v>Teilnehmer</v>
      </c>
      <c r="M5" s="703"/>
      <c r="N5" s="704"/>
      <c r="O5" s="710"/>
      <c r="Q5" s="705" t="str">
        <f>Sprache!$E$39</f>
        <v>Beginn</v>
      </c>
      <c r="R5" s="711">
        <v>0.375</v>
      </c>
      <c r="S5" s="713" t="str">
        <f>Sprache!$E$45</f>
        <v>Uhr</v>
      </c>
      <c r="T5" s="170"/>
      <c r="V5" s="466"/>
      <c r="W5" s="467">
        <v>1</v>
      </c>
      <c r="X5" s="467">
        <v>2</v>
      </c>
      <c r="Y5" s="467">
        <v>3</v>
      </c>
      <c r="Z5" s="467">
        <v>4</v>
      </c>
      <c r="AA5" s="467">
        <v>5</v>
      </c>
      <c r="AB5" s="468">
        <v>6</v>
      </c>
    </row>
    <row r="6" spans="1:28" ht="15.95" customHeight="1" x14ac:dyDescent="0.25">
      <c r="A6" s="69"/>
      <c r="B6" s="682"/>
      <c r="C6" s="684"/>
      <c r="D6" s="538">
        <v>1</v>
      </c>
      <c r="E6" s="494">
        <f>IF($D6&gt;Calc1!$B$14,"",1)</f>
        <v>1</v>
      </c>
      <c r="F6" s="188">
        <f>IF(OR($U$15,$D6&gt;Calc1!$B$14),"",$R$5)</f>
        <v>0.375</v>
      </c>
      <c r="G6" s="178" t="str">
        <f>IF(OR($U$15,$D6&gt;Calc1!$B$14),"","1")</f>
        <v>1</v>
      </c>
      <c r="H6" s="332" t="str">
        <f ca="1">IF($I6="","",IF(LEFT($I6,1)&lt;&gt;LEFT($K6,1),"??",LEFT($I6,1)))</f>
        <v>A</v>
      </c>
      <c r="I6" s="355" t="str">
        <f t="array" aca="1" ref="I6:I35" ca="1">IF(Calc1!$F$14&lt;3,"",IF(OFFSET(Pairings!$A$1,0,(Calc1!$F$14-2)*4-1,30,1)="","",OFFSET(Pairings!$A$1,0,(Calc1!$F$14-2)*4-1,30,1)))</f>
        <v>A5</v>
      </c>
      <c r="J6" s="356" t="s">
        <v>5</v>
      </c>
      <c r="K6" s="357" t="str">
        <f t="array" aca="1" ref="K6:K35" ca="1">IF(Calc1!$F$14&lt;3,"",IF(OFFSET(Pairings!$A$1,0,(Calc1!$F$14-2)*4,30,1)="","",OFFSET(Pairings!$A$1,0,(Calc1!$F$14-2)*4,30,1)))</f>
        <v>A2</v>
      </c>
      <c r="L6" s="183" t="str">
        <f ca="1">IF($I6="","",IF(VLOOKUP($I6,$B$7:$C$35,2,0)="","",VLOOKUP($I6,$B$7:$C$35,2,0)))</f>
        <v>VFB Essenheim</v>
      </c>
      <c r="M6" s="184" t="s">
        <v>5</v>
      </c>
      <c r="N6" s="185" t="str">
        <f ca="1">IF($K6="","",IF(VLOOKUP($K6,$B$7:$C$35,2,0)="","",VLOOKUP($K6,$B$7:$C$35,2,0)))</f>
        <v>FC Barcelona</v>
      </c>
      <c r="O6" s="366"/>
      <c r="P6" s="353"/>
      <c r="Q6" s="697"/>
      <c r="R6" s="712"/>
      <c r="S6" s="702"/>
      <c r="T6" s="170"/>
      <c r="V6" s="469">
        <v>1</v>
      </c>
      <c r="W6" s="524">
        <v>6</v>
      </c>
      <c r="X6" s="525">
        <v>6</v>
      </c>
      <c r="Y6" s="525">
        <v>6</v>
      </c>
      <c r="Z6" s="525">
        <v>6</v>
      </c>
      <c r="AA6" s="525">
        <v>6</v>
      </c>
      <c r="AB6" s="526">
        <v>6</v>
      </c>
    </row>
    <row r="7" spans="1:28" ht="15.95" customHeight="1" x14ac:dyDescent="0.25">
      <c r="A7" s="69"/>
      <c r="B7" s="685" t="s">
        <v>208</v>
      </c>
      <c r="C7" s="687" t="s">
        <v>265</v>
      </c>
      <c r="D7" s="538">
        <v>2</v>
      </c>
      <c r="E7" s="495">
        <f t="array" aca="1" ref="E7" ca="1">IF($D7&gt;Calc1!$B$14,"",ROW(2:2)-SUM((($L$6:$L6="")+($N$6:$N6="")&gt;0)*1))</f>
        <v>2</v>
      </c>
      <c r="F7" s="177">
        <f ca="1">IF(OR($U$15,$D7&gt;Calc1!$B$14),"",$R$5+QUOTIENT(($E7-1),$U$11)*($R$7+$R$9)/1440+SUM($O$6:$O6)/1440)</f>
        <v>0.375</v>
      </c>
      <c r="G7" s="179">
        <f ca="1">IF(OR($U$15,$D7&gt;Calc1!$B$14),"",MOD($E7-1,$U$11)+1)</f>
        <v>2</v>
      </c>
      <c r="H7" s="332" t="str">
        <f t="shared" ref="H7:H35" ca="1" si="0">IF($I7="","",IF(LEFT($I7,1)&lt;&gt;LEFT($K7,1),"??",LEFT($I7,1)))</f>
        <v>B</v>
      </c>
      <c r="I7" s="358" t="str">
        <f ca="1"/>
        <v>B5</v>
      </c>
      <c r="J7" s="359" t="s">
        <v>5</v>
      </c>
      <c r="K7" s="360" t="str">
        <f ca="1"/>
        <v>B2</v>
      </c>
      <c r="L7" s="183" t="str">
        <f t="shared" ref="L7:L35" ca="1" si="1">IF($I7="","",IF(VLOOKUP($I7,$B$7:$C$35,2,0)="","",VLOOKUP($I7,$B$7:$C$35,2,0)))</f>
        <v>FC Grönlingen</v>
      </c>
      <c r="M7" s="50" t="s">
        <v>5</v>
      </c>
      <c r="N7" s="185" t="str">
        <f t="shared" ref="N7:N35" ca="1" si="2">IF($K7="","",IF(VLOOKUP($K7,$B$7:$C$35,2,0)="","",VLOOKUP($K7,$B$7:$C$35,2,0)))</f>
        <v>Inter Mailand</v>
      </c>
      <c r="O7" s="367"/>
      <c r="P7" s="353"/>
      <c r="Q7" s="697" t="str">
        <f>Sprache!$E$42</f>
        <v>Spielzeit pro Spiel:</v>
      </c>
      <c r="R7" s="701">
        <v>30</v>
      </c>
      <c r="S7" s="702" t="s">
        <v>165</v>
      </c>
      <c r="T7" s="123"/>
      <c r="U7" t="s">
        <v>277</v>
      </c>
      <c r="V7" s="469">
        <v>2</v>
      </c>
      <c r="W7" s="527">
        <v>6</v>
      </c>
      <c r="X7" s="528">
        <v>6</v>
      </c>
      <c r="Y7" s="528">
        <v>6</v>
      </c>
      <c r="Z7" s="528">
        <v>6</v>
      </c>
      <c r="AA7" s="528">
        <v>6</v>
      </c>
      <c r="AB7" s="529">
        <v>6</v>
      </c>
    </row>
    <row r="8" spans="1:28" ht="15.95" customHeight="1" x14ac:dyDescent="0.25">
      <c r="A8" s="69"/>
      <c r="B8" s="686"/>
      <c r="C8" s="688"/>
      <c r="D8" s="538">
        <v>3</v>
      </c>
      <c r="E8" s="495">
        <f t="array" aca="1" ref="E8" ca="1">IF($D8&gt;Calc1!$B$14,"",ROW(3:3)-SUM((($L$6:$L7="")+($N$6:$N7="")&gt;0)*1))</f>
        <v>3</v>
      </c>
      <c r="F8" s="177">
        <f ca="1">IF(OR($U$15,$D8&gt;Calc1!$B$14),"",$R$5+QUOTIENT(($E8-1),$U$11)*($R$7+$R$9)/1440+SUM($O$6:$O7)/1440)</f>
        <v>0.375</v>
      </c>
      <c r="G8" s="179">
        <f ca="1">IF(OR($U$15,$D8&gt;Calc1!$B$14),"",MOD($E8-1,$U$11)+1)</f>
        <v>3</v>
      </c>
      <c r="H8" s="332" t="str">
        <f t="shared" ca="1" si="0"/>
        <v>A</v>
      </c>
      <c r="I8" s="358" t="str">
        <f ca="1"/>
        <v>A3</v>
      </c>
      <c r="J8" s="359" t="s">
        <v>5</v>
      </c>
      <c r="K8" s="360" t="str">
        <f ca="1"/>
        <v>A4</v>
      </c>
      <c r="L8" s="183" t="str">
        <f t="shared" ca="1" si="1"/>
        <v>Eintracht Frankfurt</v>
      </c>
      <c r="M8" s="50" t="s">
        <v>5</v>
      </c>
      <c r="N8" s="185" t="str">
        <f t="shared" ca="1" si="2"/>
        <v>Maibach 1822 eV</v>
      </c>
      <c r="O8" s="367"/>
      <c r="P8" s="353"/>
      <c r="Q8" s="697"/>
      <c r="R8" s="701"/>
      <c r="S8" s="702"/>
      <c r="T8" s="170"/>
      <c r="U8" t="s">
        <v>276</v>
      </c>
      <c r="V8" s="469">
        <v>3</v>
      </c>
      <c r="W8" s="527">
        <v>6</v>
      </c>
      <c r="X8" s="528">
        <v>6</v>
      </c>
      <c r="Y8" s="528">
        <v>6</v>
      </c>
      <c r="Z8" s="528">
        <v>6</v>
      </c>
      <c r="AA8" s="528">
        <v>6</v>
      </c>
      <c r="AB8" s="529">
        <v>6</v>
      </c>
    </row>
    <row r="9" spans="1:28" ht="15.95" customHeight="1" x14ac:dyDescent="0.25">
      <c r="A9" s="69"/>
      <c r="B9" s="689" t="s">
        <v>210</v>
      </c>
      <c r="C9" s="690" t="s">
        <v>266</v>
      </c>
      <c r="D9" s="538">
        <v>4</v>
      </c>
      <c r="E9" s="495">
        <f t="array" aca="1" ref="E9" ca="1">IF($D9&gt;Calc1!$B$14,"",ROW(4:4)-SUM((($L$6:$L8="")+($N$6:$N8="")&gt;0)*1))</f>
        <v>4</v>
      </c>
      <c r="F9" s="177">
        <f ca="1">IF(OR($U$15,$D9&gt;Calc1!$B$14),"",$R$5+QUOTIENT(($E9-1),$U$11)*($R$7+$R$9)/1440+SUM($O$6:$O8)/1440)</f>
        <v>0.375</v>
      </c>
      <c r="G9" s="179">
        <f ca="1">IF(OR($U$15,$D9&gt;Calc1!$B$14),"",MOD($E9-1,$U$11)+1)</f>
        <v>4</v>
      </c>
      <c r="H9" s="332" t="str">
        <f t="shared" ca="1" si="0"/>
        <v>B</v>
      </c>
      <c r="I9" s="358" t="str">
        <f ca="1"/>
        <v>B3</v>
      </c>
      <c r="J9" s="359" t="s">
        <v>5</v>
      </c>
      <c r="K9" s="360" t="str">
        <f ca="1"/>
        <v>B4</v>
      </c>
      <c r="L9" s="183" t="str">
        <f t="shared" ca="1" si="1"/>
        <v>SSV Wildbach</v>
      </c>
      <c r="M9" s="50" t="s">
        <v>5</v>
      </c>
      <c r="N9" s="185" t="str">
        <f t="shared" ca="1" si="2"/>
        <v>Manchester City</v>
      </c>
      <c r="O9" s="367"/>
      <c r="P9" s="353"/>
      <c r="Q9" s="697" t="str">
        <f>Sprache!$E$43</f>
        <v>Wechselzeit:</v>
      </c>
      <c r="R9" s="701">
        <v>5</v>
      </c>
      <c r="S9" s="702" t="s">
        <v>165</v>
      </c>
      <c r="T9" s="170"/>
      <c r="U9" t="s">
        <v>275</v>
      </c>
      <c r="V9" s="469">
        <v>4</v>
      </c>
      <c r="W9" s="527">
        <v>6</v>
      </c>
      <c r="X9" s="528">
        <v>6</v>
      </c>
      <c r="Y9" s="528">
        <v>6</v>
      </c>
      <c r="Z9" s="528">
        <v>6</v>
      </c>
      <c r="AA9" s="528">
        <v>6</v>
      </c>
      <c r="AB9" s="529">
        <v>6</v>
      </c>
    </row>
    <row r="10" spans="1:28" ht="15.95" customHeight="1" x14ac:dyDescent="0.25">
      <c r="A10" s="69"/>
      <c r="B10" s="686"/>
      <c r="C10" s="688"/>
      <c r="D10" s="538">
        <v>5</v>
      </c>
      <c r="E10" s="495">
        <f t="array" aca="1" ref="E10" ca="1">IF($D10&gt;Calc1!$B$14,"",ROW(5:5)-SUM((($L$6:$L9="")+($N$6:$N9="")&gt;0)*1))</f>
        <v>5</v>
      </c>
      <c r="F10" s="177">
        <f ca="1">IF(OR($U$15,$D10&gt;Calc1!$B$14),"",$R$5+QUOTIENT(($E10-1),$U$11)*($R$7+$R$9)/1440+SUM($O$6:$O9)/1440)</f>
        <v>0.39930555555555558</v>
      </c>
      <c r="G10" s="179">
        <f ca="1">IF(OR($U$15,$D10&gt;Calc1!$B$14),"",MOD($E10-1,$U$11)+1)</f>
        <v>1</v>
      </c>
      <c r="H10" s="332" t="str">
        <f t="shared" ca="1" si="0"/>
        <v>A</v>
      </c>
      <c r="I10" s="358" t="str">
        <f ca="1"/>
        <v>A5</v>
      </c>
      <c r="J10" s="359" t="s">
        <v>5</v>
      </c>
      <c r="K10" s="360" t="str">
        <f ca="1"/>
        <v>A1</v>
      </c>
      <c r="L10" s="183" t="str">
        <f t="shared" ca="1" si="1"/>
        <v>VFB Essenheim</v>
      </c>
      <c r="M10" s="50" t="s">
        <v>5</v>
      </c>
      <c r="N10" s="185" t="str">
        <f t="shared" ca="1" si="2"/>
        <v>1. FC Riedwald</v>
      </c>
      <c r="O10" s="367"/>
      <c r="P10" s="353"/>
      <c r="Q10" s="697"/>
      <c r="R10" s="701"/>
      <c r="S10" s="702"/>
      <c r="T10" s="170"/>
      <c r="U10" s="471">
        <f>IF(OR(Calc1!$F$13&lt;1,Calc2!$F$13&lt;1),6,INDEX($W$6:$AB$11,Calc1!$F$13,Calc2!$F$13))</f>
        <v>6</v>
      </c>
      <c r="V10" s="469">
        <v>5</v>
      </c>
      <c r="W10" s="527">
        <v>6</v>
      </c>
      <c r="X10" s="528">
        <v>6</v>
      </c>
      <c r="Y10" s="528">
        <v>6</v>
      </c>
      <c r="Z10" s="528">
        <v>6</v>
      </c>
      <c r="AA10" s="528">
        <v>6</v>
      </c>
      <c r="AB10" s="529">
        <v>6</v>
      </c>
    </row>
    <row r="11" spans="1:28" ht="15.95" customHeight="1" thickBot="1" x14ac:dyDescent="0.3">
      <c r="A11" s="69"/>
      <c r="B11" s="689" t="s">
        <v>206</v>
      </c>
      <c r="C11" s="690" t="s">
        <v>267</v>
      </c>
      <c r="D11" s="538">
        <v>6</v>
      </c>
      <c r="E11" s="495">
        <f t="array" aca="1" ref="E11" ca="1">IF($D11&gt;Calc1!$B$14,"",ROW(6:6)-SUM((($L$6:$L10="")+($N$6:$N10="")&gt;0)*1))</f>
        <v>6</v>
      </c>
      <c r="F11" s="177">
        <f ca="1">IF(OR($U$15,$D11&gt;Calc1!$B$14),"",$R$5+QUOTIENT(($E11-1),$U$11)*($R$7+$R$9)/1440+SUM($O$6:$O10)/1440)</f>
        <v>0.39930555555555558</v>
      </c>
      <c r="G11" s="179">
        <f ca="1">IF(OR($U$15,$D11&gt;Calc1!$B$14),"",MOD($E11-1,$U$11)+1)</f>
        <v>2</v>
      </c>
      <c r="H11" s="332" t="str">
        <f t="shared" ca="1" si="0"/>
        <v>B</v>
      </c>
      <c r="I11" s="358" t="str">
        <f ca="1"/>
        <v>B5</v>
      </c>
      <c r="J11" s="359" t="s">
        <v>5</v>
      </c>
      <c r="K11" s="360" t="str">
        <f ca="1"/>
        <v>B1</v>
      </c>
      <c r="L11" s="183" t="str">
        <f t="shared" ca="1" si="1"/>
        <v>FC Grönlingen</v>
      </c>
      <c r="M11" s="50" t="s">
        <v>5</v>
      </c>
      <c r="N11" s="185" t="str">
        <f t="shared" ca="1" si="2"/>
        <v>Mainz 05</v>
      </c>
      <c r="O11" s="367"/>
      <c r="P11" s="353"/>
      <c r="Q11" s="697" t="str">
        <f>Sprache!$E$44</f>
        <v>Anzahl der Spielfelder:</v>
      </c>
      <c r="R11" s="701">
        <v>4</v>
      </c>
      <c r="S11" s="718" t="str">
        <f>"(max. "&amp;$U$10&amp;")"</f>
        <v>(max. 6)</v>
      </c>
      <c r="U11" s="471">
        <f>MIN($R$11,$U$10)</f>
        <v>4</v>
      </c>
      <c r="V11" s="470">
        <v>6</v>
      </c>
      <c r="W11" s="530">
        <v>6</v>
      </c>
      <c r="X11" s="531">
        <v>6</v>
      </c>
      <c r="Y11" s="531">
        <v>6</v>
      </c>
      <c r="Z11" s="531">
        <v>6</v>
      </c>
      <c r="AA11" s="531">
        <v>6</v>
      </c>
      <c r="AB11" s="532">
        <v>6</v>
      </c>
    </row>
    <row r="12" spans="1:28" ht="15.95" customHeight="1" thickTop="1" thickBot="1" x14ac:dyDescent="0.3">
      <c r="A12" s="69"/>
      <c r="B12" s="686"/>
      <c r="C12" s="688"/>
      <c r="D12" s="538">
        <v>7</v>
      </c>
      <c r="E12" s="495">
        <f t="array" aca="1" ref="E12" ca="1">IF($D12&gt;Calc1!$B$14,"",ROW(7:7)-SUM((($L$6:$L11="")+($N$6:$N11="")&gt;0)*1))</f>
        <v>7</v>
      </c>
      <c r="F12" s="177">
        <f ca="1">IF(OR($U$15,$D12&gt;Calc1!$B$14),"",$R$5+QUOTIENT(($E12-1),$U$11)*($R$7+$R$9)/1440+SUM($O$6:$O11)/1440)</f>
        <v>0.39930555555555558</v>
      </c>
      <c r="G12" s="179">
        <f ca="1">IF(OR($U$15,$D12&gt;Calc1!$B$14),"",MOD($E12-1,$U$11)+1)</f>
        <v>3</v>
      </c>
      <c r="H12" s="332" t="str">
        <f t="shared" ca="1" si="0"/>
        <v>A</v>
      </c>
      <c r="I12" s="358" t="str">
        <f ca="1"/>
        <v>A2</v>
      </c>
      <c r="J12" s="359" t="s">
        <v>5</v>
      </c>
      <c r="K12" s="360" t="str">
        <f ca="1"/>
        <v>A3</v>
      </c>
      <c r="L12" s="183" t="str">
        <f t="shared" ca="1" si="1"/>
        <v>FC Barcelona</v>
      </c>
      <c r="M12" s="50" t="s">
        <v>5</v>
      </c>
      <c r="N12" s="185" t="str">
        <f t="shared" ca="1" si="2"/>
        <v>Eintracht Frankfurt</v>
      </c>
      <c r="O12" s="367"/>
      <c r="P12" s="353"/>
      <c r="Q12" s="700"/>
      <c r="R12" s="717"/>
      <c r="S12" s="719"/>
      <c r="T12" s="123"/>
      <c r="U12" s="493" t="s">
        <v>292</v>
      </c>
    </row>
    <row r="13" spans="1:28" ht="15.95" customHeight="1" x14ac:dyDescent="0.25">
      <c r="A13" s="69"/>
      <c r="B13" s="689" t="s">
        <v>212</v>
      </c>
      <c r="C13" s="690" t="s">
        <v>268</v>
      </c>
      <c r="D13" s="538">
        <v>8</v>
      </c>
      <c r="E13" s="495">
        <f t="array" aca="1" ref="E13" ca="1">IF($D13&gt;Calc1!$B$14,"",ROW(8:8)-SUM((($L$6:$L12="")+($N$6:$N12="")&gt;0)*1))</f>
        <v>8</v>
      </c>
      <c r="F13" s="177">
        <f ca="1">IF(OR($U$15,$D13&gt;Calc1!$B$14),"",$R$5+QUOTIENT(($E13-1),$U$11)*($R$7+$R$9)/1440+SUM($O$6:$O12)/1440)</f>
        <v>0.39930555555555558</v>
      </c>
      <c r="G13" s="179">
        <f ca="1">IF(OR($U$15,$D13&gt;Calc1!$B$14),"",MOD($E13-1,$U$11)+1)</f>
        <v>4</v>
      </c>
      <c r="H13" s="332" t="str">
        <f t="shared" ca="1" si="0"/>
        <v>B</v>
      </c>
      <c r="I13" s="358" t="str">
        <f ca="1"/>
        <v>B2</v>
      </c>
      <c r="J13" s="359" t="s">
        <v>5</v>
      </c>
      <c r="K13" s="360" t="str">
        <f ca="1"/>
        <v>B3</v>
      </c>
      <c r="L13" s="183" t="str">
        <f t="shared" ca="1" si="1"/>
        <v>Inter Mailand</v>
      </c>
      <c r="M13" s="50" t="s">
        <v>5</v>
      </c>
      <c r="N13" s="185" t="str">
        <f t="shared" ca="1" si="2"/>
        <v>SSV Wildbach</v>
      </c>
      <c r="O13" s="367"/>
      <c r="P13" s="353"/>
      <c r="Q13" s="698" t="str">
        <f>Sprache!$E$40</f>
        <v>Ende der Vorrunde:</v>
      </c>
      <c r="R13" s="720">
        <f t="array" aca="1" ref="R13" ca="1">IF($U$15,"",$R$5+(ROUNDUP((Calc1!$B$14-SUM(((OFFSET($L$6,,,Calc1!$B$14,1)="")+(OFFSET($N$6,,,Calc1!$B$14,1)="")&gt;0)*1))/$U11,0)*($R$7+$R$9)-$R$9)/1440+SUM(OFFSET($O$6,,,Calc1!$B$14-1,1))/1440)</f>
        <v>0.49305555555555558</v>
      </c>
      <c r="S13" s="714"/>
      <c r="T13" s="170"/>
      <c r="U13" s="472" t="s">
        <v>278</v>
      </c>
    </row>
    <row r="14" spans="1:28" ht="15.95" customHeight="1" thickBot="1" x14ac:dyDescent="0.3">
      <c r="A14" s="69"/>
      <c r="B14" s="686"/>
      <c r="C14" s="688"/>
      <c r="D14" s="538">
        <v>9</v>
      </c>
      <c r="E14" s="495">
        <f t="array" aca="1" ref="E14" ca="1">IF($D14&gt;Calc1!$B$14,"",ROW(9:9)-SUM((($L$6:$L13="")+($N$6:$N13="")&gt;0)*1))</f>
        <v>9</v>
      </c>
      <c r="F14" s="177">
        <f ca="1">IF(OR($U$15,$D14&gt;Calc1!$B$14),"",$R$5+QUOTIENT(($E14-1),$U$11)*($R$7+$R$9)/1440+SUM($O$6:$O13)/1440)</f>
        <v>0.4236111111111111</v>
      </c>
      <c r="G14" s="179">
        <f ca="1">IF(OR($U$15,$D14&gt;Calc1!$B$14),"",MOD($E14-1,$U$11)+1)</f>
        <v>1</v>
      </c>
      <c r="H14" s="332" t="str">
        <f t="shared" ca="1" si="0"/>
        <v>A</v>
      </c>
      <c r="I14" s="358" t="str">
        <f ca="1"/>
        <v>A1</v>
      </c>
      <c r="J14" s="359" t="s">
        <v>5</v>
      </c>
      <c r="K14" s="360" t="str">
        <f ca="1"/>
        <v>A4</v>
      </c>
      <c r="L14" s="183" t="str">
        <f t="shared" ca="1" si="1"/>
        <v>1. FC Riedwald</v>
      </c>
      <c r="M14" s="50" t="s">
        <v>5</v>
      </c>
      <c r="N14" s="185" t="str">
        <f t="shared" ca="1" si="2"/>
        <v>Maibach 1822 eV</v>
      </c>
      <c r="O14" s="367"/>
      <c r="P14" s="353"/>
      <c r="Q14" s="699"/>
      <c r="R14" s="721"/>
      <c r="S14" s="715"/>
      <c r="T14" s="170"/>
      <c r="U14" s="472" t="s">
        <v>279</v>
      </c>
    </row>
    <row r="15" spans="1:28" ht="15.95" customHeight="1" x14ac:dyDescent="0.25">
      <c r="A15" s="69"/>
      <c r="B15" s="689" t="s">
        <v>214</v>
      </c>
      <c r="C15" s="690" t="s">
        <v>339</v>
      </c>
      <c r="D15" s="538">
        <v>10</v>
      </c>
      <c r="E15" s="495">
        <f t="array" aca="1" ref="E15" ca="1">IF($D15&gt;Calc1!$B$14,"",ROW(10:10)-SUM((($L$6:$L14="")+($N$6:$N14="")&gt;0)*1))</f>
        <v>10</v>
      </c>
      <c r="F15" s="177">
        <f ca="1">IF(OR($U$15,$D15&gt;Calc1!$B$14),"",$R$5+QUOTIENT(($E15-1),$U$11)*($R$7+$R$9)/1440+SUM($O$6:$O14)/1440)</f>
        <v>0.4236111111111111</v>
      </c>
      <c r="G15" s="179">
        <f ca="1">IF(OR($U$15,$D15&gt;Calc1!$B$14),"",MOD($E15-1,$U$11)+1)</f>
        <v>2</v>
      </c>
      <c r="H15" s="332" t="str">
        <f t="shared" ca="1" si="0"/>
        <v>B</v>
      </c>
      <c r="I15" s="358" t="str">
        <f ca="1"/>
        <v>B1</v>
      </c>
      <c r="J15" s="359" t="s">
        <v>5</v>
      </c>
      <c r="K15" s="360" t="str">
        <f ca="1"/>
        <v>B4</v>
      </c>
      <c r="L15" s="183" t="str">
        <f t="shared" ca="1" si="1"/>
        <v>Mainz 05</v>
      </c>
      <c r="M15" s="50" t="s">
        <v>5</v>
      </c>
      <c r="N15" s="185" t="str">
        <f t="shared" ca="1" si="2"/>
        <v>Manchester City</v>
      </c>
      <c r="O15" s="367"/>
      <c r="P15" s="353"/>
      <c r="Q15" s="543" t="str">
        <f>Sprache!$E$84</f>
        <v>Turnierende (Endrunde 1):</v>
      </c>
      <c r="R15" s="546">
        <f ca="1">'Endrunde 1'!$I$19</f>
        <v>0.54166666666666674</v>
      </c>
      <c r="S15" s="476"/>
      <c r="T15" s="170"/>
      <c r="U15" s="473" t="b">
        <f>OR($R$5="",$R$7="",$R$9="",$R$11="",Calc1!$F$14&lt;3)</f>
        <v>0</v>
      </c>
    </row>
    <row r="16" spans="1:28" ht="15.95" customHeight="1" x14ac:dyDescent="0.25">
      <c r="A16" s="69"/>
      <c r="B16" s="686"/>
      <c r="C16" s="688"/>
      <c r="D16" s="538">
        <v>11</v>
      </c>
      <c r="E16" s="495">
        <f t="array" aca="1" ref="E16" ca="1">IF($D16&gt;Calc1!$B$14,"",ROW(11:11)-SUM((($L$6:$L15="")+($N$6:$N15="")&gt;0)*1))</f>
        <v>11</v>
      </c>
      <c r="F16" s="177">
        <f ca="1">IF(OR($U$15,$D16&gt;Calc1!$B$14),"",$R$5+QUOTIENT(($E16-1),$U$11)*($R$7+$R$9)/1440+SUM($O$6:$O15)/1440)</f>
        <v>0.4236111111111111</v>
      </c>
      <c r="G16" s="179">
        <f ca="1">IF(OR($U$15,$D16&gt;Calc1!$B$14),"",MOD($E16-1,$U$11)+1)</f>
        <v>3</v>
      </c>
      <c r="H16" s="332" t="str">
        <f t="shared" ca="1" si="0"/>
        <v>A</v>
      </c>
      <c r="I16" s="358" t="str">
        <f ca="1"/>
        <v>A3</v>
      </c>
      <c r="J16" s="359" t="s">
        <v>5</v>
      </c>
      <c r="K16" s="360" t="str">
        <f ca="1"/>
        <v>A5</v>
      </c>
      <c r="L16" s="183" t="str">
        <f t="shared" ca="1" si="1"/>
        <v>Eintracht Frankfurt</v>
      </c>
      <c r="M16" s="50" t="s">
        <v>5</v>
      </c>
      <c r="N16" s="185" t="str">
        <f t="shared" ca="1" si="2"/>
        <v>VFB Essenheim</v>
      </c>
      <c r="O16" s="367"/>
      <c r="P16" s="353"/>
      <c r="Q16" s="544" t="str">
        <f>Sprache!$E$85</f>
        <v>Turnierende (Endrunde 2):</v>
      </c>
      <c r="R16" s="547">
        <f ca="1">'Endrunde 2'!$I$23</f>
        <v>0.60069444444444453</v>
      </c>
      <c r="S16" s="542"/>
      <c r="T16" s="170"/>
    </row>
    <row r="17" spans="1:28" ht="15.95" customHeight="1" x14ac:dyDescent="0.25">
      <c r="A17" s="69"/>
      <c r="B17" s="689" t="s">
        <v>216</v>
      </c>
      <c r="C17" s="690"/>
      <c r="D17" s="538">
        <v>12</v>
      </c>
      <c r="E17" s="495">
        <f t="array" aca="1" ref="E17" ca="1">IF($D17&gt;Calc1!$B$14,"",ROW(12:12)-SUM((($L$6:$L16="")+($N$6:$N16="")&gt;0)*1))</f>
        <v>12</v>
      </c>
      <c r="F17" s="177">
        <f ca="1">IF(OR($U$15,$D17&gt;Calc1!$B$14),"",$R$5+QUOTIENT(($E17-1),$U$11)*($R$7+$R$9)/1440+SUM($O$6:$O16)/1440)</f>
        <v>0.4236111111111111</v>
      </c>
      <c r="G17" s="179">
        <f ca="1">IF(OR($U$15,$D17&gt;Calc1!$B$14),"",MOD($E17-1,$U$11)+1)</f>
        <v>4</v>
      </c>
      <c r="H17" s="332" t="str">
        <f t="shared" ca="1" si="0"/>
        <v>B</v>
      </c>
      <c r="I17" s="358" t="str">
        <f ca="1"/>
        <v>B3</v>
      </c>
      <c r="J17" s="359" t="s">
        <v>5</v>
      </c>
      <c r="K17" s="360" t="str">
        <f ca="1"/>
        <v>B5</v>
      </c>
      <c r="L17" s="183" t="str">
        <f t="shared" ca="1" si="1"/>
        <v>SSV Wildbach</v>
      </c>
      <c r="M17" s="50" t="s">
        <v>5</v>
      </c>
      <c r="N17" s="185" t="str">
        <f t="shared" ca="1" si="2"/>
        <v>FC Grönlingen</v>
      </c>
      <c r="O17" s="367"/>
      <c r="P17" s="353"/>
      <c r="Q17" s="544" t="str">
        <f>Sprache!$E$86</f>
        <v>Turnierende (Endrunde 3):</v>
      </c>
      <c r="R17" s="547">
        <f ca="1">'Endrunde 3'!$I$18</f>
        <v>0.56597222222222232</v>
      </c>
      <c r="S17" s="542"/>
      <c r="T17" s="170"/>
      <c r="V17" s="168">
        <f>Calc1!$F$13</f>
        <v>5</v>
      </c>
      <c r="W17" s="168">
        <f>Calc2!$F$13</f>
        <v>5</v>
      </c>
    </row>
    <row r="18" spans="1:28" ht="15.95" customHeight="1" thickBot="1" x14ac:dyDescent="0.3">
      <c r="A18" s="69"/>
      <c r="B18" s="691"/>
      <c r="C18" s="692"/>
      <c r="D18" s="538">
        <v>13</v>
      </c>
      <c r="E18" s="495">
        <f t="array" aca="1" ref="E18" ca="1">IF($D18&gt;Calc1!$B$14,"",ROW(13:13)-SUM((($L$6:$L17="")+($N$6:$N17="")&gt;0)*1))</f>
        <v>13</v>
      </c>
      <c r="F18" s="177">
        <f ca="1">IF(OR($U$15,$D18&gt;Calc1!$B$14),"",$R$5+QUOTIENT(($E18-1),$U$11)*($R$7+$R$9)/1440+SUM($O$6:$O17)/1440)</f>
        <v>0.44791666666666669</v>
      </c>
      <c r="G18" s="179">
        <f ca="1">IF(OR($U$15,$D18&gt;Calc1!$B$14),"",MOD($E18-1,$U$11)+1)</f>
        <v>1</v>
      </c>
      <c r="H18" s="332" t="str">
        <f t="shared" ca="1" si="0"/>
        <v>A</v>
      </c>
      <c r="I18" s="358" t="str">
        <f ca="1"/>
        <v>A2</v>
      </c>
      <c r="J18" s="359" t="s">
        <v>5</v>
      </c>
      <c r="K18" s="360" t="str">
        <f ca="1"/>
        <v>A4</v>
      </c>
      <c r="L18" s="183" t="str">
        <f t="shared" ca="1" si="1"/>
        <v>FC Barcelona</v>
      </c>
      <c r="M18" s="50" t="s">
        <v>5</v>
      </c>
      <c r="N18" s="185" t="str">
        <f t="shared" ca="1" si="2"/>
        <v>Maibach 1822 eV</v>
      </c>
      <c r="O18" s="367"/>
      <c r="P18" s="353"/>
      <c r="Q18" s="545" t="str">
        <f>Sprache!$E$87</f>
        <v>Turnierende (Endrunde 4):</v>
      </c>
      <c r="R18" s="548">
        <f ca="1">'Endrunde 4'!$K$31</f>
        <v>0.59027777777777779</v>
      </c>
      <c r="S18" s="477"/>
      <c r="T18" s="170"/>
    </row>
    <row r="19" spans="1:28" ht="15.95" customHeight="1" thickTop="1" thickBot="1" x14ac:dyDescent="0.3">
      <c r="A19" s="69"/>
      <c r="B19" s="295"/>
      <c r="C19" s="294"/>
      <c r="D19" s="538">
        <v>14</v>
      </c>
      <c r="E19" s="495">
        <f t="array" aca="1" ref="E19" ca="1">IF($D19&gt;Calc1!$B$14,"",ROW(14:14)-SUM((($L$6:$L18="")+($N$6:$N18="")&gt;0)*1))</f>
        <v>14</v>
      </c>
      <c r="F19" s="177">
        <f ca="1">IF(OR($U$15,$D19&gt;Calc1!$B$14),"",$R$5+QUOTIENT(($E19-1),$U$11)*($R$7+$R$9)/1440+SUM($O$6:$O18)/1440)</f>
        <v>0.44791666666666669</v>
      </c>
      <c r="G19" s="179">
        <f ca="1">IF(OR($U$15,$D19&gt;Calc1!$B$14),"",MOD($E19-1,$U$11)+1)</f>
        <v>2</v>
      </c>
      <c r="H19" s="332" t="str">
        <f t="shared" ca="1" si="0"/>
        <v>B</v>
      </c>
      <c r="I19" s="358" t="str">
        <f ca="1"/>
        <v>B2</v>
      </c>
      <c r="J19" s="359" t="s">
        <v>5</v>
      </c>
      <c r="K19" s="360" t="str">
        <f ca="1"/>
        <v>B4</v>
      </c>
      <c r="L19" s="183" t="str">
        <f t="shared" ca="1" si="1"/>
        <v>Inter Mailand</v>
      </c>
      <c r="M19" s="50" t="s">
        <v>5</v>
      </c>
      <c r="N19" s="185" t="str">
        <f t="shared" ca="1" si="2"/>
        <v>Manchester City</v>
      </c>
      <c r="O19" s="367"/>
      <c r="P19" s="353"/>
      <c r="T19" s="170"/>
      <c r="V19" s="466"/>
      <c r="W19" s="467">
        <v>1</v>
      </c>
      <c r="X19" s="467">
        <v>2</v>
      </c>
      <c r="Y19" s="467">
        <v>3</v>
      </c>
      <c r="Z19" s="467">
        <v>4</v>
      </c>
      <c r="AA19" s="467">
        <v>5</v>
      </c>
      <c r="AB19" s="468">
        <v>6</v>
      </c>
    </row>
    <row r="20" spans="1:28" ht="15.95" customHeight="1" x14ac:dyDescent="0.25">
      <c r="A20" s="69"/>
      <c r="B20" s="693"/>
      <c r="C20" s="695" t="str">
        <f>Sprache!$E$16&amp;" B"</f>
        <v>Gruppe B</v>
      </c>
      <c r="D20" s="538">
        <v>15</v>
      </c>
      <c r="E20" s="495">
        <f t="array" aca="1" ref="E20" ca="1">IF($D20&gt;Calc1!$B$14,"",ROW(15:15)-SUM((($L$6:$L19="")+($N$6:$N19="")&gt;0)*1))</f>
        <v>15</v>
      </c>
      <c r="F20" s="177">
        <f ca="1">IF(OR($U$15,$D20&gt;Calc1!$B$14),"",$R$5+QUOTIENT(($E20-1),$U$11)*($R$7+$R$9)/1440+SUM($O$6:$O19)/1440)</f>
        <v>0.44791666666666669</v>
      </c>
      <c r="G20" s="179">
        <f ca="1">IF(OR($U$15,$D20&gt;Calc1!$B$14),"",MOD($E20-1,$U$11)+1)</f>
        <v>3</v>
      </c>
      <c r="H20" s="332" t="str">
        <f t="shared" ca="1" si="0"/>
        <v>A</v>
      </c>
      <c r="I20" s="358" t="str">
        <f ca="1"/>
        <v>A3</v>
      </c>
      <c r="J20" s="359" t="s">
        <v>5</v>
      </c>
      <c r="K20" s="360" t="str">
        <f ca="1"/>
        <v>A1</v>
      </c>
      <c r="L20" s="183" t="str">
        <f t="shared" ca="1" si="1"/>
        <v>Eintracht Frankfurt</v>
      </c>
      <c r="M20" s="50" t="s">
        <v>5</v>
      </c>
      <c r="N20" s="185" t="str">
        <f t="shared" ca="1" si="2"/>
        <v>1. FC Riedwald</v>
      </c>
      <c r="O20" s="367"/>
      <c r="P20" s="353"/>
      <c r="T20" s="170"/>
      <c r="V20" s="469">
        <v>1</v>
      </c>
      <c r="W20" s="524">
        <v>1</v>
      </c>
      <c r="X20" s="525">
        <v>1</v>
      </c>
      <c r="Y20" s="525">
        <v>1</v>
      </c>
      <c r="Z20" s="525">
        <v>2</v>
      </c>
      <c r="AA20" s="525">
        <v>2</v>
      </c>
      <c r="AB20" s="526">
        <v>3</v>
      </c>
    </row>
    <row r="21" spans="1:28" ht="15.95" customHeight="1" thickBot="1" x14ac:dyDescent="0.3">
      <c r="A21" s="69"/>
      <c r="B21" s="694"/>
      <c r="C21" s="696"/>
      <c r="D21" s="538">
        <v>16</v>
      </c>
      <c r="E21" s="495">
        <f t="array" aca="1" ref="E21" ca="1">IF($D21&gt;Calc1!$B$14,"",ROW(16:16)-SUM((($L$6:$L20="")+($N$6:$N20="")&gt;0)*1))</f>
        <v>16</v>
      </c>
      <c r="F21" s="177">
        <f ca="1">IF(OR($U$15,$D21&gt;Calc1!$B$14),"",$R$5+QUOTIENT(($E21-1),$U$11)*($R$7+$R$9)/1440+SUM($O$6:$O20)/1440)</f>
        <v>0.44791666666666669</v>
      </c>
      <c r="G21" s="179">
        <f ca="1">IF(OR($U$15,$D21&gt;Calc1!$B$14),"",MOD($E21-1,$U$11)+1)</f>
        <v>4</v>
      </c>
      <c r="H21" s="332" t="str">
        <f t="shared" ca="1" si="0"/>
        <v>B</v>
      </c>
      <c r="I21" s="358" t="str">
        <f ca="1"/>
        <v>B3</v>
      </c>
      <c r="J21" s="359" t="s">
        <v>5</v>
      </c>
      <c r="K21" s="360" t="str">
        <f ca="1"/>
        <v>B1</v>
      </c>
      <c r="L21" s="183" t="str">
        <f t="shared" ca="1" si="1"/>
        <v>SSV Wildbach</v>
      </c>
      <c r="M21" s="50" t="s">
        <v>5</v>
      </c>
      <c r="N21" s="185" t="str">
        <f t="shared" ca="1" si="2"/>
        <v>Mainz 05</v>
      </c>
      <c r="O21" s="367"/>
      <c r="P21" s="353"/>
      <c r="T21" s="170"/>
      <c r="V21" s="469">
        <v>2</v>
      </c>
      <c r="W21" s="527">
        <v>1</v>
      </c>
      <c r="X21" s="528">
        <v>2</v>
      </c>
      <c r="Y21" s="528">
        <v>1</v>
      </c>
      <c r="Z21" s="528">
        <v>2</v>
      </c>
      <c r="AA21" s="528">
        <v>2</v>
      </c>
      <c r="AB21" s="529">
        <v>3</v>
      </c>
    </row>
    <row r="22" spans="1:28" ht="15.95" customHeight="1" thickTop="1" x14ac:dyDescent="0.25">
      <c r="A22" s="69"/>
      <c r="B22" s="681"/>
      <c r="C22" s="683" t="str">
        <f>Sprache!$E$10</f>
        <v>Teilnehmer bzw. Mannschaft</v>
      </c>
      <c r="D22" s="538">
        <v>17</v>
      </c>
      <c r="E22" s="495">
        <f t="array" aca="1" ref="E22" ca="1">IF($D22&gt;Calc1!$B$14,"",ROW(17:17)-SUM((($L$6:$L21="")+($N$6:$N21="")&gt;0)*1))</f>
        <v>17</v>
      </c>
      <c r="F22" s="177">
        <f ca="1">IF(OR($U$15,$D22&gt;Calc1!$B$14),"",$R$5+QUOTIENT(($E22-1),$U$11)*($R$7+$R$9)/1440+SUM($O$6:$O21)/1440)</f>
        <v>0.47222222222222221</v>
      </c>
      <c r="G22" s="179">
        <f ca="1">IF(OR($U$15,$D22&gt;Calc1!$B$14),"",MOD($E22-1,$U$11)+1)</f>
        <v>1</v>
      </c>
      <c r="H22" s="332" t="str">
        <f t="shared" ca="1" si="0"/>
        <v>A</v>
      </c>
      <c r="I22" s="358" t="str">
        <f ca="1"/>
        <v>A4</v>
      </c>
      <c r="J22" s="359" t="s">
        <v>5</v>
      </c>
      <c r="K22" s="360" t="str">
        <f ca="1"/>
        <v>A5</v>
      </c>
      <c r="L22" s="183" t="str">
        <f t="shared" ca="1" si="1"/>
        <v>Maibach 1822 eV</v>
      </c>
      <c r="M22" s="50" t="s">
        <v>5</v>
      </c>
      <c r="N22" s="185" t="str">
        <f t="shared" ca="1" si="2"/>
        <v>VFB Essenheim</v>
      </c>
      <c r="O22" s="367"/>
      <c r="P22" s="353"/>
      <c r="Q22" s="716" t="str">
        <f>Sprache!$E$82&amp;$U$10&amp;Sprache!$E$83</f>
        <v>Wegen zeitlicher Konflikte kann nur auf maximal 6 Spielplätzen gleichzeitig gespielt werden.</v>
      </c>
      <c r="R22" s="716"/>
      <c r="S22" s="716"/>
      <c r="T22" s="170"/>
      <c r="V22" s="469">
        <v>3</v>
      </c>
      <c r="W22" s="527">
        <v>1</v>
      </c>
      <c r="X22" s="528">
        <v>1</v>
      </c>
      <c r="Y22" s="528">
        <v>2</v>
      </c>
      <c r="Z22" s="528">
        <v>3</v>
      </c>
      <c r="AA22" s="528">
        <v>2</v>
      </c>
      <c r="AB22" s="529">
        <v>4</v>
      </c>
    </row>
    <row r="23" spans="1:28" ht="15.95" customHeight="1" x14ac:dyDescent="0.25">
      <c r="A23" s="69"/>
      <c r="B23" s="682"/>
      <c r="C23" s="684"/>
      <c r="D23" s="538">
        <v>18</v>
      </c>
      <c r="E23" s="495">
        <f t="array" aca="1" ref="E23" ca="1">IF($D23&gt;Calc1!$B$14,"",ROW(18:18)-SUM((($L$6:$L22="")+($N$6:$N22="")&gt;0)*1))</f>
        <v>18</v>
      </c>
      <c r="F23" s="177">
        <f ca="1">IF(OR($U$15,$D23&gt;Calc1!$B$14),"",$R$5+QUOTIENT(($E23-1),$U$11)*($R$7+$R$9)/1440+SUM($O$6:$O22)/1440)</f>
        <v>0.47222222222222221</v>
      </c>
      <c r="G23" s="179">
        <f ca="1">IF(OR($U$15,$D23&gt;Calc1!$B$14),"",MOD($E23-1,$U$11)+1)</f>
        <v>2</v>
      </c>
      <c r="H23" s="332" t="str">
        <f t="shared" ca="1" si="0"/>
        <v>B</v>
      </c>
      <c r="I23" s="358" t="str">
        <f ca="1"/>
        <v>B4</v>
      </c>
      <c r="J23" s="359" t="s">
        <v>5</v>
      </c>
      <c r="K23" s="360" t="str">
        <f ca="1"/>
        <v>B5</v>
      </c>
      <c r="L23" s="183" t="str">
        <f t="shared" ca="1" si="1"/>
        <v>Manchester City</v>
      </c>
      <c r="M23" s="50" t="s">
        <v>5</v>
      </c>
      <c r="N23" s="185" t="str">
        <f t="shared" ca="1" si="2"/>
        <v>FC Grönlingen</v>
      </c>
      <c r="O23" s="367"/>
      <c r="P23" s="353"/>
      <c r="Q23" s="716"/>
      <c r="R23" s="716"/>
      <c r="S23" s="716"/>
      <c r="T23" s="170"/>
      <c r="V23" s="469">
        <v>4</v>
      </c>
      <c r="W23" s="527">
        <v>2</v>
      </c>
      <c r="X23" s="528">
        <v>2</v>
      </c>
      <c r="Y23" s="528">
        <v>3</v>
      </c>
      <c r="Z23" s="528">
        <v>4</v>
      </c>
      <c r="AA23" s="528">
        <v>3</v>
      </c>
      <c r="AB23" s="529">
        <v>3</v>
      </c>
    </row>
    <row r="24" spans="1:28" ht="15.95" customHeight="1" x14ac:dyDescent="0.25">
      <c r="A24" s="69"/>
      <c r="B24" s="685" t="s">
        <v>209</v>
      </c>
      <c r="C24" s="687" t="s">
        <v>269</v>
      </c>
      <c r="D24" s="538">
        <v>19</v>
      </c>
      <c r="E24" s="495">
        <f t="array" aca="1" ref="E24" ca="1">IF($D24&gt;Calc1!$B$14,"",ROW(19:19)-SUM((($L$6:$L23="")+($N$6:$N23="")&gt;0)*1))</f>
        <v>19</v>
      </c>
      <c r="F24" s="177">
        <f ca="1">IF(OR($U$15,$D24&gt;Calc1!$B$14),"",$R$5+QUOTIENT(($E24-1),$U$11)*($R$7+$R$9)/1440+SUM($O$6:$O23)/1440)</f>
        <v>0.47222222222222221</v>
      </c>
      <c r="G24" s="179">
        <f ca="1">IF(OR($U$15,$D24&gt;Calc1!$B$14),"",MOD($E24-1,$U$11)+1)</f>
        <v>3</v>
      </c>
      <c r="H24" s="332" t="str">
        <f t="shared" ca="1" si="0"/>
        <v>A</v>
      </c>
      <c r="I24" s="358" t="str">
        <f ca="1"/>
        <v>A1</v>
      </c>
      <c r="J24" s="359" t="s">
        <v>5</v>
      </c>
      <c r="K24" s="360" t="str">
        <f ca="1"/>
        <v>A2</v>
      </c>
      <c r="L24" s="183" t="str">
        <f t="shared" ca="1" si="1"/>
        <v>1. FC Riedwald</v>
      </c>
      <c r="M24" s="50" t="s">
        <v>5</v>
      </c>
      <c r="N24" s="185" t="str">
        <f t="shared" ca="1" si="2"/>
        <v>FC Barcelona</v>
      </c>
      <c r="O24" s="367"/>
      <c r="P24" s="353"/>
      <c r="Q24" s="474"/>
      <c r="R24" s="520" t="str">
        <f t="array" aca="1" ref="R24" ca="1">IFERROR(proof!$E$3-SUM(((OFFSET($L$6,0,0,proof!$E$3,1)="")+(OFFSET($N$6,0,0,proof!$E$3,1)="")&gt;0)*1),"")</f>
        <v/>
      </c>
      <c r="S24" s="520" t="str">
        <f t="array" aca="1" ref="S24" ca="1">IFERROR(proof!$E$4-SUM(((OFFSET($L$6,0,0,proof!$E$4,1)="")+(OFFSET($N$6,0,0,proof!$E$4,1)="")&gt;0)*1),"")</f>
        <v/>
      </c>
      <c r="T24" s="170"/>
      <c r="V24" s="469">
        <v>5</v>
      </c>
      <c r="W24" s="527">
        <v>2</v>
      </c>
      <c r="X24" s="528">
        <v>2</v>
      </c>
      <c r="Y24" s="528">
        <v>2</v>
      </c>
      <c r="Z24" s="528">
        <v>3</v>
      </c>
      <c r="AA24" s="528">
        <v>4</v>
      </c>
      <c r="AB24" s="529">
        <v>5</v>
      </c>
    </row>
    <row r="25" spans="1:28" ht="15.95" customHeight="1" thickBot="1" x14ac:dyDescent="0.3">
      <c r="B25" s="686"/>
      <c r="C25" s="688"/>
      <c r="D25" s="538">
        <v>20</v>
      </c>
      <c r="E25" s="495">
        <f t="array" aca="1" ref="E25" ca="1">IF($D25&gt;Calc1!$B$14,"",ROW(20:20)-SUM((($L$6:$L24="")+($N$6:$N24="")&gt;0)*1))</f>
        <v>20</v>
      </c>
      <c r="F25" s="177">
        <f ca="1">IF(OR($U$15,$D25&gt;Calc1!$B$14),"",$R$5+QUOTIENT(($E25-1),$U$11)*($R$7+$R$9)/1440+SUM($O$6:$O24)/1440)</f>
        <v>0.47222222222222221</v>
      </c>
      <c r="G25" s="179">
        <f ca="1">IF(OR($U$15,$D25&gt;Calc1!$B$14),"",MOD($E25-1,$U$11)+1)</f>
        <v>4</v>
      </c>
      <c r="H25" s="332" t="str">
        <f t="shared" ca="1" si="0"/>
        <v>B</v>
      </c>
      <c r="I25" s="358" t="str">
        <f ca="1"/>
        <v>B1</v>
      </c>
      <c r="J25" s="359" t="s">
        <v>5</v>
      </c>
      <c r="K25" s="360" t="str">
        <f ca="1"/>
        <v>B2</v>
      </c>
      <c r="L25" s="183" t="str">
        <f t="shared" ca="1" si="1"/>
        <v>Mainz 05</v>
      </c>
      <c r="M25" s="50" t="s">
        <v>5</v>
      </c>
      <c r="N25" s="185" t="str">
        <f t="shared" ca="1" si="2"/>
        <v>Inter Mailand</v>
      </c>
      <c r="O25" s="367"/>
      <c r="P25" s="353"/>
      <c r="Q25" s="706" t="str">
        <f ca="1">IF($U$15,"",IF(proof!$G$2="FEHLER",Sprache!$E$89&amp;proof!$E$6,""))</f>
        <v/>
      </c>
      <c r="R25" s="706"/>
      <c r="S25" s="706"/>
      <c r="T25" s="170"/>
      <c r="V25" s="470">
        <v>6</v>
      </c>
      <c r="W25" s="530">
        <v>3</v>
      </c>
      <c r="X25" s="531">
        <v>3</v>
      </c>
      <c r="Y25" s="531">
        <v>4</v>
      </c>
      <c r="Z25" s="531">
        <v>3</v>
      </c>
      <c r="AA25" s="531">
        <v>5</v>
      </c>
      <c r="AB25" s="532">
        <v>6</v>
      </c>
    </row>
    <row r="26" spans="1:28" ht="15.95" customHeight="1" thickTop="1" x14ac:dyDescent="0.25">
      <c r="B26" s="689" t="s">
        <v>211</v>
      </c>
      <c r="C26" s="690" t="s">
        <v>270</v>
      </c>
      <c r="D26" s="538">
        <v>21</v>
      </c>
      <c r="E26" s="495" t="str">
        <f t="array" ref="E26">IF($D26&gt;Calc1!$B$14,"",ROW(21:21)-SUM((($L$6:$L25="")+($N$6:$N25="")&gt;0)*1))</f>
        <v/>
      </c>
      <c r="F26" s="177" t="str">
        <f>IF(OR($U$15,$D26&gt;Calc1!$B$14),"",$R$5+QUOTIENT(($E26-1),$U$11)*($R$7+$R$9)/1440+SUM($O$6:$O25)/1440)</f>
        <v/>
      </c>
      <c r="G26" s="179" t="str">
        <f>IF(OR($U$15,$D26&gt;Calc1!$B$14),"",MOD($E26-1,$U$11)+1)</f>
        <v/>
      </c>
      <c r="H26" s="332" t="str">
        <f t="shared" ca="1" si="0"/>
        <v/>
      </c>
      <c r="I26" s="358" t="str">
        <f ca="1"/>
        <v/>
      </c>
      <c r="J26" s="359" t="s">
        <v>5</v>
      </c>
      <c r="K26" s="360" t="str">
        <f ca="1"/>
        <v/>
      </c>
      <c r="L26" s="183" t="str">
        <f t="shared" ca="1" si="1"/>
        <v/>
      </c>
      <c r="M26" s="50" t="s">
        <v>5</v>
      </c>
      <c r="N26" s="185" t="str">
        <f t="shared" ca="1" si="2"/>
        <v/>
      </c>
      <c r="O26" s="367"/>
      <c r="P26" s="353"/>
      <c r="Q26" s="706" t="str">
        <f ca="1">IF($U$15,"",IF(proof!$G$2="FEHLER",Sprache!$E$90&amp;$R$24&amp;Sprache!$E$91&amp;$S$24,""))</f>
        <v/>
      </c>
      <c r="R26" s="706"/>
      <c r="S26" s="706"/>
      <c r="T26" s="170"/>
    </row>
    <row r="27" spans="1:28" ht="15.95" customHeight="1" x14ac:dyDescent="0.25">
      <c r="B27" s="686"/>
      <c r="C27" s="688"/>
      <c r="D27" s="538">
        <v>22</v>
      </c>
      <c r="E27" s="495" t="str">
        <f t="array" ref="E27">IF($D27&gt;Calc1!$B$14,"",ROW(22:22)-SUM((($L$6:$L26="")+($N$6:$N26="")&gt;0)*1))</f>
        <v/>
      </c>
      <c r="F27" s="177" t="str">
        <f>IF(OR($U$15,$D27&gt;Calc1!$B$14),"",$R$5+QUOTIENT(($E27-1),$U$11)*($R$7+$R$9)/1440+SUM($O$6:$O26)/1440)</f>
        <v/>
      </c>
      <c r="G27" s="179" t="str">
        <f>IF(OR($U$15,$D27&gt;Calc1!$B$14),"",MOD($E27-1,$U$11)+1)</f>
        <v/>
      </c>
      <c r="H27" s="332" t="str">
        <f t="shared" ca="1" si="0"/>
        <v/>
      </c>
      <c r="I27" s="358" t="str">
        <f ca="1"/>
        <v/>
      </c>
      <c r="J27" s="359" t="s">
        <v>5</v>
      </c>
      <c r="K27" s="360" t="str">
        <f ca="1"/>
        <v/>
      </c>
      <c r="L27" s="183" t="str">
        <f t="shared" ca="1" si="1"/>
        <v/>
      </c>
      <c r="M27" s="50" t="s">
        <v>5</v>
      </c>
      <c r="N27" s="185" t="str">
        <f t="shared" ca="1" si="2"/>
        <v/>
      </c>
      <c r="O27" s="367"/>
      <c r="P27" s="353"/>
      <c r="Q27" s="474"/>
      <c r="R27" s="174"/>
      <c r="S27" s="174"/>
      <c r="T27" s="170"/>
    </row>
    <row r="28" spans="1:28" ht="15.95" customHeight="1" x14ac:dyDescent="0.25">
      <c r="B28" s="689" t="s">
        <v>207</v>
      </c>
      <c r="C28" s="690" t="s">
        <v>272</v>
      </c>
      <c r="D28" s="538">
        <v>23</v>
      </c>
      <c r="E28" s="495" t="str">
        <f t="array" ref="E28">IF($D28&gt;Calc1!$B$14,"",ROW(23:23)-SUM((($L$6:$L27="")+($N$6:$N27="")&gt;0)*1))</f>
        <v/>
      </c>
      <c r="F28" s="177" t="str">
        <f>IF(OR($U$15,$D28&gt;Calc1!$B$14),"",$R$5+QUOTIENT(($E28-1),$U$11)*($R$7+$R$9)/1440+SUM($O$6:$O27)/1440)</f>
        <v/>
      </c>
      <c r="G28" s="179" t="str">
        <f>IF(OR($U$15,$D28&gt;Calc1!$B$14),"",MOD($E28-1,$U$11)+1)</f>
        <v/>
      </c>
      <c r="H28" s="332" t="str">
        <f t="shared" ca="1" si="0"/>
        <v/>
      </c>
      <c r="I28" s="358" t="str">
        <f ca="1"/>
        <v/>
      </c>
      <c r="J28" s="359" t="s">
        <v>5</v>
      </c>
      <c r="K28" s="360" t="str">
        <f ca="1"/>
        <v/>
      </c>
      <c r="L28" s="52" t="str">
        <f t="shared" ca="1" si="1"/>
        <v/>
      </c>
      <c r="M28" s="50" t="s">
        <v>5</v>
      </c>
      <c r="N28" s="51" t="str">
        <f t="shared" ca="1" si="2"/>
        <v/>
      </c>
      <c r="O28" s="367"/>
      <c r="P28" s="353"/>
      <c r="Q28" s="174"/>
      <c r="R28" s="174"/>
      <c r="S28" s="174"/>
      <c r="T28" s="170"/>
    </row>
    <row r="29" spans="1:28" ht="15.95" customHeight="1" x14ac:dyDescent="0.25">
      <c r="B29" s="686"/>
      <c r="C29" s="688"/>
      <c r="D29" s="538">
        <v>24</v>
      </c>
      <c r="E29" s="495" t="str">
        <f t="array" ref="E29">IF($D29&gt;Calc1!$B$14,"",ROW(24:24)-SUM((($L$6:$L28="")+($N$6:$N28="")&gt;0)*1))</f>
        <v/>
      </c>
      <c r="F29" s="177" t="str">
        <f>IF(OR($U$15,$D29&gt;Calc1!$B$14),"",$R$5+QUOTIENT(($E29-1),$U$11)*($R$7+$R$9)/1440+SUM($O$6:$O28)/1440)</f>
        <v/>
      </c>
      <c r="G29" s="179" t="str">
        <f>IF(OR($U$15,$D29&gt;Calc1!$B$14),"",MOD($E29-1,$U$11)+1)</f>
        <v/>
      </c>
      <c r="H29" s="332" t="str">
        <f t="shared" ca="1" si="0"/>
        <v/>
      </c>
      <c r="I29" s="358" t="str">
        <f ca="1"/>
        <v/>
      </c>
      <c r="J29" s="359" t="s">
        <v>5</v>
      </c>
      <c r="K29" s="360" t="str">
        <f ca="1"/>
        <v/>
      </c>
      <c r="L29" s="183" t="str">
        <f t="shared" ca="1" si="1"/>
        <v/>
      </c>
      <c r="M29" s="50" t="s">
        <v>5</v>
      </c>
      <c r="N29" s="185" t="str">
        <f t="shared" ca="1" si="2"/>
        <v/>
      </c>
      <c r="O29" s="367"/>
      <c r="P29" s="353"/>
      <c r="Q29" s="474"/>
      <c r="R29" s="174"/>
      <c r="S29" s="174"/>
      <c r="T29" s="170"/>
    </row>
    <row r="30" spans="1:28" ht="15.95" customHeight="1" x14ac:dyDescent="0.25">
      <c r="B30" s="689" t="s">
        <v>213</v>
      </c>
      <c r="C30" s="690" t="s">
        <v>271</v>
      </c>
      <c r="D30" s="538">
        <v>25</v>
      </c>
      <c r="E30" s="495" t="str">
        <f t="array" ref="E30">IF($D30&gt;Calc1!$B$14,"",ROW(25:25)-SUM((($L$6:$L29="")+($N$6:$N29="")&gt;0)*1))</f>
        <v/>
      </c>
      <c r="F30" s="177" t="str">
        <f>IF(OR($U$15,$D30&gt;Calc1!$B$14),"",$R$5+QUOTIENT(($E30-1),$U$11)*($R$7+$R$9)/1440+SUM($O$6:$O29)/1440)</f>
        <v/>
      </c>
      <c r="G30" s="179" t="str">
        <f>IF(OR($U$15,$D30&gt;Calc1!$B$14),"",MOD($E30-1,$U$11)+1)</f>
        <v/>
      </c>
      <c r="H30" s="332" t="str">
        <f t="shared" ca="1" si="0"/>
        <v/>
      </c>
      <c r="I30" s="358" t="str">
        <f ca="1"/>
        <v/>
      </c>
      <c r="J30" s="359" t="s">
        <v>5</v>
      </c>
      <c r="K30" s="360" t="str">
        <f ca="1"/>
        <v/>
      </c>
      <c r="L30" s="183" t="str">
        <f t="shared" ca="1" si="1"/>
        <v/>
      </c>
      <c r="M30" s="50" t="s">
        <v>5</v>
      </c>
      <c r="N30" s="185" t="str">
        <f t="shared" ca="1" si="2"/>
        <v/>
      </c>
      <c r="O30" s="367"/>
      <c r="P30" s="353"/>
      <c r="Q30" s="474"/>
      <c r="R30" s="174"/>
      <c r="S30" s="174"/>
      <c r="T30" s="170"/>
    </row>
    <row r="31" spans="1:28" ht="15.95" customHeight="1" x14ac:dyDescent="0.25">
      <c r="B31" s="686"/>
      <c r="C31" s="688"/>
      <c r="D31" s="538">
        <v>26</v>
      </c>
      <c r="E31" s="495" t="str">
        <f t="array" ref="E31">IF($D31&gt;Calc1!$B$14,"",ROW(26:26)-SUM((($L$6:$L30="")+($N$6:$N30="")&gt;0)*1))</f>
        <v/>
      </c>
      <c r="F31" s="177" t="str">
        <f>IF(OR($U$15,$D31&gt;Calc1!$B$14),"",$R$5+QUOTIENT(($E31-1),$U$11)*($R$7+$R$9)/1440+SUM($O$6:$O30)/1440)</f>
        <v/>
      </c>
      <c r="G31" s="179" t="str">
        <f>IF(OR($U$15,$D31&gt;Calc1!$B$14),"",MOD($E31-1,$U$11)+1)</f>
        <v/>
      </c>
      <c r="H31" s="332" t="str">
        <f t="shared" ca="1" si="0"/>
        <v/>
      </c>
      <c r="I31" s="358" t="str">
        <f ca="1"/>
        <v/>
      </c>
      <c r="J31" s="359" t="s">
        <v>5</v>
      </c>
      <c r="K31" s="360" t="str">
        <f ca="1"/>
        <v/>
      </c>
      <c r="L31" s="183" t="str">
        <f t="shared" ca="1" si="1"/>
        <v/>
      </c>
      <c r="M31" s="50" t="s">
        <v>5</v>
      </c>
      <c r="N31" s="185" t="str">
        <f t="shared" ca="1" si="2"/>
        <v/>
      </c>
      <c r="O31" s="367"/>
      <c r="P31" s="353"/>
      <c r="Q31" s="474"/>
      <c r="R31" s="174"/>
      <c r="S31" s="174"/>
      <c r="T31" s="170"/>
    </row>
    <row r="32" spans="1:28" ht="15.95" customHeight="1" x14ac:dyDescent="0.25">
      <c r="B32" s="689" t="s">
        <v>215</v>
      </c>
      <c r="C32" s="690" t="s">
        <v>273</v>
      </c>
      <c r="D32" s="538">
        <v>27</v>
      </c>
      <c r="E32" s="495" t="str">
        <f t="array" ref="E32">IF($D32&gt;Calc1!$B$14,"",ROW(27:27)-SUM((($L$6:$L31="")+($N$6:$N31="")&gt;0)*1))</f>
        <v/>
      </c>
      <c r="F32" s="177" t="str">
        <f>IF(OR($U$15,$D32&gt;Calc1!$B$14),"",$R$5+QUOTIENT(($E32-1),$U$11)*($R$7+$R$9)/1440+SUM($O$6:$O31)/1440)</f>
        <v/>
      </c>
      <c r="G32" s="179" t="str">
        <f>IF(OR($U$15,$D32&gt;Calc1!$B$14),"",MOD($E32-1,$U$11)+1)</f>
        <v/>
      </c>
      <c r="H32" s="333" t="str">
        <f t="shared" ca="1" si="0"/>
        <v/>
      </c>
      <c r="I32" s="358" t="str">
        <f ca="1"/>
        <v/>
      </c>
      <c r="J32" s="359" t="s">
        <v>5</v>
      </c>
      <c r="K32" s="360" t="str">
        <f ca="1"/>
        <v/>
      </c>
      <c r="L32" s="52" t="str">
        <f t="shared" ca="1" si="1"/>
        <v/>
      </c>
      <c r="M32" s="50" t="s">
        <v>5</v>
      </c>
      <c r="N32" s="51" t="str">
        <f t="shared" ca="1" si="2"/>
        <v/>
      </c>
      <c r="O32" s="367"/>
      <c r="P32" s="353"/>
      <c r="Q32" s="474"/>
      <c r="R32" s="174"/>
      <c r="S32" s="174"/>
      <c r="T32" s="170"/>
    </row>
    <row r="33" spans="2:20" ht="15.95" customHeight="1" x14ac:dyDescent="0.25">
      <c r="B33" s="686"/>
      <c r="C33" s="688"/>
      <c r="D33" s="538">
        <v>28</v>
      </c>
      <c r="E33" s="495" t="str">
        <f t="array" ref="E33">IF($D33&gt;Calc1!$B$14,"",ROW(28:28)-SUM((($L$6:$L32="")+($N$6:$N32="")&gt;0)*1))</f>
        <v/>
      </c>
      <c r="F33" s="177" t="str">
        <f>IF(OR($U$15,$D33&gt;Calc1!$B$14),"",$R$5+QUOTIENT(($E33-1),$U$11)*($R$7+$R$9)/1440+SUM($O$6:$O32)/1440)</f>
        <v/>
      </c>
      <c r="G33" s="179" t="str">
        <f>IF(OR($U$15,$D33&gt;Calc1!$B$14),"",MOD($E33-1,$U$11)+1)</f>
        <v/>
      </c>
      <c r="H33" s="333" t="str">
        <f t="shared" ca="1" si="0"/>
        <v/>
      </c>
      <c r="I33" s="358" t="str">
        <f ca="1"/>
        <v/>
      </c>
      <c r="J33" s="359" t="s">
        <v>5</v>
      </c>
      <c r="K33" s="360" t="str">
        <f ca="1"/>
        <v/>
      </c>
      <c r="L33" s="52" t="str">
        <f t="shared" ca="1" si="1"/>
        <v/>
      </c>
      <c r="M33" s="50" t="s">
        <v>5</v>
      </c>
      <c r="N33" s="51" t="str">
        <f t="shared" ca="1" si="2"/>
        <v/>
      </c>
      <c r="O33" s="367"/>
      <c r="P33" s="353"/>
      <c r="Q33" s="474"/>
      <c r="R33" s="174"/>
      <c r="S33" s="174"/>
      <c r="T33" s="170"/>
    </row>
    <row r="34" spans="2:20" ht="15.95" customHeight="1" x14ac:dyDescent="0.25">
      <c r="B34" s="689" t="s">
        <v>217</v>
      </c>
      <c r="C34" s="690"/>
      <c r="D34" s="538">
        <v>29</v>
      </c>
      <c r="E34" s="495" t="str">
        <f t="array" ref="E34">IF($D34&gt;Calc1!$B$14,"",ROW(29:29)-SUM((($L$6:$L33="")+($N$6:$N33="")&gt;0)*1))</f>
        <v/>
      </c>
      <c r="F34" s="177" t="str">
        <f>IF(OR($U$15,$D34&gt;Calc1!$B$14),"",$R$5+QUOTIENT(($E34-1),$U$11)*($R$7+$R$9)/1440+SUM($O$6:$O33)/1440)</f>
        <v/>
      </c>
      <c r="G34" s="179" t="str">
        <f>IF(OR($U$15,$D34&gt;Calc1!$B$14),"",MOD($E34-1,$U$11)+1)</f>
        <v/>
      </c>
      <c r="H34" s="332" t="str">
        <f t="shared" ca="1" si="0"/>
        <v/>
      </c>
      <c r="I34" s="358" t="str">
        <f ca="1"/>
        <v/>
      </c>
      <c r="J34" s="359" t="s">
        <v>5</v>
      </c>
      <c r="K34" s="360" t="str">
        <f ca="1"/>
        <v/>
      </c>
      <c r="L34" s="52" t="str">
        <f t="shared" ca="1" si="1"/>
        <v/>
      </c>
      <c r="M34" s="50" t="s">
        <v>5</v>
      </c>
      <c r="N34" s="51" t="str">
        <f t="shared" ca="1" si="2"/>
        <v/>
      </c>
      <c r="O34" s="368"/>
      <c r="P34" s="353"/>
      <c r="Q34" s="474"/>
      <c r="R34" s="174"/>
      <c r="S34" s="174"/>
      <c r="T34" s="170"/>
    </row>
    <row r="35" spans="2:20" ht="15.95" customHeight="1" thickBot="1" x14ac:dyDescent="0.3">
      <c r="B35" s="691"/>
      <c r="C35" s="692"/>
      <c r="D35" s="538">
        <v>30</v>
      </c>
      <c r="E35" s="496" t="str">
        <f t="array" ref="E35">IF($D35&gt;Calc1!$B$14,"",ROW(30:30)-SUM((($L$6:$L34="")+($N$6:$N34="")&gt;0)*1))</f>
        <v/>
      </c>
      <c r="F35" s="180" t="str">
        <f>IF(OR($U$15,$D35&gt;Calc1!$B$14),"",$R$5+QUOTIENT(($E35-1),$U$11)*($R$7+$R$9)/1440+SUM($O$6:$O34)/1440)</f>
        <v/>
      </c>
      <c r="G35" s="181" t="str">
        <f>IF(OR($U$15,$D35&gt;Calc1!$B$14),"",MOD($E35-1,$U$11)+1)</f>
        <v/>
      </c>
      <c r="H35" s="338" t="str">
        <f t="shared" ca="1" si="0"/>
        <v/>
      </c>
      <c r="I35" s="361" t="str">
        <f ca="1"/>
        <v/>
      </c>
      <c r="J35" s="362" t="s">
        <v>5</v>
      </c>
      <c r="K35" s="363" t="str">
        <f ca="1"/>
        <v/>
      </c>
      <c r="L35" s="245" t="str">
        <f t="shared" ca="1" si="1"/>
        <v/>
      </c>
      <c r="M35" s="182" t="s">
        <v>5</v>
      </c>
      <c r="N35" s="246" t="str">
        <f t="shared" ca="1" si="2"/>
        <v/>
      </c>
      <c r="O35" s="497"/>
      <c r="P35" s="401">
        <f ca="1">OFFSET($O$6,Calc1!$B$14-1,0)</f>
        <v>0</v>
      </c>
      <c r="Q35" s="474"/>
      <c r="R35" s="174"/>
      <c r="S35" s="174"/>
      <c r="T35" s="170"/>
    </row>
    <row r="36" spans="2:20" ht="18" thickTop="1" x14ac:dyDescent="0.25">
      <c r="D36" s="171"/>
      <c r="E36" s="302"/>
      <c r="F36" s="303"/>
      <c r="G36" s="304"/>
      <c r="H36" s="304"/>
      <c r="I36" s="305"/>
      <c r="J36" s="306"/>
      <c r="K36" s="307"/>
      <c r="L36" s="308"/>
      <c r="M36" s="309"/>
      <c r="N36" s="310"/>
      <c r="O36" s="173"/>
      <c r="P36" s="173"/>
      <c r="Q36" s="474"/>
      <c r="R36" s="174"/>
      <c r="S36" s="174"/>
      <c r="T36" s="354"/>
    </row>
    <row r="37" spans="2:20" ht="17.25" x14ac:dyDescent="0.25">
      <c r="D37" s="171"/>
      <c r="E37" s="302"/>
      <c r="F37" s="303"/>
      <c r="G37" s="304"/>
      <c r="H37" s="304"/>
      <c r="I37" s="305"/>
      <c r="J37" s="306"/>
      <c r="K37" s="307"/>
      <c r="L37" s="308"/>
      <c r="M37" s="309"/>
      <c r="N37" s="310"/>
      <c r="O37" s="173"/>
      <c r="P37" s="173"/>
      <c r="Q37" s="474"/>
      <c r="R37" s="174"/>
      <c r="S37" s="174"/>
      <c r="T37" s="354"/>
    </row>
    <row r="38" spans="2:20" ht="17.25" x14ac:dyDescent="0.25">
      <c r="D38" s="171"/>
      <c r="E38" s="302"/>
      <c r="F38" s="303"/>
      <c r="G38" s="304"/>
      <c r="H38" s="304"/>
      <c r="I38" s="305"/>
      <c r="J38" s="306"/>
      <c r="K38" s="307"/>
      <c r="L38" s="308"/>
      <c r="M38" s="309"/>
      <c r="N38" s="310"/>
      <c r="O38" s="173"/>
      <c r="P38" s="173"/>
      <c r="Q38" s="474"/>
      <c r="R38" s="174"/>
      <c r="S38" s="174"/>
      <c r="T38" s="174"/>
    </row>
    <row r="39" spans="2:20" ht="17.25" hidden="1" x14ac:dyDescent="0.25">
      <c r="D39" s="171"/>
      <c r="E39" s="302"/>
      <c r="F39" s="303"/>
      <c r="G39" s="304"/>
      <c r="H39" s="304"/>
      <c r="I39" s="305"/>
      <c r="J39" s="306"/>
      <c r="K39" s="307"/>
      <c r="L39" s="308"/>
      <c r="M39" s="309"/>
      <c r="N39" s="310"/>
      <c r="O39" s="173"/>
      <c r="P39" s="173"/>
      <c r="Q39" s="174"/>
      <c r="R39" s="174"/>
      <c r="S39" s="174"/>
      <c r="T39" s="174"/>
    </row>
  </sheetData>
  <sheetProtection sheet="1" selectLockedCells="1"/>
  <mergeCells count="53">
    <mergeCell ref="Q25:S25"/>
    <mergeCell ref="Q26:S26"/>
    <mergeCell ref="E2:N2"/>
    <mergeCell ref="E4:F4"/>
    <mergeCell ref="O4:O5"/>
    <mergeCell ref="R5:R6"/>
    <mergeCell ref="S5:S6"/>
    <mergeCell ref="R9:R10"/>
    <mergeCell ref="S9:S10"/>
    <mergeCell ref="S13:S14"/>
    <mergeCell ref="Q22:S23"/>
    <mergeCell ref="R11:R12"/>
    <mergeCell ref="S11:S12"/>
    <mergeCell ref="R13:R14"/>
    <mergeCell ref="B5:B6"/>
    <mergeCell ref="C5:C6"/>
    <mergeCell ref="I5:K5"/>
    <mergeCell ref="L5:N5"/>
    <mergeCell ref="Q5:Q6"/>
    <mergeCell ref="B7:B8"/>
    <mergeCell ref="C7:C8"/>
    <mergeCell ref="Q7:Q8"/>
    <mergeCell ref="R7:R8"/>
    <mergeCell ref="S7:S8"/>
    <mergeCell ref="B9:B10"/>
    <mergeCell ref="C9:C10"/>
    <mergeCell ref="Q9:Q10"/>
    <mergeCell ref="B13:B14"/>
    <mergeCell ref="C13:C14"/>
    <mergeCell ref="Q13:Q14"/>
    <mergeCell ref="B11:B12"/>
    <mergeCell ref="C11:C12"/>
    <mergeCell ref="Q11:Q12"/>
    <mergeCell ref="C17:C18"/>
    <mergeCell ref="B20:B21"/>
    <mergeCell ref="C20:C21"/>
    <mergeCell ref="B15:B16"/>
    <mergeCell ref="C15:C16"/>
    <mergeCell ref="B17:B18"/>
    <mergeCell ref="B34:B35"/>
    <mergeCell ref="C34:C35"/>
    <mergeCell ref="B28:B29"/>
    <mergeCell ref="C28:C29"/>
    <mergeCell ref="B30:B31"/>
    <mergeCell ref="C30:C31"/>
    <mergeCell ref="B32:B33"/>
    <mergeCell ref="C32:C33"/>
    <mergeCell ref="B22:B23"/>
    <mergeCell ref="C22:C23"/>
    <mergeCell ref="B24:B25"/>
    <mergeCell ref="C24:C25"/>
    <mergeCell ref="B26:B27"/>
    <mergeCell ref="C26:C27"/>
  </mergeCells>
  <conditionalFormatting sqref="Q22:S23">
    <cfRule type="expression" dxfId="36" priority="6">
      <formula>AND($R$11&gt;$U$11,NOT($U$15))</formula>
    </cfRule>
  </conditionalFormatting>
  <conditionalFormatting sqref="C7:C18 C24:C35">
    <cfRule type="duplicateValues" dxfId="35" priority="4"/>
  </conditionalFormatting>
  <conditionalFormatting sqref="H6:H35">
    <cfRule type="expression" dxfId="34" priority="1">
      <formula>$H6="??"</formula>
    </cfRule>
  </conditionalFormatting>
  <conditionalFormatting sqref="E6:N35">
    <cfRule type="expression" dxfId="33" priority="313">
      <formula>AND($L6&lt;&gt;"",$N6&lt;&gt;"",OR($E6=$R$24,$E6=$S$24),NOT($U$15))</formula>
    </cfRule>
    <cfRule type="expression" dxfId="32" priority="314">
      <formula>OR($L6="",$N6="")</formula>
    </cfRule>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AG47"/>
  <sheetViews>
    <sheetView showGridLines="0" showRowColHeaders="0" zoomScaleNormal="100" workbookViewId="0">
      <selection activeCell="L12" sqref="L12"/>
    </sheetView>
  </sheetViews>
  <sheetFormatPr baseColWidth="10" defaultColWidth="0" defaultRowHeight="12.75" customHeight="1" zeroHeight="1" x14ac:dyDescent="0.2"/>
  <cols>
    <col min="1" max="1" width="3.42578125" style="49" customWidth="1"/>
    <col min="2" max="2" width="1.85546875" style="49" customWidth="1"/>
    <col min="3" max="3" width="6.85546875" style="49" customWidth="1"/>
    <col min="4" max="4" width="11.42578125" style="49" customWidth="1"/>
    <col min="5" max="5" width="8.42578125" style="49" customWidth="1"/>
    <col min="6" max="6" width="6.42578125" style="49" customWidth="1"/>
    <col min="7" max="7" width="2.42578125" style="49" customWidth="1"/>
    <col min="8" max="8" width="6.42578125" style="49" customWidth="1"/>
    <col min="9" max="9" width="26.7109375" style="49" customWidth="1"/>
    <col min="10" max="10" width="2.85546875" style="49" customWidth="1"/>
    <col min="11" max="11" width="26.7109375" style="49" customWidth="1"/>
    <col min="12" max="12" width="4.7109375" style="49" customWidth="1"/>
    <col min="13" max="13" width="2.28515625" style="49" customWidth="1"/>
    <col min="14" max="14" width="4.7109375" style="49" customWidth="1"/>
    <col min="15" max="15" width="8" style="49" customWidth="1"/>
    <col min="16" max="16" width="6.140625" style="49" customWidth="1"/>
    <col min="17" max="17" width="4.5703125" style="49" customWidth="1"/>
    <col min="18" max="18" width="28.7109375" style="49" customWidth="1"/>
    <col min="19" max="22" width="5.7109375" style="49" customWidth="1"/>
    <col min="23" max="23" width="6.7109375" style="49" customWidth="1"/>
    <col min="24" max="24" width="1.140625" style="49" customWidth="1"/>
    <col min="25" max="25" width="6.7109375" style="49" customWidth="1"/>
    <col min="26" max="27" width="5.7109375" style="49" customWidth="1"/>
    <col min="28" max="28" width="3.85546875" style="49" customWidth="1"/>
    <col min="29" max="29" width="1.42578125" style="49" customWidth="1"/>
    <col min="30" max="30" width="6.7109375" style="49" customWidth="1"/>
    <col min="31" max="31" width="28.7109375" style="49" customWidth="1"/>
    <col min="32" max="32" width="8.7109375" style="49" customWidth="1"/>
    <col min="33" max="33" width="5.5703125" style="49" customWidth="1"/>
    <col min="34" max="16384" width="11.42578125" style="49" hidden="1"/>
  </cols>
  <sheetData>
    <row r="1" spans="2:32" ht="13.5" thickBot="1" x14ac:dyDescent="0.25"/>
    <row r="2" spans="2:32" ht="36" customHeight="1" thickTop="1" x14ac:dyDescent="0.2">
      <c r="F2" s="601"/>
      <c r="G2" s="601"/>
      <c r="H2" s="602"/>
      <c r="I2" s="755" t="str">
        <f>Vorrunde!$G$2</f>
        <v>Internationales U10-Turnier am 10.04.2025</v>
      </c>
      <c r="J2" s="756"/>
      <c r="K2" s="756"/>
      <c r="L2" s="756"/>
      <c r="M2" s="756"/>
      <c r="N2" s="756"/>
      <c r="O2" s="756"/>
      <c r="P2" s="756"/>
      <c r="Q2" s="756"/>
      <c r="R2" s="756"/>
      <c r="S2" s="756"/>
      <c r="T2" s="756"/>
      <c r="U2" s="756"/>
      <c r="V2" s="756"/>
      <c r="W2" s="756"/>
      <c r="X2" s="756"/>
      <c r="Y2" s="757"/>
    </row>
    <row r="3" spans="2:32" ht="30" customHeight="1" x14ac:dyDescent="0.2">
      <c r="F3" s="603"/>
      <c r="G3" s="603"/>
      <c r="H3" s="604"/>
      <c r="I3" s="758" t="str">
        <f>Vorrunde!$G$3</f>
        <v>Organizer:  1. FC Riedwald</v>
      </c>
      <c r="J3" s="759"/>
      <c r="K3" s="759"/>
      <c r="L3" s="759"/>
      <c r="M3" s="759"/>
      <c r="N3" s="759"/>
      <c r="O3" s="759"/>
      <c r="P3" s="759"/>
      <c r="Q3" s="759"/>
      <c r="R3" s="759"/>
      <c r="S3" s="759"/>
      <c r="T3" s="759"/>
      <c r="U3" s="759"/>
      <c r="V3" s="759"/>
      <c r="W3" s="759"/>
      <c r="X3" s="759"/>
      <c r="Y3" s="760"/>
    </row>
    <row r="4" spans="2:32" ht="30" customHeight="1" x14ac:dyDescent="0.2">
      <c r="F4" s="605"/>
      <c r="G4" s="605"/>
      <c r="H4" s="606"/>
      <c r="I4" s="761" t="str">
        <f>Vorrunde!$G$4</f>
        <v>Sports hall Wiesengrund, Wendiger Str. 51, 65432 Riedwald</v>
      </c>
      <c r="J4" s="762"/>
      <c r="K4" s="762"/>
      <c r="L4" s="762"/>
      <c r="M4" s="762"/>
      <c r="N4" s="762"/>
      <c r="O4" s="762"/>
      <c r="P4" s="762"/>
      <c r="Q4" s="762"/>
      <c r="R4" s="762"/>
      <c r="S4" s="762"/>
      <c r="T4" s="762"/>
      <c r="U4" s="762"/>
      <c r="V4" s="762"/>
      <c r="W4" s="762"/>
      <c r="X4" s="762"/>
      <c r="Y4" s="763"/>
    </row>
    <row r="5" spans="2:32" ht="30" customHeight="1" thickBot="1" x14ac:dyDescent="0.25">
      <c r="F5" s="605"/>
      <c r="G5" s="605"/>
      <c r="H5" s="606"/>
      <c r="I5" s="764" t="str">
        <f>Vorrunde!$G$5</f>
        <v>Start:  9:00 Uhr</v>
      </c>
      <c r="J5" s="765"/>
      <c r="K5" s="765"/>
      <c r="L5" s="765"/>
      <c r="M5" s="765"/>
      <c r="N5" s="765"/>
      <c r="O5" s="765"/>
      <c r="P5" s="765"/>
      <c r="Q5" s="765"/>
      <c r="R5" s="765"/>
      <c r="S5" s="765"/>
      <c r="T5" s="765"/>
      <c r="U5" s="765"/>
      <c r="V5" s="765"/>
      <c r="W5" s="765"/>
      <c r="X5" s="765"/>
      <c r="Y5" s="766"/>
    </row>
    <row r="6" spans="2:32" ht="18" customHeight="1" thickTop="1" thickBot="1" x14ac:dyDescent="0.25"/>
    <row r="7" spans="2:32" ht="30" customHeight="1" thickTop="1" x14ac:dyDescent="0.2">
      <c r="L7" s="814" t="str">
        <f>Sprache!$E$19</f>
        <v>Endrunde</v>
      </c>
      <c r="M7" s="815"/>
      <c r="N7" s="815"/>
      <c r="O7" s="815"/>
      <c r="P7" s="815"/>
      <c r="Q7" s="815"/>
      <c r="R7" s="816"/>
    </row>
    <row r="8" spans="2:32" ht="30" customHeight="1" thickBot="1" x14ac:dyDescent="0.25">
      <c r="L8" s="817"/>
      <c r="M8" s="818"/>
      <c r="N8" s="818"/>
      <c r="O8" s="818"/>
      <c r="P8" s="818"/>
      <c r="Q8" s="818"/>
      <c r="R8" s="819"/>
    </row>
    <row r="9" spans="2:32" ht="12.6" customHeight="1" thickTop="1" x14ac:dyDescent="0.2"/>
    <row r="10" spans="2:32" ht="27.95" customHeight="1" thickBot="1" x14ac:dyDescent="0.45">
      <c r="C10" s="754" t="str">
        <f>Sprache!$E$55&amp;IF(MIN(Calc1!$F$13,Calc2!$F$13)*2&lt;2,""," 1 - "&amp;MIN(Calc1!$F$13,Calc2!$F$13)*2)</f>
        <v>Spiele um die Plätze  1 - 10</v>
      </c>
      <c r="D10" s="754"/>
      <c r="E10" s="754"/>
      <c r="F10" s="754"/>
      <c r="G10" s="555"/>
      <c r="H10" s="555"/>
      <c r="O10" s="709" t="str">
        <f>Sprache!$E$20</f>
        <v>Zusätzl. Pause (min)</v>
      </c>
      <c r="Q10" s="807" t="str">
        <f>Sprache!$E$57</f>
        <v>Gruppenerste und -zweite</v>
      </c>
      <c r="R10" s="807"/>
      <c r="S10" s="807"/>
      <c r="T10" s="807"/>
      <c r="U10" s="807"/>
      <c r="V10" s="807"/>
      <c r="W10" s="202"/>
      <c r="X10" s="202"/>
      <c r="Y10" s="202"/>
      <c r="Z10" s="202"/>
      <c r="AA10" s="202"/>
      <c r="AD10" s="808" t="str">
        <f>$Q10</f>
        <v>Gruppenerste und -zweite</v>
      </c>
      <c r="AE10" s="808"/>
      <c r="AF10" s="808"/>
    </row>
    <row r="11" spans="2:32" ht="24" customHeight="1" thickTop="1" thickBot="1" x14ac:dyDescent="0.25">
      <c r="B11" s="399"/>
      <c r="C11" s="456" t="str">
        <f>Sprache!$E$9</f>
        <v>Nr.</v>
      </c>
      <c r="D11" s="395" t="str">
        <f>Sprache!$E$39</f>
        <v>Beginn</v>
      </c>
      <c r="E11" s="383" t="str">
        <f>Sprache!$E$48</f>
        <v>Feld</v>
      </c>
      <c r="F11" s="558"/>
      <c r="G11" s="556"/>
      <c r="H11" s="395"/>
      <c r="I11" s="787" t="str">
        <f>Sprache!$E$14</f>
        <v>Spielpaarung</v>
      </c>
      <c r="J11" s="788"/>
      <c r="K11" s="789"/>
      <c r="L11" s="790" t="str">
        <f>Sprache!$E$15</f>
        <v>Ergebnis</v>
      </c>
      <c r="M11" s="788"/>
      <c r="N11" s="791"/>
      <c r="O11" s="710"/>
      <c r="Q11" s="809"/>
      <c r="R11" s="810"/>
      <c r="S11" s="204" t="str">
        <f>Sprache!$E$21</f>
        <v>SP</v>
      </c>
      <c r="T11" s="205" t="str">
        <f>Sprache!$E$22</f>
        <v>G</v>
      </c>
      <c r="U11" s="205" t="str">
        <f>Sprache!$E$23</f>
        <v>U</v>
      </c>
      <c r="V11" s="554" t="str">
        <f>Sprache!$E$24</f>
        <v>V</v>
      </c>
      <c r="W11" s="811" t="str">
        <f>Sprache!$E$25</f>
        <v>Tore</v>
      </c>
      <c r="X11" s="812"/>
      <c r="Y11" s="813"/>
      <c r="Z11" s="205" t="str">
        <f>Sprache!$E$26</f>
        <v>Diff.</v>
      </c>
      <c r="AA11" s="207" t="str">
        <f>Sprache!$E$27</f>
        <v>Pkt</v>
      </c>
      <c r="AD11" s="559"/>
      <c r="AE11" s="560" t="str">
        <f>Sprache!$E$10</f>
        <v>Teilnehmer bzw. Mannschaft</v>
      </c>
      <c r="AF11" s="486" t="str">
        <f>Sprache!$E$49</f>
        <v>Bonus</v>
      </c>
    </row>
    <row r="12" spans="2:32" s="365" customFormat="1" ht="24" customHeight="1" x14ac:dyDescent="0.2">
      <c r="B12" s="443"/>
      <c r="C12" s="635">
        <f t="array" aca="1" ref="C12" ca="1">31-SUM(((Planung!$L$6:$L$35="")+(Planung!$N$6:$N$35="")&gt;0)*1)</f>
        <v>21</v>
      </c>
      <c r="D12" s="636">
        <f ca="1">IF(Planung!$U$15,"",Planung!$R$13+(Planung!$R$9+Planung!$P$35)/1440)</f>
        <v>0.49652777777777779</v>
      </c>
      <c r="E12" s="427">
        <f>IF(Planung!$U$15,"",1)</f>
        <v>1</v>
      </c>
      <c r="F12" s="637" t="s">
        <v>333</v>
      </c>
      <c r="G12" s="638" t="s">
        <v>5</v>
      </c>
      <c r="H12" s="639" t="s">
        <v>336</v>
      </c>
      <c r="I12" s="640" t="str">
        <f t="shared" ref="I12:I29" ca="1" si="0">IF($F12="","",IF(VLOOKUP($F12,$AD$12:$AE$29,2,0)="","",VLOOKUP($F12,$AD$12:$AE$29,2,0)))</f>
        <v>Maibach 1822 eV</v>
      </c>
      <c r="J12" s="155" t="s">
        <v>5</v>
      </c>
      <c r="K12" s="430" t="str">
        <f t="shared" ref="K12:K29" ca="1" si="1">IF($H12="","",IF(VLOOKUP($H12,$AD$12:$AE$29,2,0)="","",VLOOKUP($H12,$AD$12:$AE$29,2,0)))</f>
        <v/>
      </c>
      <c r="L12" s="431"/>
      <c r="M12" s="432" t="str">
        <f>Sprache!$E$71</f>
        <v>:</v>
      </c>
      <c r="N12" s="435"/>
      <c r="O12" s="392"/>
      <c r="Q12" s="561">
        <f ca="1">IF(CalcE1!$K$13=0,"",1)</f>
        <v>1</v>
      </c>
      <c r="R12" s="438" t="str">
        <f ca="1">IF(Calc1!$F$14&lt;3,"",IF(CalcE1!$K$13=0,CalcE1!$Q$64,VLOOKUP(CalcE1!$B$4,CalcE1!$C$4:$N$12,4,0)))</f>
        <v>FC Barcelona</v>
      </c>
      <c r="S12" s="562">
        <f ca="1">IF(CalcE1!$K$13=0,"",VLOOKUP(CalcE1!$B$4,CalcE1!$C$4:$N$12,9,0))</f>
        <v>3</v>
      </c>
      <c r="T12" s="211">
        <f ca="1">IF(CalcE1!$K$13=0,"",VLOOKUP(CalcE1!$B$4,CalcE1!$C$4:$N$12,10,0))</f>
        <v>3</v>
      </c>
      <c r="U12" s="211">
        <f ca="1">IF(CalcE1!$K$13=0,"",VLOOKUP(CalcE1!$B$4,CalcE1!$C$4:$N$12,11,0))</f>
        <v>0</v>
      </c>
      <c r="V12" s="211">
        <f ca="1">IF(CalcE1!$K$13=0,"",VLOOKUP(CalcE1!$B$4,CalcE1!$C$4:$N$12,12,0))</f>
        <v>0</v>
      </c>
      <c r="W12" s="213">
        <f ca="1">IF(CalcE1!$K$13=0,"",VLOOKUP(CalcE1!$B$4,CalcE1!$C$4:$N$12,5,0))</f>
        <v>8</v>
      </c>
      <c r="X12" s="563" t="str">
        <f>Sprache!$E$71</f>
        <v>:</v>
      </c>
      <c r="Y12" s="215">
        <f ca="1">IF(CalcE1!$K$13=0,"",VLOOKUP(CalcE1!$B$4,CalcE1!$C$4:$N$12,6,0))</f>
        <v>2</v>
      </c>
      <c r="Z12" s="211">
        <f ca="1">IF(CalcE1!$K$13=0,"",VLOOKUP(CalcE1!$B$4,CalcE1!$C$4:$N$12,7,0))</f>
        <v>6</v>
      </c>
      <c r="AA12" s="216">
        <f ca="1">IF(CalcE1!$K$13=0,"",VLOOKUP(CalcE1!$B$4,CalcE1!$C$4:$N$12,8,0))</f>
        <v>9</v>
      </c>
      <c r="AB12" s="49"/>
      <c r="AC12" s="49"/>
      <c r="AD12" s="549" t="s">
        <v>327</v>
      </c>
      <c r="AE12" s="564" t="str">
        <f ca="1">IF(Vorrunde!$N$12="","",Vorrunde!$N$12)</f>
        <v>FC Barcelona</v>
      </c>
      <c r="AF12" s="488"/>
    </row>
    <row r="13" spans="2:32" s="365" customFormat="1" ht="24" customHeight="1" x14ac:dyDescent="0.2">
      <c r="B13" s="443"/>
      <c r="C13" s="445">
        <f t="array" aca="1" ref="C13" ca="1">$C$12+ROW(1:1)-SUM((($I$12:$I12="")+($K$12:$K12="")&gt;0)*1)</f>
        <v>21</v>
      </c>
      <c r="D13" s="397">
        <f t="array" aca="1" ref="D13" ca="1">IF(Planung!$U$15,"",$D$12+QUOTIENT(($C13-$C$12),Planung!$U$11)*(Planung!$R$7+Planung!$R$9)/1440+SUM($O$12:$O12)/1440)</f>
        <v>0.49652777777777779</v>
      </c>
      <c r="E13" s="599">
        <f ca="1">IF(Planung!$U$15,"",MOD($C13-$C$12,Planung!$U$11)+1)</f>
        <v>1</v>
      </c>
      <c r="F13" s="593" t="s">
        <v>319</v>
      </c>
      <c r="G13" s="594" t="s">
        <v>5</v>
      </c>
      <c r="H13" s="595" t="s">
        <v>332</v>
      </c>
      <c r="I13" s="557" t="str">
        <f t="shared" ca="1" si="0"/>
        <v>1. FC Riedwald</v>
      </c>
      <c r="J13" s="156" t="s">
        <v>5</v>
      </c>
      <c r="K13" s="375" t="str">
        <f t="shared" ca="1" si="1"/>
        <v>FC Grönlingen</v>
      </c>
      <c r="L13" s="386">
        <v>2</v>
      </c>
      <c r="M13" s="389" t="str">
        <f>Sprache!$E$71</f>
        <v>:</v>
      </c>
      <c r="N13" s="370">
        <v>4</v>
      </c>
      <c r="O13" s="393"/>
      <c r="Q13" s="565">
        <f ca="1">IF(CalcE1!$K$13=0,"",IF(VLOOKUP(CalcE1!$B$5,CalcE1!$C$4:$E$12,3,0)=MAX($Q12:$Q12),VLOOKUP(CalcE1!$B$5,CalcE1!$C$4:$E$12,3,0),CalcE1!$B$5))</f>
        <v>2</v>
      </c>
      <c r="R13" s="440" t="str">
        <f ca="1">IF(Calc1!$F$14&lt;3,"",IF(CalcE1!$K$13=0,CalcE1!$Q$65,VLOOKUP(CalcE1!$B$5,CalcE1!$C$4:$N$12,4,0)))</f>
        <v>Manchester City</v>
      </c>
      <c r="S13" s="226">
        <f ca="1">IF(CalcE1!$K$13=0,"",VLOOKUP(CalcE1!$B$5,CalcE1!$C$4:$N$12,9,0))</f>
        <v>3</v>
      </c>
      <c r="T13" s="201">
        <f ca="1">IF(CalcE1!$K$13=0,"",VLOOKUP(CalcE1!$B$5,CalcE1!$C$4:$N$12,10,0))</f>
        <v>2</v>
      </c>
      <c r="U13" s="201">
        <f ca="1">IF(CalcE1!$K$13=0,"",VLOOKUP(CalcE1!$B$5,CalcE1!$C$4:$N$12,11,0))</f>
        <v>0</v>
      </c>
      <c r="V13" s="201">
        <f ca="1">IF(CalcE1!$K$13=0,"",VLOOKUP(CalcE1!$B$5,CalcE1!$C$4:$N$12,12,0))</f>
        <v>1</v>
      </c>
      <c r="W13" s="222">
        <f ca="1">IF(CalcE1!$K$13=0,"",VLOOKUP(CalcE1!$B$5,CalcE1!$C$4:$N$12,5,0))</f>
        <v>6</v>
      </c>
      <c r="X13" s="566" t="str">
        <f>Sprache!$E$71</f>
        <v>:</v>
      </c>
      <c r="Y13" s="224">
        <f ca="1">IF(CalcE1!$K$13=0,"",VLOOKUP(CalcE1!$B$5,CalcE1!$C$4:$N$12,6,0))</f>
        <v>7</v>
      </c>
      <c r="Z13" s="201">
        <f ca="1">IF(CalcE1!$K$13=0,"",VLOOKUP(CalcE1!$B$5,CalcE1!$C$4:$N$12,7,0))</f>
        <v>-1</v>
      </c>
      <c r="AA13" s="225">
        <f ca="1">IF(CalcE1!$K$13=0,"",VLOOKUP(CalcE1!$B$5,CalcE1!$C$4:$N$12,8,0))</f>
        <v>6</v>
      </c>
      <c r="AB13" s="49"/>
      <c r="AC13" s="49"/>
      <c r="AD13" s="567" t="s">
        <v>320</v>
      </c>
      <c r="AE13" s="568" t="str">
        <f ca="1">IF(Vorrunde!$N$22="","",Vorrunde!$N$22)</f>
        <v>Manchester City</v>
      </c>
      <c r="AF13" s="489"/>
    </row>
    <row r="14" spans="2:32" s="365" customFormat="1" ht="24" customHeight="1" x14ac:dyDescent="0.2">
      <c r="B14" s="443"/>
      <c r="C14" s="445">
        <f t="array" aca="1" ref="C14" ca="1">$C$12+ROW(2:2)-SUM((($I$12:$I13="")+($K$12:$K13="")&gt;0)*1)</f>
        <v>22</v>
      </c>
      <c r="D14" s="397">
        <f t="array" aca="1" ref="D14" ca="1">IF(Planung!$U$15,"",$D$12+QUOTIENT(($C14-$C$12),Planung!$U$11)*(Planung!$R$7+Planung!$R$9)/1440+SUM($O$12:$O13)/1440)</f>
        <v>0.49652777777777779</v>
      </c>
      <c r="E14" s="599">
        <f ca="1">IF(Planung!$U$15,"",MOD($C14-$C$12,Planung!$U$11)+1)</f>
        <v>2</v>
      </c>
      <c r="F14" s="593" t="s">
        <v>327</v>
      </c>
      <c r="G14" s="594" t="s">
        <v>5</v>
      </c>
      <c r="H14" s="595" t="s">
        <v>329</v>
      </c>
      <c r="I14" s="557" t="str">
        <f t="shared" ca="1" si="0"/>
        <v>FC Barcelona</v>
      </c>
      <c r="J14" s="156" t="s">
        <v>5</v>
      </c>
      <c r="K14" s="375" t="str">
        <f t="shared" ca="1" si="1"/>
        <v>Inter Mailand</v>
      </c>
      <c r="L14" s="386">
        <v>2</v>
      </c>
      <c r="M14" s="389" t="str">
        <f>Sprache!$E$71</f>
        <v>:</v>
      </c>
      <c r="N14" s="370">
        <v>1</v>
      </c>
      <c r="O14" s="393"/>
      <c r="Q14" s="565">
        <f ca="1">IF(CalcE1!$K$13=0,"",IF(VLOOKUP(CalcE1!$B$6,CalcE1!$C$4:$E$12,3,0)=MAX($Q12:$Q13),VLOOKUP(CalcE1!$B$6,CalcE1!$C$4:$E$12,3,0),CalcE1!$B$6))</f>
        <v>3</v>
      </c>
      <c r="R14" s="440" t="str">
        <f ca="1">IF(Calc1!$F$14&lt;3,"",IF(CalcE1!$K$13=0,CalcE1!$Q$66,VLOOKUP(CalcE1!$B$6,CalcE1!$C$4:$N$12,4,0)))</f>
        <v>Inter Mailand</v>
      </c>
      <c r="S14" s="226">
        <f ca="1">IF(CalcE1!$K$13=0,"",VLOOKUP(CalcE1!$B$6,CalcE1!$C$4:$N$12,9,0))</f>
        <v>3</v>
      </c>
      <c r="T14" s="201">
        <f ca="1">IF(CalcE1!$K$13=0,"",VLOOKUP(CalcE1!$B$6,CalcE1!$C$4:$N$12,10,0))</f>
        <v>0</v>
      </c>
      <c r="U14" s="201">
        <f ca="1">IF(CalcE1!$K$13=0,"",VLOOKUP(CalcE1!$B$6,CalcE1!$C$4:$N$12,11,0))</f>
        <v>1</v>
      </c>
      <c r="V14" s="201">
        <f ca="1">IF(CalcE1!$K$13=0,"",VLOOKUP(CalcE1!$B$6,CalcE1!$C$4:$N$12,12,0))</f>
        <v>2</v>
      </c>
      <c r="W14" s="222">
        <f ca="1">IF(CalcE1!$K$13=0,"",VLOOKUP(CalcE1!$B$6,CalcE1!$C$4:$N$12,5,0))</f>
        <v>8</v>
      </c>
      <c r="X14" s="566" t="str">
        <f>Sprache!$E$71</f>
        <v>:</v>
      </c>
      <c r="Y14" s="224">
        <f ca="1">IF(CalcE1!$K$13=0,"",VLOOKUP(CalcE1!$B$6,CalcE1!$C$4:$N$12,6,0))</f>
        <v>10</v>
      </c>
      <c r="Z14" s="201">
        <f ca="1">IF(CalcE1!$K$13=0,"",VLOOKUP(CalcE1!$B$6,CalcE1!$C$4:$N$12,7,0))</f>
        <v>-2</v>
      </c>
      <c r="AA14" s="225">
        <f ca="1">IF(CalcE1!$K$13=0,"",VLOOKUP(CalcE1!$B$6,CalcE1!$C$4:$N$12,8,0))</f>
        <v>1</v>
      </c>
      <c r="AB14" s="49"/>
      <c r="AC14" s="49"/>
      <c r="AD14" s="550" t="s">
        <v>328</v>
      </c>
      <c r="AE14" s="568" t="str">
        <f ca="1">IF(Vorrunde!$N$13="","",Vorrunde!$N$13)</f>
        <v>Eintracht Frankfurt</v>
      </c>
      <c r="AF14" s="489"/>
    </row>
    <row r="15" spans="2:32" s="365" customFormat="1" ht="24" customHeight="1" thickBot="1" x14ac:dyDescent="0.25">
      <c r="B15" s="443"/>
      <c r="C15" s="445">
        <f t="array" aca="1" ref="C15" ca="1">$C$12+ROW(3:3)-SUM((($I$12:$I14="")+($K$12:$K14="")&gt;0)*1)</f>
        <v>23</v>
      </c>
      <c r="D15" s="397">
        <f t="array" aca="1" ref="D15" ca="1">IF(Planung!$U$15,"",$D$12+QUOTIENT(($C15-$C$12),Planung!$U$11)*(Planung!$R$7+Planung!$R$9)/1440+SUM($O$12:$O14)/1440)</f>
        <v>0.49652777777777779</v>
      </c>
      <c r="E15" s="599">
        <f ca="1">IF(Planung!$U$15,"",MOD($C15-$C$12,Planung!$U$11)+1)</f>
        <v>3</v>
      </c>
      <c r="F15" s="593" t="s">
        <v>334</v>
      </c>
      <c r="G15" s="594" t="s">
        <v>5</v>
      </c>
      <c r="H15" s="595" t="s">
        <v>335</v>
      </c>
      <c r="I15" s="557" t="str">
        <f t="shared" ca="1" si="0"/>
        <v>SSV Wildbach</v>
      </c>
      <c r="J15" s="156" t="s">
        <v>5</v>
      </c>
      <c r="K15" s="375" t="str">
        <f t="shared" ca="1" si="1"/>
        <v/>
      </c>
      <c r="L15" s="386"/>
      <c r="M15" s="389" t="str">
        <f>Sprache!$E$71</f>
        <v>:</v>
      </c>
      <c r="N15" s="370"/>
      <c r="O15" s="393"/>
      <c r="Q15" s="569">
        <f ca="1">IF(CalcE1!$K$13=0,"",IF(VLOOKUP(CalcE1!$B$7,CalcE1!$C$4:$E$12,3,0)=MAX($Q12:$Q14),VLOOKUP(CalcE1!$B$7,CalcE1!$C$4:$E$12,3,0),CalcE1!$B$7))</f>
        <v>4</v>
      </c>
      <c r="R15" s="442" t="str">
        <f ca="1">IF(Calc1!$F$14&lt;3,"",IF(CalcE1!$K$13=0,CalcE1!$Q$67,VLOOKUP(CalcE1!$B$7,CalcE1!$C$4:$N$12,4,0)))</f>
        <v>Eintracht Frankfurt</v>
      </c>
      <c r="S15" s="237">
        <f ca="1">IF(CalcE1!$K$13=0,"",VLOOKUP(CalcE1!$B$7,CalcE1!$C$4:$N$12,9,0))</f>
        <v>3</v>
      </c>
      <c r="T15" s="231">
        <f ca="1">IF(CalcE1!$K$13=0,"",VLOOKUP(CalcE1!$B$7,CalcE1!$C$4:$N$12,10,0))</f>
        <v>0</v>
      </c>
      <c r="U15" s="231">
        <f ca="1">IF(CalcE1!$K$13=0,"",VLOOKUP(CalcE1!$B$7,CalcE1!$C$4:$N$12,11,0))</f>
        <v>1</v>
      </c>
      <c r="V15" s="231">
        <f ca="1">IF(CalcE1!$K$13=0,"",VLOOKUP(CalcE1!$B$7,CalcE1!$C$4:$N$12,12,0))</f>
        <v>2</v>
      </c>
      <c r="W15" s="233">
        <f ca="1">IF(CalcE1!$K$13=0,"",VLOOKUP(CalcE1!$B$7,CalcE1!$C$4:$N$12,5,0))</f>
        <v>5</v>
      </c>
      <c r="X15" s="570" t="str">
        <f>Sprache!$E$71</f>
        <v>:</v>
      </c>
      <c r="Y15" s="235">
        <f ca="1">IF(CalcE1!$K$13=0,"",VLOOKUP(CalcE1!$B$7,CalcE1!$C$4:$N$12,6,0))</f>
        <v>8</v>
      </c>
      <c r="Z15" s="231">
        <f ca="1">IF(CalcE1!$K$13=0,"",VLOOKUP(CalcE1!$B$7,CalcE1!$C$4:$N$12,7,0))</f>
        <v>-3</v>
      </c>
      <c r="AA15" s="236">
        <f ca="1">IF(CalcE1!$K$13=0,"",VLOOKUP(CalcE1!$B$7,CalcE1!$C$4:$N$12,8,0))</f>
        <v>1</v>
      </c>
      <c r="AB15" s="49"/>
      <c r="AC15" s="49"/>
      <c r="AD15" s="571" t="s">
        <v>329</v>
      </c>
      <c r="AE15" s="572" t="str">
        <f ca="1">IF(Vorrunde!$N$23="","",Vorrunde!$N$23)</f>
        <v>Inter Mailand</v>
      </c>
      <c r="AF15" s="490"/>
    </row>
    <row r="16" spans="2:32" s="365" customFormat="1" ht="24" customHeight="1" thickTop="1" x14ac:dyDescent="0.2">
      <c r="B16" s="443"/>
      <c r="C16" s="445">
        <f t="array" aca="1" ref="C16" ca="1">$C$12+ROW(4:4)-SUM((($I$12:$I15="")+($K$12:$K15="")&gt;0)*1)</f>
        <v>23</v>
      </c>
      <c r="D16" s="397">
        <f t="array" aca="1" ref="D16" ca="1">IF(Planung!$U$15,"",$D$12+QUOTIENT(($C16-$C$12),Planung!$U$11)*(Planung!$R$7+Planung!$R$9)/1440+SUM($O$12:$O15)/1440)</f>
        <v>0.49652777777777779</v>
      </c>
      <c r="E16" s="599">
        <f ca="1">IF(Planung!$U$15,"",MOD($C16-$C$12,Planung!$U$11)+1)</f>
        <v>3</v>
      </c>
      <c r="F16" s="593" t="s">
        <v>330</v>
      </c>
      <c r="G16" s="594" t="s">
        <v>5</v>
      </c>
      <c r="H16" s="595" t="s">
        <v>331</v>
      </c>
      <c r="I16" s="557" t="str">
        <f t="shared" ca="1" si="0"/>
        <v>Mainz 05</v>
      </c>
      <c r="J16" s="156" t="s">
        <v>5</v>
      </c>
      <c r="K16" s="375" t="str">
        <f t="shared" ca="1" si="1"/>
        <v>VFB Essenheim</v>
      </c>
      <c r="L16" s="386">
        <v>5</v>
      </c>
      <c r="M16" s="389" t="str">
        <f>Sprache!$E$71</f>
        <v>:</v>
      </c>
      <c r="N16" s="370">
        <v>1</v>
      </c>
      <c r="O16" s="408"/>
    </row>
    <row r="17" spans="2:32" s="365" customFormat="1" ht="24" customHeight="1" thickBot="1" x14ac:dyDescent="0.45">
      <c r="B17" s="443"/>
      <c r="C17" s="445">
        <f t="array" aca="1" ref="C17" ca="1">$C$12+ROW(5:5)-SUM((($I$12:$I16="")+($K$12:$K16="")&gt;0)*1)</f>
        <v>24</v>
      </c>
      <c r="D17" s="397">
        <f t="array" aca="1" ref="D17" ca="1">IF(Planung!$U$15,"",$D$12+QUOTIENT(($C17-$C$12),Planung!$U$11)*(Planung!$R$7+Planung!$R$9)/1440+SUM($O$12:$O16)/1440)</f>
        <v>0.49652777777777779</v>
      </c>
      <c r="E17" s="599">
        <f ca="1">IF(Planung!$U$15,"",MOD($C17-$C$12,Planung!$U$11)+1)</f>
        <v>4</v>
      </c>
      <c r="F17" s="593" t="s">
        <v>320</v>
      </c>
      <c r="G17" s="594" t="s">
        <v>5</v>
      </c>
      <c r="H17" s="595" t="s">
        <v>328</v>
      </c>
      <c r="I17" s="557" t="str">
        <f t="shared" ca="1" si="0"/>
        <v>Manchester City</v>
      </c>
      <c r="J17" s="156" t="s">
        <v>5</v>
      </c>
      <c r="K17" s="375" t="str">
        <f t="shared" ca="1" si="1"/>
        <v>Eintracht Frankfurt</v>
      </c>
      <c r="L17" s="386">
        <v>2</v>
      </c>
      <c r="M17" s="389" t="str">
        <f>Sprache!$E$71</f>
        <v>:</v>
      </c>
      <c r="N17" s="370">
        <v>0</v>
      </c>
      <c r="O17" s="408"/>
      <c r="Q17" s="807" t="str">
        <f>Sprache!$E$58</f>
        <v>Gruppendritte und -vierte</v>
      </c>
      <c r="R17" s="807"/>
      <c r="S17" s="807"/>
      <c r="T17" s="807"/>
      <c r="U17" s="807"/>
      <c r="V17" s="807"/>
      <c r="W17" s="202"/>
      <c r="X17" s="202"/>
      <c r="Y17" s="202"/>
      <c r="Z17" s="202"/>
      <c r="AA17" s="202"/>
      <c r="AB17" s="49"/>
      <c r="AC17" s="49"/>
      <c r="AD17" s="808" t="str">
        <f>$Q17</f>
        <v>Gruppendritte und -vierte</v>
      </c>
      <c r="AE17" s="808"/>
      <c r="AF17" s="808"/>
    </row>
    <row r="18" spans="2:32" ht="24" customHeight="1" thickTop="1" thickBot="1" x14ac:dyDescent="0.25">
      <c r="C18" s="445">
        <f t="array" aca="1" ref="C18" ca="1">$C$12+ROW(6:6)-SUM((($I$12:$I17="")+($K$12:$K17="")&gt;0)*1)</f>
        <v>25</v>
      </c>
      <c r="D18" s="397">
        <f t="array" aca="1" ref="D18" ca="1">IF(Planung!$U$15,"",$D$12+QUOTIENT(($C18-$C$12),Planung!$U$11)*(Planung!$R$7+Planung!$R$9)/1440+SUM($O$12:$O17)/1440)</f>
        <v>0.52083333333333337</v>
      </c>
      <c r="E18" s="599">
        <f ca="1">IF(Planung!$U$15,"",MOD($C18-$C$12,Planung!$U$11)+1)</f>
        <v>1</v>
      </c>
      <c r="F18" s="593" t="s">
        <v>333</v>
      </c>
      <c r="G18" s="594" t="s">
        <v>5</v>
      </c>
      <c r="H18" s="595" t="s">
        <v>335</v>
      </c>
      <c r="I18" s="557" t="str">
        <f t="shared" ca="1" si="0"/>
        <v>Maibach 1822 eV</v>
      </c>
      <c r="J18" s="156" t="s">
        <v>5</v>
      </c>
      <c r="K18" s="375" t="str">
        <f t="shared" ca="1" si="1"/>
        <v/>
      </c>
      <c r="L18" s="386"/>
      <c r="M18" s="389" t="str">
        <f>Sprache!$E$71</f>
        <v>:</v>
      </c>
      <c r="N18" s="370"/>
      <c r="O18" s="408"/>
      <c r="Q18" s="809"/>
      <c r="R18" s="810"/>
      <c r="S18" s="204" t="str">
        <f>Sprache!$E$21</f>
        <v>SP</v>
      </c>
      <c r="T18" s="205" t="str">
        <f>Sprache!$E$22</f>
        <v>G</v>
      </c>
      <c r="U18" s="205" t="str">
        <f>Sprache!$E$23</f>
        <v>U</v>
      </c>
      <c r="V18" s="554" t="str">
        <f>Sprache!$E$24</f>
        <v>V</v>
      </c>
      <c r="W18" s="811" t="str">
        <f>Sprache!$E$25</f>
        <v>Tore</v>
      </c>
      <c r="X18" s="812"/>
      <c r="Y18" s="813"/>
      <c r="Z18" s="205" t="str">
        <f>Sprache!$E$26</f>
        <v>Diff.</v>
      </c>
      <c r="AA18" s="207" t="str">
        <f>Sprache!$E$27</f>
        <v>Pkt</v>
      </c>
      <c r="AD18" s="559"/>
      <c r="AE18" s="560" t="str">
        <f>Sprache!$E$10</f>
        <v>Teilnehmer bzw. Mannschaft</v>
      </c>
      <c r="AF18" s="486" t="str">
        <f>Sprache!$E$49</f>
        <v>Bonus</v>
      </c>
    </row>
    <row r="19" spans="2:32" ht="24" customHeight="1" x14ac:dyDescent="0.2">
      <c r="C19" s="445">
        <f t="array" aca="1" ref="C19" ca="1">$C$12+ROW(7:7)-SUM((($I$12:$I18="")+($K$12:$K18="")&gt;0)*1)</f>
        <v>25</v>
      </c>
      <c r="D19" s="397">
        <f t="array" aca="1" ref="D19" ca="1">IF(Planung!$U$15,"",$D$12+QUOTIENT(($C19-$C$12),Planung!$U$11)*(Planung!$R$7+Planung!$R$9)/1440+SUM($O$12:$O18)/1440)</f>
        <v>0.52083333333333337</v>
      </c>
      <c r="E19" s="599">
        <f ca="1">IF(Planung!$U$15,"",MOD($C19-$C$12,Planung!$U$11)+1)</f>
        <v>1</v>
      </c>
      <c r="F19" s="593" t="s">
        <v>319</v>
      </c>
      <c r="G19" s="594" t="s">
        <v>5</v>
      </c>
      <c r="H19" s="595" t="s">
        <v>331</v>
      </c>
      <c r="I19" s="557" t="str">
        <f t="shared" ca="1" si="0"/>
        <v>1. FC Riedwald</v>
      </c>
      <c r="J19" s="156" t="s">
        <v>5</v>
      </c>
      <c r="K19" s="375" t="str">
        <f t="shared" ca="1" si="1"/>
        <v>VFB Essenheim</v>
      </c>
      <c r="L19" s="386">
        <v>5</v>
      </c>
      <c r="M19" s="389" t="str">
        <f>Sprache!$E$71</f>
        <v>:</v>
      </c>
      <c r="N19" s="370">
        <v>3</v>
      </c>
      <c r="O19" s="408"/>
      <c r="Q19" s="561">
        <f ca="1">IF(CalcE2!$K$13=0,"",1)</f>
        <v>1</v>
      </c>
      <c r="R19" s="438" t="str">
        <f ca="1">IF(Calc1!$F$14&lt;3,"",IF(AND(CalcE2!$K$13=0,AE23&lt;&gt;1),CalcE2!$Q$64,VLOOKUP(CalcE2!$B$4,CalcE2!$C$4:$N$12,4,0)))</f>
        <v>Mainz 05</v>
      </c>
      <c r="S19" s="562">
        <f ca="1">IF(CalcE2!$K$13=0,"",VLOOKUP(CalcE2!$B$4,CalcE2!$C$4:$N$12,9,0))</f>
        <v>3</v>
      </c>
      <c r="T19" s="211">
        <f ca="1">IF(CalcE2!$K$13=0,"",VLOOKUP(CalcE2!$B$4,CalcE2!$C$4:$N$12,10,0))</f>
        <v>3</v>
      </c>
      <c r="U19" s="211">
        <f ca="1">IF(CalcE2!$K$13=0,"",VLOOKUP(CalcE2!$B$4,CalcE2!$C$4:$N$12,11,0))</f>
        <v>0</v>
      </c>
      <c r="V19" s="211">
        <f ca="1">IF(CalcE2!$K$13=0,"",VLOOKUP(CalcE2!$B$4,CalcE2!$C$4:$N$12,12,0))</f>
        <v>0</v>
      </c>
      <c r="W19" s="213">
        <f ca="1">IF(CalcE2!$K$13=0,"",VLOOKUP(CalcE2!$B$4,CalcE2!$C$4:$N$12,5,0))</f>
        <v>17</v>
      </c>
      <c r="X19" s="563" t="str">
        <f>Sprache!$E$71</f>
        <v>:</v>
      </c>
      <c r="Y19" s="215">
        <f ca="1">IF(CalcE2!$K$13=0,"",VLOOKUP(CalcE2!$B$4,CalcE2!$C$4:$N$12,6,0))</f>
        <v>5</v>
      </c>
      <c r="Z19" s="211">
        <f ca="1">IF(CalcE2!$K$13=0,"",VLOOKUP(CalcE2!$B$4,CalcE2!$C$4:$N$12,7,0))</f>
        <v>12</v>
      </c>
      <c r="AA19" s="216">
        <f ca="1">IF(CalcE2!$K$13=0,"",VLOOKUP(CalcE2!$B$4,CalcE2!$C$4:$N$12,8,0))</f>
        <v>9</v>
      </c>
      <c r="AD19" s="552" t="s">
        <v>319</v>
      </c>
      <c r="AE19" s="564" t="str">
        <f ca="1">IF(Vorrunde!$N$14="","",Vorrunde!$N$14)</f>
        <v>1. FC Riedwald</v>
      </c>
      <c r="AF19" s="488"/>
    </row>
    <row r="20" spans="2:32" ht="24" customHeight="1" x14ac:dyDescent="0.2">
      <c r="C20" s="445">
        <f t="array" aca="1" ref="C20" ca="1">$C$12+ROW(8:8)-SUM((($I$12:$I19="")+($K$12:$K19="")&gt;0)*1)</f>
        <v>26</v>
      </c>
      <c r="D20" s="397">
        <f t="array" aca="1" ref="D20" ca="1">IF(Planung!$U$15,"",$D$12+QUOTIENT(($C20-$C$12),Planung!$U$11)*(Planung!$R$7+Planung!$R$9)/1440+SUM($O$12:$O19)/1440)</f>
        <v>0.52083333333333337</v>
      </c>
      <c r="E20" s="599">
        <f ca="1">IF(Planung!$U$15,"",MOD($C20-$C$12,Planung!$U$11)+1)</f>
        <v>2</v>
      </c>
      <c r="F20" s="593" t="s">
        <v>327</v>
      </c>
      <c r="G20" s="594" t="s">
        <v>5</v>
      </c>
      <c r="H20" s="595" t="s">
        <v>328</v>
      </c>
      <c r="I20" s="557" t="str">
        <f t="shared" ca="1" si="0"/>
        <v>FC Barcelona</v>
      </c>
      <c r="J20" s="156" t="s">
        <v>5</v>
      </c>
      <c r="K20" s="375" t="str">
        <f t="shared" ca="1" si="1"/>
        <v>Eintracht Frankfurt</v>
      </c>
      <c r="L20" s="386">
        <v>2</v>
      </c>
      <c r="M20" s="389" t="str">
        <f>Sprache!$E$71</f>
        <v>:</v>
      </c>
      <c r="N20" s="370">
        <v>1</v>
      </c>
      <c r="O20" s="408"/>
      <c r="Q20" s="565">
        <f ca="1">IF(CalcE2!$K$13=0,"",IF(VLOOKUP(CalcE2!$B$5,CalcE2!$C$4:$E$12,3,0)=MAX($Q19:$Q19),VLOOKUP(CalcE2!$B$5,CalcE2!$C$4:$E$12,3,0),CalcE2!$B$5))</f>
        <v>2</v>
      </c>
      <c r="R20" s="440" t="str">
        <f ca="1">IF(OR(Calc1!$F$14&lt;3,AE23=1),"",IF(CalcE2!$K$13=0,CalcE2!$Q$65,VLOOKUP(CalcE2!$B$5,CalcE2!$C$4:$N$12,4,0)))</f>
        <v>FC Grönlingen</v>
      </c>
      <c r="S20" s="226">
        <f ca="1">IF(CalcE2!$K$13=0,"",VLOOKUP(CalcE2!$B$5,CalcE2!$C$4:$N$12,9,0))</f>
        <v>3</v>
      </c>
      <c r="T20" s="201">
        <f ca="1">IF(CalcE2!$K$13=0,"",VLOOKUP(CalcE2!$B$5,CalcE2!$C$4:$N$12,10,0))</f>
        <v>2</v>
      </c>
      <c r="U20" s="201">
        <f ca="1">IF(CalcE2!$K$13=0,"",VLOOKUP(CalcE2!$B$5,CalcE2!$C$4:$N$12,11,0))</f>
        <v>0</v>
      </c>
      <c r="V20" s="201">
        <f ca="1">IF(CalcE2!$K$13=0,"",VLOOKUP(CalcE2!$B$5,CalcE2!$C$4:$N$12,12,0))</f>
        <v>1</v>
      </c>
      <c r="W20" s="222">
        <f ca="1">IF(CalcE2!$K$13=0,"",VLOOKUP(CalcE2!$B$5,CalcE2!$C$4:$N$12,5,0))</f>
        <v>11</v>
      </c>
      <c r="X20" s="566" t="str">
        <f>Sprache!$E$71</f>
        <v>:</v>
      </c>
      <c r="Y20" s="224">
        <f ca="1">IF(CalcE2!$K$13=0,"",VLOOKUP(CalcE2!$B$5,CalcE2!$C$4:$N$12,6,0))</f>
        <v>7</v>
      </c>
      <c r="Z20" s="201">
        <f ca="1">IF(CalcE2!$K$13=0,"",VLOOKUP(CalcE2!$B$5,CalcE2!$C$4:$N$12,7,0))</f>
        <v>4</v>
      </c>
      <c r="AA20" s="225">
        <f ca="1">IF(CalcE2!$K$13=0,"",VLOOKUP(CalcE2!$B$5,CalcE2!$C$4:$N$12,8,0))</f>
        <v>6</v>
      </c>
      <c r="AD20" s="567" t="s">
        <v>330</v>
      </c>
      <c r="AE20" s="568" t="str">
        <f ca="1">IF(Vorrunde!$N$24="","",Vorrunde!$N$24)</f>
        <v>Mainz 05</v>
      </c>
      <c r="AF20" s="489"/>
    </row>
    <row r="21" spans="2:32" ht="24" customHeight="1" x14ac:dyDescent="0.2">
      <c r="C21" s="445">
        <f t="array" aca="1" ref="C21" ca="1">$C$12+ROW(9:9)-SUM((($I$12:$I20="")+($K$12:$K20="")&gt;0)*1)</f>
        <v>27</v>
      </c>
      <c r="D21" s="397">
        <f t="array" aca="1" ref="D21" ca="1">IF(Planung!$U$15,"",$D$12+QUOTIENT(($C21-$C$12),Planung!$U$11)*(Planung!$R$7+Planung!$R$9)/1440+SUM($O$12:$O20)/1440)</f>
        <v>0.52083333333333337</v>
      </c>
      <c r="E21" s="599">
        <f ca="1">IF(Planung!$U$15,"",MOD($C21-$C$12,Planung!$U$11)+1)</f>
        <v>3</v>
      </c>
      <c r="F21" s="593" t="s">
        <v>334</v>
      </c>
      <c r="G21" s="594" t="s">
        <v>5</v>
      </c>
      <c r="H21" s="595" t="s">
        <v>336</v>
      </c>
      <c r="I21" s="557" t="str">
        <f t="shared" ca="1" si="0"/>
        <v>SSV Wildbach</v>
      </c>
      <c r="J21" s="156" t="s">
        <v>5</v>
      </c>
      <c r="K21" s="375" t="str">
        <f t="shared" ca="1" si="1"/>
        <v/>
      </c>
      <c r="L21" s="386"/>
      <c r="M21" s="389" t="str">
        <f>Sprache!$E$71</f>
        <v>:</v>
      </c>
      <c r="N21" s="370"/>
      <c r="O21" s="408"/>
      <c r="Q21" s="565">
        <f ca="1">IF(CalcE2!$K$13=0,"",IF(VLOOKUP(CalcE2!$B$6,CalcE2!$C$4:$E$12,3,0)=MAX($Q19:$Q20),VLOOKUP(CalcE2!$B$6,CalcE2!$C$4:$E$12,3,0),CalcE2!$B$6))</f>
        <v>3</v>
      </c>
      <c r="R21" s="440" t="str">
        <f ca="1">IF(OR(Calc1!$F$14&lt;3,AE23=1),"",IF(CalcE2!$K$13=0,CalcE2!$Q$66,VLOOKUP(CalcE2!$B$6,CalcE2!$C$4:$N$12,4,0)))</f>
        <v>1. FC Riedwald</v>
      </c>
      <c r="S21" s="226">
        <f ca="1">IF(CalcE2!$K$13=0,"",VLOOKUP(CalcE2!$B$6,CalcE2!$C$4:$N$12,9,0))</f>
        <v>3</v>
      </c>
      <c r="T21" s="201">
        <f ca="1">IF(CalcE2!$K$13=0,"",VLOOKUP(CalcE2!$B$6,CalcE2!$C$4:$N$12,10,0))</f>
        <v>1</v>
      </c>
      <c r="U21" s="201">
        <f ca="1">IF(CalcE2!$K$13=0,"",VLOOKUP(CalcE2!$B$6,CalcE2!$C$4:$N$12,11,0))</f>
        <v>0</v>
      </c>
      <c r="V21" s="201">
        <f ca="1">IF(CalcE2!$K$13=0,"",VLOOKUP(CalcE2!$B$6,CalcE2!$C$4:$N$12,12,0))</f>
        <v>2</v>
      </c>
      <c r="W21" s="222">
        <f ca="1">IF(CalcE2!$K$13=0,"",VLOOKUP(CalcE2!$B$6,CalcE2!$C$4:$N$12,5,0))</f>
        <v>9</v>
      </c>
      <c r="X21" s="566" t="str">
        <f>Sprache!$E$71</f>
        <v>:</v>
      </c>
      <c r="Y21" s="224">
        <f ca="1">IF(CalcE2!$K$13=0,"",VLOOKUP(CalcE2!$B$6,CalcE2!$C$4:$N$12,6,0))</f>
        <v>15</v>
      </c>
      <c r="Z21" s="201">
        <f ca="1">IF(CalcE2!$K$13=0,"",VLOOKUP(CalcE2!$B$6,CalcE2!$C$4:$N$12,7,0))</f>
        <v>-6</v>
      </c>
      <c r="AA21" s="225">
        <f ca="1">IF(CalcE2!$K$13=0,"",VLOOKUP(CalcE2!$B$6,CalcE2!$C$4:$N$12,8,0))</f>
        <v>3</v>
      </c>
      <c r="AD21" s="553" t="s">
        <v>331</v>
      </c>
      <c r="AE21" s="568" t="str">
        <f ca="1">IF(Vorrunde!$N$15="","",Vorrunde!$N$15)</f>
        <v>VFB Essenheim</v>
      </c>
      <c r="AF21" s="489"/>
    </row>
    <row r="22" spans="2:32" ht="24" customHeight="1" thickBot="1" x14ac:dyDescent="0.25">
      <c r="C22" s="445">
        <f t="array" aca="1" ref="C22" ca="1">$C$12+ROW(10:10)-SUM((($I$12:$I21="")+($K$12:$K21="")&gt;0)*1)</f>
        <v>27</v>
      </c>
      <c r="D22" s="397">
        <f t="array" aca="1" ref="D22" ca="1">IF(Planung!$U$15,"",$D$12+QUOTIENT(($C22-$C$12),Planung!$U$11)*(Planung!$R$7+Planung!$R$9)/1440+SUM($O$12:$O21)/1440)</f>
        <v>0.52083333333333337</v>
      </c>
      <c r="E22" s="599">
        <f ca="1">IF(Planung!$U$15,"",MOD($C22-$C$12,Planung!$U$11)+1)</f>
        <v>3</v>
      </c>
      <c r="F22" s="593" t="s">
        <v>330</v>
      </c>
      <c r="G22" s="594" t="s">
        <v>5</v>
      </c>
      <c r="H22" s="595" t="s">
        <v>332</v>
      </c>
      <c r="I22" s="557" t="str">
        <f t="shared" ca="1" si="0"/>
        <v>Mainz 05</v>
      </c>
      <c r="J22" s="156" t="s">
        <v>5</v>
      </c>
      <c r="K22" s="375" t="str">
        <f t="shared" ca="1" si="1"/>
        <v>FC Grönlingen</v>
      </c>
      <c r="L22" s="386">
        <v>4</v>
      </c>
      <c r="M22" s="389" t="str">
        <f>Sprache!$E$71</f>
        <v>:</v>
      </c>
      <c r="N22" s="370">
        <v>2</v>
      </c>
      <c r="O22" s="408"/>
      <c r="Q22" s="569">
        <f ca="1">IF(CalcE2!$K$13=0,"",IF(VLOOKUP(CalcE2!$B$7,CalcE2!$C$4:$E$12,3,0)=MAX($Q19:$Q21),VLOOKUP(CalcE2!$B$7,CalcE2!$C$4:$E$12,3,0),CalcE2!$B$7))</f>
        <v>4</v>
      </c>
      <c r="R22" s="442" t="str">
        <f ca="1">IF(OR(Calc1!$F$14&lt;3,AE23=1),"",IF(CalcE2!$K$13=0,CalcE2!$Q$67,VLOOKUP(CalcE2!$B$7,CalcE2!$C$4:$N$12,4,0)))</f>
        <v>VFB Essenheim</v>
      </c>
      <c r="S22" s="237">
        <f ca="1">IF(CalcE2!$K$13=0,"",VLOOKUP(CalcE2!$B$7,CalcE2!$C$4:$N$12,9,0))</f>
        <v>3</v>
      </c>
      <c r="T22" s="231">
        <f ca="1">IF(CalcE2!$K$13=0,"",VLOOKUP(CalcE2!$B$7,CalcE2!$C$4:$N$12,10,0))</f>
        <v>0</v>
      </c>
      <c r="U22" s="231">
        <f ca="1">IF(CalcE2!$K$13=0,"",VLOOKUP(CalcE2!$B$7,CalcE2!$C$4:$N$12,11,0))</f>
        <v>0</v>
      </c>
      <c r="V22" s="231">
        <f ca="1">IF(CalcE2!$K$13=0,"",VLOOKUP(CalcE2!$B$7,CalcE2!$C$4:$N$12,12,0))</f>
        <v>3</v>
      </c>
      <c r="W22" s="233">
        <f ca="1">IF(CalcE2!$K$13=0,"",VLOOKUP(CalcE2!$B$7,CalcE2!$C$4:$N$12,5,0))</f>
        <v>5</v>
      </c>
      <c r="X22" s="570" t="str">
        <f>Sprache!$E$71</f>
        <v>:</v>
      </c>
      <c r="Y22" s="235">
        <f ca="1">IF(CalcE2!$K$13=0,"",VLOOKUP(CalcE2!$B$7,CalcE2!$C$4:$N$12,6,0))</f>
        <v>15</v>
      </c>
      <c r="Z22" s="231">
        <f ca="1">IF(CalcE2!$K$13=0,"",VLOOKUP(CalcE2!$B$7,CalcE2!$C$4:$N$12,7,0))</f>
        <v>-10</v>
      </c>
      <c r="AA22" s="236">
        <f ca="1">IF(CalcE2!$K$13=0,"",VLOOKUP(CalcE2!$B$7,CalcE2!$C$4:$N$12,8,0))</f>
        <v>0</v>
      </c>
      <c r="AD22" s="571" t="s">
        <v>332</v>
      </c>
      <c r="AE22" s="572" t="str">
        <f ca="1">IF(Vorrunde!$N$25="","",Vorrunde!$N$25)</f>
        <v>FC Grönlingen</v>
      </c>
      <c r="AF22" s="490"/>
    </row>
    <row r="23" spans="2:32" ht="24" customHeight="1" thickTop="1" x14ac:dyDescent="0.2">
      <c r="C23" s="445">
        <f t="array" aca="1" ref="C23" ca="1">$C$12+ROW(11:11)-SUM((($I$12:$I22="")+($K$12:$K22="")&gt;0)*1)</f>
        <v>28</v>
      </c>
      <c r="D23" s="397">
        <f t="array" aca="1" ref="D23" ca="1">IF(Planung!$U$15,"",$D$12+QUOTIENT(($C23-$C$12),Planung!$U$11)*(Planung!$R$7+Planung!$R$9)/1440+SUM($O$12:$O22)/1440)</f>
        <v>0.52083333333333337</v>
      </c>
      <c r="E23" s="599">
        <f ca="1">IF(Planung!$U$15,"",MOD($C23-$C$12,Planung!$U$11)+1)</f>
        <v>4</v>
      </c>
      <c r="F23" s="593" t="s">
        <v>320</v>
      </c>
      <c r="G23" s="594" t="s">
        <v>5</v>
      </c>
      <c r="H23" s="595" t="s">
        <v>329</v>
      </c>
      <c r="I23" s="557" t="str">
        <f t="shared" ca="1" si="0"/>
        <v>Manchester City</v>
      </c>
      <c r="J23" s="156" t="s">
        <v>5</v>
      </c>
      <c r="K23" s="375" t="str">
        <f t="shared" ca="1" si="1"/>
        <v>Inter Mailand</v>
      </c>
      <c r="L23" s="386">
        <v>4</v>
      </c>
      <c r="M23" s="389" t="str">
        <f>Sprache!$E$71</f>
        <v>:</v>
      </c>
      <c r="N23" s="370">
        <v>3</v>
      </c>
      <c r="O23" s="408"/>
      <c r="AE23" s="608">
        <f t="array" aca="1" ref="AE23" ca="1">SUM((AE19:AE22&lt;&gt;"")*1)</f>
        <v>4</v>
      </c>
    </row>
    <row r="24" spans="2:32" ht="24" customHeight="1" thickBot="1" x14ac:dyDescent="0.45">
      <c r="C24" s="445">
        <f t="array" aca="1" ref="C24" ca="1">$C$12+ROW(12:12)-SUM((($I$12:$I23="")+($K$12:$K23="")&gt;0)*1)</f>
        <v>29</v>
      </c>
      <c r="D24" s="397">
        <f t="array" aca="1" ref="D24" ca="1">IF(Planung!$U$15,"",$D$12+QUOTIENT(($C24-$C$12),Planung!$U$11)*(Planung!$R$7+Planung!$R$9)/1440+SUM($O$12:$O23)/1440)</f>
        <v>0.54513888888888895</v>
      </c>
      <c r="E24" s="599">
        <f ca="1">IF(Planung!$U$15,"",MOD($C24-$C$12,Planung!$U$11)+1)</f>
        <v>1</v>
      </c>
      <c r="F24" s="593" t="s">
        <v>335</v>
      </c>
      <c r="G24" s="594" t="s">
        <v>5</v>
      </c>
      <c r="H24" s="595" t="s">
        <v>336</v>
      </c>
      <c r="I24" s="557" t="str">
        <f t="shared" ca="1" si="0"/>
        <v/>
      </c>
      <c r="J24" s="156" t="s">
        <v>5</v>
      </c>
      <c r="K24" s="375" t="str">
        <f t="shared" ca="1" si="1"/>
        <v/>
      </c>
      <c r="L24" s="386"/>
      <c r="M24" s="389" t="str">
        <f>Sprache!$E$71</f>
        <v>:</v>
      </c>
      <c r="N24" s="370"/>
      <c r="O24" s="408"/>
      <c r="Q24" s="807" t="str">
        <f>Sprache!$E$59</f>
        <v>Gruppenfünfte und -sechste</v>
      </c>
      <c r="R24" s="807"/>
      <c r="S24" s="807"/>
      <c r="T24" s="807"/>
      <c r="U24" s="807"/>
      <c r="V24" s="807"/>
      <c r="W24" s="202"/>
      <c r="X24" s="202"/>
      <c r="Y24" s="202"/>
      <c r="Z24" s="202"/>
      <c r="AA24" s="202"/>
      <c r="AD24" s="808" t="str">
        <f>$Q24</f>
        <v>Gruppenfünfte und -sechste</v>
      </c>
      <c r="AE24" s="808"/>
      <c r="AF24" s="808"/>
    </row>
    <row r="25" spans="2:32" ht="24" customHeight="1" thickTop="1" thickBot="1" x14ac:dyDescent="0.25">
      <c r="C25" s="445">
        <f t="array" aca="1" ref="C25" ca="1">$C$12+ROW(13:13)-SUM((($I$12:$I24="")+($K$12:$K24="")&gt;0)*1)</f>
        <v>29</v>
      </c>
      <c r="D25" s="397">
        <f t="array" aca="1" ref="D25" ca="1">IF(Planung!$U$15,"",$D$12+QUOTIENT(($C25-$C$12),Planung!$U$11)*(Planung!$R$7+Planung!$R$9)/1440+SUM($O$12:$O24)/1440)</f>
        <v>0.54513888888888895</v>
      </c>
      <c r="E25" s="599">
        <f ca="1">IF(Planung!$U$15,"",MOD($C25-$C$12,Planung!$U$11)+1)</f>
        <v>1</v>
      </c>
      <c r="F25" s="593" t="s">
        <v>331</v>
      </c>
      <c r="G25" s="594" t="s">
        <v>5</v>
      </c>
      <c r="H25" s="595" t="s">
        <v>332</v>
      </c>
      <c r="I25" s="557" t="str">
        <f t="shared" ca="1" si="0"/>
        <v>VFB Essenheim</v>
      </c>
      <c r="J25" s="156" t="s">
        <v>5</v>
      </c>
      <c r="K25" s="375" t="str">
        <f t="shared" ca="1" si="1"/>
        <v>FC Grönlingen</v>
      </c>
      <c r="L25" s="386">
        <v>1</v>
      </c>
      <c r="M25" s="389" t="str">
        <f>Sprache!$E$71</f>
        <v>:</v>
      </c>
      <c r="N25" s="370">
        <v>5</v>
      </c>
      <c r="O25" s="408"/>
      <c r="Q25" s="809"/>
      <c r="R25" s="810"/>
      <c r="S25" s="204" t="str">
        <f>Sprache!$E$21</f>
        <v>SP</v>
      </c>
      <c r="T25" s="205" t="str">
        <f>Sprache!$E$22</f>
        <v>G</v>
      </c>
      <c r="U25" s="205" t="str">
        <f>Sprache!$E$23</f>
        <v>U</v>
      </c>
      <c r="V25" s="554" t="str">
        <f>Sprache!$E$24</f>
        <v>V</v>
      </c>
      <c r="W25" s="811" t="str">
        <f>Sprache!$E$25</f>
        <v>Tore</v>
      </c>
      <c r="X25" s="812"/>
      <c r="Y25" s="813"/>
      <c r="Z25" s="205" t="str">
        <f>Sprache!$E$26</f>
        <v>Diff.</v>
      </c>
      <c r="AA25" s="207" t="str">
        <f>Sprache!$E$27</f>
        <v>Pkt</v>
      </c>
      <c r="AD25" s="559"/>
      <c r="AE25" s="560" t="str">
        <f>Sprache!$E$10</f>
        <v>Teilnehmer bzw. Mannschaft</v>
      </c>
      <c r="AF25" s="486" t="str">
        <f>Sprache!$E$49</f>
        <v>Bonus</v>
      </c>
    </row>
    <row r="26" spans="2:32" ht="24" customHeight="1" x14ac:dyDescent="0.2">
      <c r="C26" s="445">
        <f t="array" aca="1" ref="C26" ca="1">$C$12+ROW(14:14)-SUM((($I$12:$I25="")+($K$12:$K25="")&gt;0)*1)</f>
        <v>30</v>
      </c>
      <c r="D26" s="397">
        <f t="array" aca="1" ref="D26" ca="1">IF(Planung!$U$15,"",$D$12+QUOTIENT(($C26-$C$12),Planung!$U$11)*(Planung!$R$7+Planung!$R$9)/1440+SUM($O$12:$O25)/1440)</f>
        <v>0.54513888888888895</v>
      </c>
      <c r="E26" s="599">
        <f ca="1">IF(Planung!$U$15,"",MOD($C26-$C$12,Planung!$U$11)+1)</f>
        <v>2</v>
      </c>
      <c r="F26" s="593" t="s">
        <v>328</v>
      </c>
      <c r="G26" s="594" t="s">
        <v>5</v>
      </c>
      <c r="H26" s="595" t="s">
        <v>329</v>
      </c>
      <c r="I26" s="557" t="str">
        <f t="shared" ca="1" si="0"/>
        <v>Eintracht Frankfurt</v>
      </c>
      <c r="J26" s="156" t="s">
        <v>5</v>
      </c>
      <c r="K26" s="375" t="str">
        <f t="shared" ca="1" si="1"/>
        <v>Inter Mailand</v>
      </c>
      <c r="L26" s="386">
        <v>4</v>
      </c>
      <c r="M26" s="389" t="str">
        <f>Sprache!$E$71</f>
        <v>:</v>
      </c>
      <c r="N26" s="370">
        <v>4</v>
      </c>
      <c r="O26" s="408"/>
      <c r="Q26" s="561">
        <f ca="1">IF(CalcE3!$K$13=0,"",1)</f>
        <v>1</v>
      </c>
      <c r="R26" s="438" t="str">
        <f ca="1">IF(Calc1!$F$14&lt;3,"",IF(AND(CalcE3!$K$13=0,AE30&lt;&gt;1),CalcE3!$Q$64,VLOOKUP(CalcE3!$B$4,CalcE3!$C$4:$N$12,4,0)))</f>
        <v>SSV Wildbach</v>
      </c>
      <c r="S26" s="562">
        <f ca="1">IF(CalcE3!$K$13=0,"",VLOOKUP(CalcE3!$B$4,CalcE3!$C$4:$N$12,9,0))</f>
        <v>1</v>
      </c>
      <c r="T26" s="211">
        <f ca="1">IF(CalcE3!$K$13=0,"",VLOOKUP(CalcE3!$B$4,CalcE3!$C$4:$N$12,10,0))</f>
        <v>1</v>
      </c>
      <c r="U26" s="211">
        <f ca="1">IF(CalcE3!$K$13=0,"",VLOOKUP(CalcE3!$B$4,CalcE3!$C$4:$N$12,11,0))</f>
        <v>0</v>
      </c>
      <c r="V26" s="211">
        <f ca="1">IF(CalcE3!$K$13=0,"",VLOOKUP(CalcE3!$B$4,CalcE3!$C$4:$N$12,12,0))</f>
        <v>0</v>
      </c>
      <c r="W26" s="213">
        <f ca="1">IF(CalcE3!$K$13=0,"",VLOOKUP(CalcE3!$B$4,CalcE3!$C$4:$N$12,5,0))</f>
        <v>7</v>
      </c>
      <c r="X26" s="563" t="str">
        <f>Sprache!$E$71</f>
        <v>:</v>
      </c>
      <c r="Y26" s="215">
        <f ca="1">IF(CalcE3!$K$13=0,"",VLOOKUP(CalcE3!$B$4,CalcE3!$C$4:$N$12,6,0))</f>
        <v>0</v>
      </c>
      <c r="Z26" s="211">
        <f ca="1">IF(CalcE3!$K$13=0,"",VLOOKUP(CalcE3!$B$4,CalcE3!$C$4:$N$12,7,0))</f>
        <v>7</v>
      </c>
      <c r="AA26" s="216">
        <f ca="1">IF(CalcE3!$K$13=0,"",VLOOKUP(CalcE3!$B$4,CalcE3!$C$4:$N$12,8,0))</f>
        <v>3</v>
      </c>
      <c r="AD26" s="552" t="s">
        <v>333</v>
      </c>
      <c r="AE26" s="564" t="str">
        <f ca="1">IF(Vorrunde!$N$16="","",Vorrunde!$N$16)</f>
        <v>Maibach 1822 eV</v>
      </c>
      <c r="AF26" s="488"/>
    </row>
    <row r="27" spans="2:32" ht="24" customHeight="1" x14ac:dyDescent="0.2">
      <c r="C27" s="445">
        <f t="array" aca="1" ref="C27" ca="1">$C$12+ROW(15:15)-SUM((($I$12:$I26="")+($K$12:$K26="")&gt;0)*1)</f>
        <v>31</v>
      </c>
      <c r="D27" s="397">
        <f t="array" aca="1" ref="D27" ca="1">IF(Planung!$U$15,"",$D$12+QUOTIENT(($C27-$C$12),Planung!$U$11)*(Planung!$R$7+Planung!$R$9)/1440+SUM($O$12:$O26)/1440)</f>
        <v>0.54513888888888895</v>
      </c>
      <c r="E27" s="599">
        <f ca="1">IF(Planung!$U$15,"",MOD($C27-$C$12,Planung!$U$11)+1)</f>
        <v>3</v>
      </c>
      <c r="F27" s="593" t="s">
        <v>333</v>
      </c>
      <c r="G27" s="594" t="s">
        <v>5</v>
      </c>
      <c r="H27" s="595" t="s">
        <v>334</v>
      </c>
      <c r="I27" s="557" t="str">
        <f t="shared" ca="1" si="0"/>
        <v>Maibach 1822 eV</v>
      </c>
      <c r="J27" s="156" t="s">
        <v>5</v>
      </c>
      <c r="K27" s="375" t="str">
        <f t="shared" ca="1" si="1"/>
        <v>SSV Wildbach</v>
      </c>
      <c r="L27" s="386">
        <v>0</v>
      </c>
      <c r="M27" s="389" t="str">
        <f>Sprache!$E$71</f>
        <v>:</v>
      </c>
      <c r="N27" s="370">
        <v>7</v>
      </c>
      <c r="O27" s="408"/>
      <c r="Q27" s="565">
        <f ca="1">IF(CalcE3!$K$13=0,"",IF(VLOOKUP(CalcE3!$B$5,CalcE3!$C$4:$E$12,3,0)=MAX($Q26:$Q26),VLOOKUP(CalcE3!$B$5,CalcE3!$C$4:$E$12,3,0),CalcE3!$B$5))</f>
        <v>2</v>
      </c>
      <c r="R27" s="440" t="str">
        <f ca="1">IF(OR(Calc1!$F$14&lt;3,AE30=1),"",IF(CalcE3!$K$13=0,CalcE3!$Q$65,VLOOKUP(CalcE3!$B$5,CalcE3!$C$4:$N$12,4,0)))</f>
        <v>Maibach 1822 eV</v>
      </c>
      <c r="S27" s="226">
        <f ca="1">IF(CalcE3!$K$13=0,"",VLOOKUP(CalcE3!$B$5,CalcE3!$C$4:$N$12,9,0))</f>
        <v>1</v>
      </c>
      <c r="T27" s="201">
        <f ca="1">IF(CalcE3!$K$13=0,"",VLOOKUP(CalcE3!$B$5,CalcE3!$C$4:$N$12,10,0))</f>
        <v>0</v>
      </c>
      <c r="U27" s="201">
        <f ca="1">IF(CalcE3!$K$13=0,"",VLOOKUP(CalcE3!$B$5,CalcE3!$C$4:$N$12,11,0))</f>
        <v>0</v>
      </c>
      <c r="V27" s="201">
        <f ca="1">IF(CalcE3!$K$13=0,"",VLOOKUP(CalcE3!$B$5,CalcE3!$C$4:$N$12,12,0))</f>
        <v>1</v>
      </c>
      <c r="W27" s="222">
        <f ca="1">IF(CalcE3!$K$13=0,"",VLOOKUP(CalcE3!$B$5,CalcE3!$C$4:$N$12,5,0))</f>
        <v>0</v>
      </c>
      <c r="X27" s="566" t="str">
        <f>Sprache!$E$71</f>
        <v>:</v>
      </c>
      <c r="Y27" s="224">
        <f ca="1">IF(CalcE3!$K$13=0,"",VLOOKUP(CalcE3!$B$5,CalcE3!$C$4:$N$12,6,0))</f>
        <v>7</v>
      </c>
      <c r="Z27" s="201">
        <f ca="1">IF(CalcE3!$K$13=0,"",VLOOKUP(CalcE3!$B$5,CalcE3!$C$4:$N$12,7,0))</f>
        <v>-7</v>
      </c>
      <c r="AA27" s="225">
        <f ca="1">IF(CalcE3!$K$13=0,"",VLOOKUP(CalcE3!$B$5,CalcE3!$C$4:$N$12,8,0))</f>
        <v>0</v>
      </c>
      <c r="AD27" s="567" t="s">
        <v>334</v>
      </c>
      <c r="AE27" s="568" t="str">
        <f ca="1">IF(Vorrunde!$N$26="","",Vorrunde!$N$26)</f>
        <v>SSV Wildbach</v>
      </c>
      <c r="AF27" s="489"/>
    </row>
    <row r="28" spans="2:32" ht="24" customHeight="1" thickBot="1" x14ac:dyDescent="0.25">
      <c r="C28" s="445">
        <f t="array" aca="1" ref="C28" ca="1">$C$12+ROW(16:16)-SUM((($I$12:$I27="")+($K$12:$K27="")&gt;0)*1)</f>
        <v>32</v>
      </c>
      <c r="D28" s="397">
        <f t="array" aca="1" ref="D28" ca="1">IF(Planung!$U$15,"",$D$12+QUOTIENT(($C28-$C$12),Planung!$U$11)*(Planung!$R$7+Planung!$R$9)/1440+SUM($O$12:$O27)/1440)</f>
        <v>0.54513888888888895</v>
      </c>
      <c r="E28" s="599">
        <f ca="1">IF(Planung!$U$15,"",MOD($C28-$C$12,Planung!$U$11)+1)</f>
        <v>4</v>
      </c>
      <c r="F28" s="593" t="s">
        <v>319</v>
      </c>
      <c r="G28" s="594" t="s">
        <v>5</v>
      </c>
      <c r="H28" s="595" t="s">
        <v>330</v>
      </c>
      <c r="I28" s="557" t="str">
        <f t="shared" ca="1" si="0"/>
        <v>1. FC Riedwald</v>
      </c>
      <c r="J28" s="156" t="s">
        <v>5</v>
      </c>
      <c r="K28" s="375" t="str">
        <f t="shared" ca="1" si="1"/>
        <v>Mainz 05</v>
      </c>
      <c r="L28" s="386">
        <v>2</v>
      </c>
      <c r="M28" s="389" t="str">
        <f>Sprache!$E$71</f>
        <v>:</v>
      </c>
      <c r="N28" s="370">
        <v>8</v>
      </c>
      <c r="O28" s="408"/>
      <c r="Q28" s="565">
        <f ca="1">IF(CalcE3!$K$13=0,"",IF(VLOOKUP(CalcE3!$B$6,CalcE3!$C$4:$E$12,3,0)=MAX($Q26:$Q27),VLOOKUP(CalcE3!$B$6,CalcE3!$C$4:$E$12,3,0),CalcE3!$B$6))</f>
        <v>2</v>
      </c>
      <c r="R28" s="440" t="str">
        <f ca="1">IF(OR(Calc1!$F$14&lt;3,AE30=1),"",IF(CalcE3!$K$13=0,CalcE3!$Q$66,VLOOKUP(CalcE3!$B$6,CalcE3!$C$4:$N$12,4,0)))</f>
        <v/>
      </c>
      <c r="S28" s="226">
        <f ca="1">IF(CalcE3!$K$13=0,"",VLOOKUP(CalcE3!$B$6,CalcE3!$C$4:$N$12,9,0))</f>
        <v>0</v>
      </c>
      <c r="T28" s="201">
        <f ca="1">IF(CalcE3!$K$13=0,"",VLOOKUP(CalcE3!$B$6,CalcE3!$C$4:$N$12,10,0))</f>
        <v>0</v>
      </c>
      <c r="U28" s="201">
        <f ca="1">IF(CalcE3!$K$13=0,"",VLOOKUP(CalcE3!$B$6,CalcE3!$C$4:$N$12,11,0))</f>
        <v>0</v>
      </c>
      <c r="V28" s="201">
        <f ca="1">IF(CalcE3!$K$13=0,"",VLOOKUP(CalcE3!$B$6,CalcE3!$C$4:$N$12,12,0))</f>
        <v>0</v>
      </c>
      <c r="W28" s="222">
        <f ca="1">IF(CalcE3!$K$13=0,"",VLOOKUP(CalcE3!$B$6,CalcE3!$C$4:$N$12,5,0))</f>
        <v>0</v>
      </c>
      <c r="X28" s="566" t="str">
        <f>Sprache!$E$71</f>
        <v>:</v>
      </c>
      <c r="Y28" s="224">
        <f ca="1">IF(CalcE3!$K$13=0,"",VLOOKUP(CalcE3!$B$6,CalcE3!$C$4:$N$12,6,0))</f>
        <v>0</v>
      </c>
      <c r="Z28" s="201">
        <f ca="1">IF(CalcE3!$K$13=0,"",VLOOKUP(CalcE3!$B$6,CalcE3!$C$4:$N$12,7,0))</f>
        <v>0</v>
      </c>
      <c r="AA28" s="225">
        <f ca="1">IF(CalcE3!$K$13=0,"",VLOOKUP(CalcE3!$B$6,CalcE3!$C$4:$N$12,8,0))</f>
        <v>0</v>
      </c>
      <c r="AD28" s="553" t="s">
        <v>335</v>
      </c>
      <c r="AE28" s="568" t="str">
        <f ca="1">IF(Vorrunde!$N$17="","",Vorrunde!$N$17)</f>
        <v/>
      </c>
      <c r="AF28" s="489"/>
    </row>
    <row r="29" spans="2:32" ht="24" customHeight="1" thickBot="1" x14ac:dyDescent="0.25">
      <c r="C29" s="446">
        <f t="array" aca="1" ref="C29" ca="1">$C$12+ROW(17:17)-SUM((($I$12:$I28="")+($K$12:$K28="")&gt;0)*1)</f>
        <v>33</v>
      </c>
      <c r="D29" s="398">
        <f t="array" aca="1" ref="D29" ca="1">IF(Planung!$U$15,"",$D$12+QUOTIENT(($C29-$C$12),Planung!$U$11)*(Planung!$R$7+Planung!$R$9)/1440+SUM($O$12:$O28)/1440)</f>
        <v>0.56944444444444442</v>
      </c>
      <c r="E29" s="424">
        <f ca="1">IF(Planung!$U$15,"",MOD($C29-$C$12,Planung!$U$11)+1)</f>
        <v>1</v>
      </c>
      <c r="F29" s="596" t="s">
        <v>327</v>
      </c>
      <c r="G29" s="597" t="s">
        <v>5</v>
      </c>
      <c r="H29" s="598" t="s">
        <v>320</v>
      </c>
      <c r="I29" s="641" t="str">
        <f t="shared" ca="1" si="0"/>
        <v>FC Barcelona</v>
      </c>
      <c r="J29" s="157" t="s">
        <v>5</v>
      </c>
      <c r="K29" s="376" t="str">
        <f t="shared" ca="1" si="1"/>
        <v>Manchester City</v>
      </c>
      <c r="L29" s="387">
        <v>4</v>
      </c>
      <c r="M29" s="425" t="str">
        <f>Sprache!$E$71</f>
        <v>:</v>
      </c>
      <c r="N29" s="372">
        <v>0</v>
      </c>
      <c r="O29" s="576"/>
      <c r="Q29" s="569">
        <f ca="1">IF(CalcE3!$K$13=0,"",IF(VLOOKUP(CalcE3!$B$7,CalcE3!$C$4:$E$12,3,0)=MAX($Q26:$Q28),VLOOKUP(CalcE3!$B$7,CalcE3!$C$4:$E$12,3,0),CalcE3!$B$7))</f>
        <v>2</v>
      </c>
      <c r="R29" s="442" t="str">
        <f ca="1">IF(OR(Calc1!$F$14&lt;3,AE30=1),"",IF(CalcE3!$K$13=0,CalcE3!$Q$67,VLOOKUP(CalcE3!$B$7,CalcE3!$C$4:$N$12,4,0)))</f>
        <v/>
      </c>
      <c r="S29" s="237">
        <f ca="1">IF(CalcE3!$K$13=0,"",VLOOKUP(CalcE3!$B$7,CalcE3!$C$4:$N$12,9,0))</f>
        <v>0</v>
      </c>
      <c r="T29" s="231">
        <f ca="1">IF(CalcE3!$K$13=0,"",VLOOKUP(CalcE3!$B$7,CalcE3!$C$4:$N$12,10,0))</f>
        <v>0</v>
      </c>
      <c r="U29" s="231">
        <f ca="1">IF(CalcE3!$K$13=0,"",VLOOKUP(CalcE3!$B$7,CalcE3!$C$4:$N$12,11,0))</f>
        <v>0</v>
      </c>
      <c r="V29" s="231">
        <f ca="1">IF(CalcE3!$K$13=0,"",VLOOKUP(CalcE3!$B$7,CalcE3!$C$4:$N$12,12,0))</f>
        <v>0</v>
      </c>
      <c r="W29" s="233">
        <f ca="1">IF(CalcE3!$K$13=0,"",VLOOKUP(CalcE3!$B$7,CalcE3!$C$4:$N$12,5,0))</f>
        <v>0</v>
      </c>
      <c r="X29" s="570" t="str">
        <f>Sprache!$E$71</f>
        <v>:</v>
      </c>
      <c r="Y29" s="235">
        <f ca="1">IF(CalcE3!$K$13=0,"",VLOOKUP(CalcE3!$B$7,CalcE3!$C$4:$N$12,6,0))</f>
        <v>0</v>
      </c>
      <c r="Z29" s="231">
        <f ca="1">IF(CalcE3!$K$13=0,"",VLOOKUP(CalcE3!$B$7,CalcE3!$C$4:$N$12,7,0))</f>
        <v>0</v>
      </c>
      <c r="AA29" s="236">
        <f ca="1">IF(CalcE3!$K$13=0,"",VLOOKUP(CalcE3!$B$7,CalcE3!$C$4:$N$12,8,0))</f>
        <v>0</v>
      </c>
      <c r="AD29" s="571" t="s">
        <v>336</v>
      </c>
      <c r="AE29" s="572" t="str">
        <f ca="1">IF(Vorrunde!$N$27="","",Vorrunde!$N$27)</f>
        <v/>
      </c>
      <c r="AF29" s="490"/>
    </row>
    <row r="30" spans="2:32" ht="24" customHeight="1" thickTop="1" x14ac:dyDescent="0.2">
      <c r="AE30" s="608">
        <f t="array" aca="1" ref="AE30" ca="1">SUM((AE26:AE29&lt;&gt;"")*1)</f>
        <v>2</v>
      </c>
    </row>
    <row r="31" spans="2:32" ht="24" customHeight="1" x14ac:dyDescent="0.2">
      <c r="C31" s="405"/>
      <c r="D31" s="405"/>
      <c r="E31" s="405"/>
      <c r="F31" s="405"/>
      <c r="G31" s="405"/>
      <c r="H31" s="405"/>
      <c r="I31" s="785" t="str">
        <f>Sprache!$E$29</f>
        <v>Turnierende:</v>
      </c>
      <c r="J31" s="785"/>
      <c r="K31" s="406">
        <f ca="1">IF(Planung!$R$13="","",$D$29+Planung!$R$7/1440)</f>
        <v>0.59027777777777779</v>
      </c>
      <c r="L31" s="407"/>
      <c r="M31" s="407"/>
      <c r="N31" s="407"/>
      <c r="O31" s="407"/>
    </row>
    <row r="32" spans="2:32" ht="24" customHeight="1" thickBot="1" x14ac:dyDescent="0.25">
      <c r="D32" s="400"/>
    </row>
    <row r="33" spans="5:18" ht="24" customHeight="1" thickBot="1" x14ac:dyDescent="0.25">
      <c r="F33" s="573"/>
      <c r="G33" s="574"/>
      <c r="H33" s="518" t="str">
        <f>Sprache!$E$79</f>
        <v>Rang</v>
      </c>
      <c r="I33" s="820" t="str">
        <f>"  "&amp;Sprache!$E$10</f>
        <v xml:space="preserve">  Teilnehmer bzw. Mannschaft</v>
      </c>
      <c r="J33" s="821"/>
      <c r="K33" s="822"/>
    </row>
    <row r="34" spans="5:18" ht="24" customHeight="1" thickTop="1" x14ac:dyDescent="0.2">
      <c r="E34" s="401">
        <v>1</v>
      </c>
      <c r="F34" s="575"/>
      <c r="G34" s="575"/>
      <c r="H34" s="457">
        <v>1</v>
      </c>
      <c r="I34" s="779" t="str">
        <f ca="1">IF(CalcE1!$K$13=0,"",$R$12)</f>
        <v>FC Barcelona</v>
      </c>
      <c r="J34" s="779"/>
      <c r="K34" s="780"/>
    </row>
    <row r="35" spans="5:18" ht="24" customHeight="1" x14ac:dyDescent="0.2">
      <c r="E35" s="401">
        <v>2</v>
      </c>
      <c r="F35" s="575"/>
      <c r="G35" s="575"/>
      <c r="H35" s="458">
        <v>2</v>
      </c>
      <c r="I35" s="781" t="str">
        <f ca="1">IF(CalcE1!$K$13=0,"",$R$13)</f>
        <v>Manchester City</v>
      </c>
      <c r="J35" s="781"/>
      <c r="K35" s="782"/>
    </row>
    <row r="36" spans="5:18" ht="24" customHeight="1" x14ac:dyDescent="0.2">
      <c r="E36" s="401">
        <v>3</v>
      </c>
      <c r="F36" s="575"/>
      <c r="G36" s="575"/>
      <c r="H36" s="459">
        <v>3</v>
      </c>
      <c r="I36" s="783" t="str">
        <f ca="1">IF(CalcE1!$K$13=0,"",$R$14)</f>
        <v>Inter Mailand</v>
      </c>
      <c r="J36" s="783"/>
      <c r="K36" s="784"/>
    </row>
    <row r="37" spans="5:18" ht="24" customHeight="1" x14ac:dyDescent="0.2">
      <c r="E37" s="401">
        <v>4</v>
      </c>
      <c r="F37" s="575"/>
      <c r="G37" s="575"/>
      <c r="H37" s="460">
        <v>4</v>
      </c>
      <c r="I37" s="777" t="str">
        <f ca="1">IF(CalcE1!$K$13=0,"",$R$15)</f>
        <v>Eintracht Frankfurt</v>
      </c>
      <c r="J37" s="777"/>
      <c r="K37" s="778"/>
    </row>
    <row r="38" spans="5:18" ht="24" customHeight="1" x14ac:dyDescent="0.2">
      <c r="E38" s="401">
        <v>5</v>
      </c>
      <c r="F38" s="575"/>
      <c r="G38" s="575"/>
      <c r="H38" s="460">
        <v>5</v>
      </c>
      <c r="I38" s="777" t="str">
        <f ca="1">IF(AND(CalcE2!$K$13=0,CalcE2!$F$13&lt;&gt;1),"",$R$19)</f>
        <v>Mainz 05</v>
      </c>
      <c r="J38" s="777"/>
      <c r="K38" s="778"/>
    </row>
    <row r="39" spans="5:18" ht="24" customHeight="1" x14ac:dyDescent="0.2">
      <c r="E39" s="401">
        <v>6</v>
      </c>
      <c r="F39" s="575"/>
      <c r="G39" s="575"/>
      <c r="H39" s="460">
        <v>6</v>
      </c>
      <c r="I39" s="777" t="str">
        <f ca="1">IF(CalcE2!$K$13=0,"",$R$20)</f>
        <v>FC Grönlingen</v>
      </c>
      <c r="J39" s="777"/>
      <c r="K39" s="778"/>
    </row>
    <row r="40" spans="5:18" ht="24" customHeight="1" x14ac:dyDescent="0.2">
      <c r="E40" s="401">
        <v>7</v>
      </c>
      <c r="F40" s="575"/>
      <c r="G40" s="575"/>
      <c r="H40" s="460">
        <v>7</v>
      </c>
      <c r="I40" s="777" t="str">
        <f ca="1">IF(CalcE2!$K$13=0,"",$R$21)</f>
        <v>1. FC Riedwald</v>
      </c>
      <c r="J40" s="777"/>
      <c r="K40" s="778"/>
      <c r="R40" s="600"/>
    </row>
    <row r="41" spans="5:18" ht="24" customHeight="1" x14ac:dyDescent="0.2">
      <c r="E41" s="401">
        <v>8</v>
      </c>
      <c r="F41" s="575"/>
      <c r="G41" s="575"/>
      <c r="H41" s="460">
        <v>8</v>
      </c>
      <c r="I41" s="777" t="str">
        <f ca="1">IF(CalcE2!$K$13=0,"",$R$22)</f>
        <v>VFB Essenheim</v>
      </c>
      <c r="J41" s="777"/>
      <c r="K41" s="778"/>
    </row>
    <row r="42" spans="5:18" ht="24" customHeight="1" x14ac:dyDescent="0.2">
      <c r="E42" s="401">
        <v>9</v>
      </c>
      <c r="F42" s="575"/>
      <c r="G42" s="575"/>
      <c r="H42" s="460">
        <v>9</v>
      </c>
      <c r="I42" s="777" t="str">
        <f ca="1">IF(AND(CalcE3!$K$13=0,CalcE3!$F$13&lt;&gt;1),"",$R$26)</f>
        <v>SSV Wildbach</v>
      </c>
      <c r="J42" s="777"/>
      <c r="K42" s="778"/>
    </row>
    <row r="43" spans="5:18" ht="24" customHeight="1" x14ac:dyDescent="0.2">
      <c r="E43" s="401">
        <v>10</v>
      </c>
      <c r="F43" s="575"/>
      <c r="G43" s="575"/>
      <c r="H43" s="460">
        <v>10</v>
      </c>
      <c r="I43" s="777" t="str">
        <f ca="1">IF(CalcE3!$K$13=0,"",$R$27)</f>
        <v>Maibach 1822 eV</v>
      </c>
      <c r="J43" s="777"/>
      <c r="K43" s="778"/>
    </row>
    <row r="44" spans="5:18" ht="24" customHeight="1" x14ac:dyDescent="0.2">
      <c r="E44" s="401">
        <v>11</v>
      </c>
      <c r="F44" s="575"/>
      <c r="G44" s="575"/>
      <c r="H44" s="460">
        <v>11</v>
      </c>
      <c r="I44" s="777" t="str">
        <f ca="1">IF(CalcE3!$K$13=0,"",$R$28)</f>
        <v/>
      </c>
      <c r="J44" s="777"/>
      <c r="K44" s="778"/>
    </row>
    <row r="45" spans="5:18" ht="24" customHeight="1" thickBot="1" x14ac:dyDescent="0.25">
      <c r="E45" s="401">
        <v>12</v>
      </c>
      <c r="F45" s="575"/>
      <c r="G45" s="575"/>
      <c r="H45" s="461">
        <v>12</v>
      </c>
      <c r="I45" s="767" t="str">
        <f ca="1">IF(CalcE3!$K$13=0,"",$R$29)</f>
        <v/>
      </c>
      <c r="J45" s="767"/>
      <c r="K45" s="768"/>
    </row>
    <row r="46" spans="5:18" ht="24" customHeight="1" thickTop="1" x14ac:dyDescent="0.2"/>
    <row r="47" spans="5:18" ht="12.75" customHeight="1" x14ac:dyDescent="0.2"/>
  </sheetData>
  <sheetProtection sheet="1" selectLockedCells="1"/>
  <mergeCells count="35">
    <mergeCell ref="I37:K37"/>
    <mergeCell ref="I36:K36"/>
    <mergeCell ref="I35:K35"/>
    <mergeCell ref="I34:K34"/>
    <mergeCell ref="I33:K33"/>
    <mergeCell ref="I42:K42"/>
    <mergeCell ref="I43:K43"/>
    <mergeCell ref="I44:K44"/>
    <mergeCell ref="I45:K45"/>
    <mergeCell ref="I38:K38"/>
    <mergeCell ref="I41:K41"/>
    <mergeCell ref="I40:K40"/>
    <mergeCell ref="I39:K39"/>
    <mergeCell ref="C10:F10"/>
    <mergeCell ref="I11:K11"/>
    <mergeCell ref="L11:N11"/>
    <mergeCell ref="Q17:V17"/>
    <mergeCell ref="AD17:AF17"/>
    <mergeCell ref="I2:Y2"/>
    <mergeCell ref="I3:Y3"/>
    <mergeCell ref="I4:Y4"/>
    <mergeCell ref="I5:Y5"/>
    <mergeCell ref="L7:R8"/>
    <mergeCell ref="I31:J31"/>
    <mergeCell ref="O10:O11"/>
    <mergeCell ref="Q10:V10"/>
    <mergeCell ref="AD10:AF10"/>
    <mergeCell ref="Q11:R11"/>
    <mergeCell ref="W11:Y11"/>
    <mergeCell ref="Q18:R18"/>
    <mergeCell ref="W18:Y18"/>
    <mergeCell ref="Q24:V24"/>
    <mergeCell ref="AD24:AF24"/>
    <mergeCell ref="Q25:R25"/>
    <mergeCell ref="W25:Y25"/>
  </mergeCells>
  <conditionalFormatting sqref="C12:N29">
    <cfRule type="expression" dxfId="5" priority="15">
      <formula>OR($I12="",$K12="")</formula>
    </cfRule>
  </conditionalFormatting>
  <conditionalFormatting sqref="Q12:AA15 Q19:AA22 Q26:AA29">
    <cfRule type="expression" dxfId="4" priority="3">
      <formula>$R12=""</formula>
    </cfRule>
    <cfRule type="expression" dxfId="3" priority="4">
      <formula>OR(AND($Q12=$Q11,$R11&lt;&gt;""),AND($Q12=$Q13,$R13&lt;&gt;""))</formula>
    </cfRule>
  </conditionalFormatting>
  <pageMargins left="0.70866141732283472" right="0.70866141732283472" top="0.78740157480314965" bottom="0.78740157480314965" header="0.31496062992125984" footer="0.31496062992125984"/>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648D8133-7717-4F1D-AB74-A1A63E64B3CD}">
            <xm:f>$H34&gt;2*Calc1!$F$14-MOD((Calc1!$F$13+Calc2!$F$13),2)</xm:f>
            <x14:dxf>
              <numFmt numFmtId="165" formatCode=";;;"/>
            </x14:dxf>
          </x14:cfRule>
          <xm:sqref>H34:H45</xm:sqref>
        </x14:conditionalFormatting>
        <x14:conditionalFormatting xmlns:xm="http://schemas.microsoft.com/office/excel/2006/main">
          <x14:cfRule type="expression" priority="2" id="{8B93BED7-4042-4876-A9D2-D19A2B48EAD6}">
            <xm:f>AND(COUNTIF('Anstoßzeiten Endrunde 4'!$J$5:$J$62,$C12)&gt;0,COUNTIF('Anstoßzeiten Endrunde 4'!$K$5:$K$62,I12)&gt;0)</xm:f>
            <x14:dxf>
              <font>
                <b/>
                <i val="0"/>
                <color rgb="FFDA0000"/>
              </font>
            </x14:dxf>
          </x14:cfRule>
          <xm:sqref>I12:K29</xm:sqref>
        </x14:conditionalFormatting>
        <x14:conditionalFormatting xmlns:xm="http://schemas.microsoft.com/office/excel/2006/main">
          <x14:cfRule type="expression" priority="1" id="{30D043E5-4663-426D-948F-549895B01841}">
            <xm:f>AND($I12&lt;&gt;"",$K12&lt;&gt;"",COUNTIF('Anstoßzeiten Endrunde 4'!$J$5:$J$62,$C12)&gt;0)</xm:f>
            <x14:dxf>
              <font>
                <b/>
                <i val="0"/>
                <color rgb="FFDA0000"/>
              </font>
            </x14:dxf>
          </x14:cfRule>
          <xm:sqref>D12:D29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68D31-041E-4045-94DC-6C73A5A25A07}">
  <sheetPr>
    <pageSetUpPr fitToPage="1"/>
  </sheetPr>
  <dimension ref="A1:BT64"/>
  <sheetViews>
    <sheetView showGridLines="0" showRowColHeaders="0" zoomScaleNormal="100" workbookViewId="0">
      <selection activeCell="J1" sqref="J1:XFD1048576"/>
    </sheetView>
  </sheetViews>
  <sheetFormatPr baseColWidth="10" defaultColWidth="0" defaultRowHeight="12.75" zeroHeight="1" x14ac:dyDescent="0.2"/>
  <cols>
    <col min="1" max="1" width="6.140625" customWidth="1"/>
    <col min="2" max="2" width="5" style="676" customWidth="1"/>
    <col min="3" max="3" width="18.140625" style="677" customWidth="1"/>
    <col min="4" max="4" width="8.28515625" style="274" customWidth="1"/>
    <col min="5" max="5" width="8.85546875" customWidth="1"/>
    <col min="6" max="6" width="8.42578125" customWidth="1"/>
    <col min="7" max="7" width="7.7109375" customWidth="1"/>
    <col min="8" max="8" width="18.42578125" customWidth="1"/>
    <col min="9" max="9" width="6.28515625" customWidth="1"/>
    <col min="10" max="10" width="5.7109375" style="649" hidden="1" customWidth="1"/>
    <col min="11" max="11" width="15.7109375" style="649"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6384" width="11.42578125" hidden="1"/>
  </cols>
  <sheetData>
    <row r="1" spans="2:72" ht="33" customHeight="1" x14ac:dyDescent="0.2">
      <c r="B1" s="823" t="str">
        <f>Sprache!$E$93</f>
        <v>Anstoßzeiten Endrunde 4</v>
      </c>
      <c r="C1" s="823"/>
      <c r="D1" s="823"/>
      <c r="E1" s="823"/>
      <c r="F1" s="823"/>
      <c r="G1" s="823"/>
      <c r="H1" s="823"/>
    </row>
    <row r="2" spans="2:72" ht="15.95" customHeight="1" x14ac:dyDescent="0.2"/>
    <row r="3" spans="2:72" ht="15.95" customHeight="1" thickBot="1" x14ac:dyDescent="0.25"/>
    <row r="4" spans="2:72" ht="15.95" customHeight="1" x14ac:dyDescent="0.2">
      <c r="B4" s="676" t="s">
        <v>208</v>
      </c>
      <c r="C4" s="677" t="str">
        <f>IF(Planung!$C$7="","",Planung!$C$7)</f>
        <v>1. FC Riedwald</v>
      </c>
      <c r="E4" s="662" t="str">
        <f>Sprache!$E$60</f>
        <v>Spiel Nr.</v>
      </c>
      <c r="F4" s="660" t="str">
        <f>Sprache!$E$39</f>
        <v>Beginn</v>
      </c>
      <c r="G4" s="663" t="str">
        <f>Sprache!$E$48</f>
        <v>Feld</v>
      </c>
      <c r="H4" s="661" t="str">
        <f>Sprache!$E$46</f>
        <v>Spiel gegen</v>
      </c>
    </row>
    <row r="5" spans="2:72" ht="15.95" customHeight="1" x14ac:dyDescent="0.2">
      <c r="E5" s="674">
        <f ca="1">IF($Q$12&lt;99999,INDEX($L$12:$L$29,MATCH($Q$12,$M$12:$M$29,0)),"")</f>
        <v>21</v>
      </c>
      <c r="F5" s="665">
        <f ca="1">IF($Q$12&lt;99999,VLOOKUP($Q$12,$M$12:$P$29,2,0),"")</f>
        <v>0.49652777777777779</v>
      </c>
      <c r="G5" s="666">
        <f ca="1">IF($Q$12&lt;99999,VLOOKUP($Q$12,$M$12:$P$29,3,0),"")</f>
        <v>1</v>
      </c>
      <c r="H5" s="667" t="str">
        <f ca="1">IF($Q$12&lt;99999,VLOOKUP($Q$12,$M$12:$P$29,4,0),"")</f>
        <v>FC Grönlingen</v>
      </c>
      <c r="J5" s="649">
        <f t="shared" ref="J5:J14" ca="1" si="0">IF(AND(F5&lt;&gt;"",OR(F5=F4,F5=F6)),E5,0)</f>
        <v>0</v>
      </c>
      <c r="K5" s="649" t="str">
        <f ca="1">IF(J5=0,"",$C$4)</f>
        <v/>
      </c>
    </row>
    <row r="6" spans="2:72" ht="15.95" customHeight="1" x14ac:dyDescent="0.2">
      <c r="E6" s="674">
        <f ca="1">IF($Q$13&lt;99999,INDEX($L$12:$L$29,MATCH($Q$13,$M$12:$M$29,0)),"")</f>
        <v>25</v>
      </c>
      <c r="F6" s="668">
        <f ca="1">IF($Q$13&lt;99999,VLOOKUP($Q$13,$M$12:$P$29,2,0),"")</f>
        <v>0.52083333333333337</v>
      </c>
      <c r="G6" s="669">
        <f ca="1">IF($Q$13&lt;99999,VLOOKUP($Q$13,$M$12:$P$29,3,0),"")</f>
        <v>1</v>
      </c>
      <c r="H6" s="670" t="str">
        <f ca="1">IF($Q$13&lt;99999,VLOOKUP($Q$13,$M$12:$P$29,4,0),"")</f>
        <v>VFB Essenheim</v>
      </c>
      <c r="J6" s="649">
        <f t="shared" ca="1" si="0"/>
        <v>0</v>
      </c>
      <c r="K6" s="649" t="str">
        <f t="shared" ref="K6:K7" ca="1" si="1">IF(J6=0,"",$C$4)</f>
        <v/>
      </c>
    </row>
    <row r="7" spans="2:72" ht="15.95" customHeight="1" thickBot="1" x14ac:dyDescent="0.25">
      <c r="E7" s="675">
        <f ca="1">IF($Q$14&lt;99999,INDEX($L$12:$L$29,MATCH($Q$14,$M$12:$M$29,0)),"")</f>
        <v>32</v>
      </c>
      <c r="F7" s="671">
        <f ca="1">IF($Q$14&lt;99999,VLOOKUP($Q$14,$M$12:$P$29,2,0),"")</f>
        <v>0.54513888888888895</v>
      </c>
      <c r="G7" s="672">
        <f ca="1">IF($Q$14&lt;99999,VLOOKUP($Q$14,$M$12:$P$29,3,0),"")</f>
        <v>4</v>
      </c>
      <c r="H7" s="673" t="str">
        <f ca="1">IF($Q$14&lt;99999,VLOOKUP($Q$14,$M$12:$P$29,4,0),"")</f>
        <v>Mainz 05</v>
      </c>
      <c r="J7" s="649">
        <f t="shared" ca="1" si="0"/>
        <v>0</v>
      </c>
      <c r="K7" s="649" t="str">
        <f t="shared" ca="1" si="1"/>
        <v/>
      </c>
    </row>
    <row r="8" spans="2:72" ht="30" customHeight="1" thickBot="1" x14ac:dyDescent="0.25">
      <c r="J8" s="649">
        <f t="shared" ca="1" si="0"/>
        <v>0</v>
      </c>
    </row>
    <row r="9" spans="2:72" ht="15.95" customHeight="1" x14ac:dyDescent="0.2">
      <c r="B9" s="676" t="s">
        <v>210</v>
      </c>
      <c r="C9" s="677" t="str">
        <f>IF(Planung!$C$9="","",Planung!$C$9)</f>
        <v>FC Barcelona</v>
      </c>
      <c r="E9" s="662" t="str">
        <f>Sprache!$E$60</f>
        <v>Spiel Nr.</v>
      </c>
      <c r="F9" s="660" t="str">
        <f>Sprache!$E$39</f>
        <v>Beginn</v>
      </c>
      <c r="G9" s="663" t="str">
        <f>Sprache!$E$48</f>
        <v>Feld</v>
      </c>
      <c r="H9" s="661" t="str">
        <f>Sprache!$E$46</f>
        <v>Spiel gegen</v>
      </c>
      <c r="J9" s="649">
        <f t="shared" ca="1" si="0"/>
        <v>0</v>
      </c>
    </row>
    <row r="10" spans="2:72" ht="15.95" customHeight="1" x14ac:dyDescent="0.2">
      <c r="E10" s="674">
        <f ca="1">IF($V$12&lt;99999,INDEX($L$12:$L$29,MATCH($V$12,$R$12:$R$29,0)),"")</f>
        <v>22</v>
      </c>
      <c r="F10" s="665">
        <f ca="1">IF($V$12&lt;99999,VLOOKUP($V$12,$R$12:$U$29,2,0),"")</f>
        <v>0.49652777777777779</v>
      </c>
      <c r="G10" s="666">
        <f ca="1">IF($V$12&lt;99999,VLOOKUP($V$12,$R$12:$U$29,3,0),"")</f>
        <v>2</v>
      </c>
      <c r="H10" s="667" t="str">
        <f ca="1">IF($V$12&lt;99999,VLOOKUP($V$12,$R$12:$U$29,4,0),"")</f>
        <v>Inter Mailand</v>
      </c>
      <c r="J10" s="649">
        <f t="shared" ca="1" si="0"/>
        <v>0</v>
      </c>
      <c r="K10" s="649" t="str">
        <f ca="1">IF(J10=0,"",$C$9)</f>
        <v/>
      </c>
    </row>
    <row r="11" spans="2:72" ht="15.95" customHeight="1" x14ac:dyDescent="0.2">
      <c r="E11" s="674">
        <f ca="1">IF($V$13&lt;99999,INDEX($L$12:$L$29,MATCH($V$13,$R$12:$R$29,0)),"")</f>
        <v>26</v>
      </c>
      <c r="F11" s="668">
        <f ca="1">IF($V$13&lt;99999,VLOOKUP($V$13,$R$12:$U$29,2,0),"")</f>
        <v>0.52083333333333337</v>
      </c>
      <c r="G11" s="669">
        <f ca="1">IF($V$13&lt;99999,VLOOKUP($V$13,$R$12:$U$29,3,0),"")</f>
        <v>2</v>
      </c>
      <c r="H11" s="670" t="str">
        <f ca="1">IF($V$13&lt;99999,VLOOKUP($V$13,$R$12:$U$29,4,0),"")</f>
        <v>Eintracht Frankfurt</v>
      </c>
      <c r="J11" s="649">
        <f t="shared" ca="1" si="0"/>
        <v>0</v>
      </c>
      <c r="K11" s="649" t="str">
        <f t="shared" ref="K11:K12" ca="1" si="2">IF(J11=0,"",$C$9)</f>
        <v/>
      </c>
      <c r="L11" s="664" t="str">
        <f>Sprache!$E$9</f>
        <v>Nr.</v>
      </c>
      <c r="M11" s="664"/>
      <c r="N11" s="274"/>
      <c r="O11" s="274"/>
      <c r="P11" s="274" t="str">
        <f>$C$4</f>
        <v>1. FC Riedwald</v>
      </c>
      <c r="Q11" s="274"/>
      <c r="R11" s="274"/>
      <c r="S11" s="274"/>
      <c r="T11" s="274"/>
      <c r="U11" s="274" t="str">
        <f>$C$9</f>
        <v>FC Barcelona</v>
      </c>
      <c r="V11" s="274"/>
      <c r="W11" s="274"/>
      <c r="X11" s="274"/>
      <c r="Y11" s="274"/>
      <c r="Z11" s="274" t="str">
        <f>$C$14</f>
        <v>Eintracht Frankfurt</v>
      </c>
      <c r="AA11" s="274"/>
      <c r="AB11" s="274"/>
      <c r="AC11" s="274"/>
      <c r="AD11" s="274"/>
      <c r="AE11" s="274" t="str">
        <f>$C$19</f>
        <v>Maibach 1822 eV</v>
      </c>
      <c r="AF11" s="274"/>
      <c r="AG11" s="274"/>
      <c r="AH11" s="274"/>
      <c r="AI11" s="274"/>
      <c r="AJ11" s="274" t="str">
        <f>$C$24</f>
        <v>VFB Essenheim</v>
      </c>
      <c r="AK11" s="274"/>
      <c r="AL11" s="274"/>
      <c r="AM11" s="274"/>
      <c r="AN11" s="274"/>
      <c r="AO11" s="274" t="str">
        <f>$C$29</f>
        <v/>
      </c>
      <c r="AP11" s="274"/>
      <c r="AQ11" s="274"/>
      <c r="AR11" s="274"/>
      <c r="AS11" s="274"/>
      <c r="AT11" s="274" t="str">
        <f>$C$34</f>
        <v>Mainz 05</v>
      </c>
      <c r="AU11" s="274"/>
      <c r="AV11" s="274"/>
      <c r="AW11" s="274"/>
      <c r="AX11" s="274"/>
      <c r="AY11" s="274" t="str">
        <f>$C$39</f>
        <v>Inter Mailand</v>
      </c>
      <c r="AZ11" s="274"/>
      <c r="BA11" s="274"/>
      <c r="BB11" s="274"/>
      <c r="BC11" s="274"/>
      <c r="BD11" s="274" t="str">
        <f>$C$44</f>
        <v>SSV Wildbach</v>
      </c>
      <c r="BE11" s="274"/>
      <c r="BF11" s="274"/>
      <c r="BG11" s="274"/>
      <c r="BH11" s="274"/>
      <c r="BI11" s="274" t="str">
        <f>$C$49</f>
        <v>Manchester City</v>
      </c>
      <c r="BJ11" s="274"/>
      <c r="BK11" s="274"/>
      <c r="BL11" s="274"/>
      <c r="BM11" s="274"/>
      <c r="BN11" s="274" t="str">
        <f>$C$54</f>
        <v>FC Grönlingen</v>
      </c>
      <c r="BO11" s="274"/>
      <c r="BP11" s="274"/>
      <c r="BQ11" s="274"/>
      <c r="BR11" s="274"/>
      <c r="BS11" s="274" t="str">
        <f>$C$59</f>
        <v/>
      </c>
      <c r="BT11" s="274"/>
    </row>
    <row r="12" spans="2:72" ht="15.95" customHeight="1" thickBot="1" x14ac:dyDescent="0.25">
      <c r="E12" s="675">
        <f ca="1">IF($V$14&lt;99999,INDEX($L$12:$L$29,MATCH($V$14,$R$12:$R$29,0)),"")</f>
        <v>33</v>
      </c>
      <c r="F12" s="671">
        <f ca="1">IF($V$14&lt;99999,VLOOKUP($V$14,$R$12:$U$29,2,0),"")</f>
        <v>0.56944444444444442</v>
      </c>
      <c r="G12" s="672">
        <f ca="1">IF($V$14&lt;99999,VLOOKUP($V$14,$R$12:$U$29,3,0),"")</f>
        <v>1</v>
      </c>
      <c r="H12" s="673" t="str">
        <f ca="1">IF($V$14&lt;99999,VLOOKUP($V$14,$R$12:$U$29,4,0),"")</f>
        <v>Manchester City</v>
      </c>
      <c r="J12" s="649">
        <f t="shared" ca="1" si="0"/>
        <v>0</v>
      </c>
      <c r="K12" s="649" t="str">
        <f t="shared" ca="1" si="2"/>
        <v/>
      </c>
      <c r="L12" s="168">
        <f ca="1">'Endrunde 4'!$C12</f>
        <v>21</v>
      </c>
      <c r="M12" s="678">
        <f ca="1">N12+ROW(N12)</f>
        <v>100011</v>
      </c>
      <c r="N12" s="655">
        <f ca="1">IF(P12="",99999,'Endrunde 4'!$D12)</f>
        <v>99999</v>
      </c>
      <c r="O12" s="658" t="str">
        <f ca="1">IF(P12="","",'Endrunde 4'!$E12)</f>
        <v/>
      </c>
      <c r="P12" s="650" t="str">
        <f ca="1">IF($C$4="","",IF('Endrunde 4'!$I12=$C$4,'Endrunde 4'!$K12,IF('Endrunde 4'!$K12=$C$4,'Endrunde 4'!$I12,"")))</f>
        <v/>
      </c>
      <c r="Q12" s="652">
        <f ca="1">SMALL(M$12:M$29,ROW(M12)-11)</f>
        <v>13.496527777777779</v>
      </c>
      <c r="R12" s="678">
        <f ca="1">S12+ROW(S12)</f>
        <v>100011</v>
      </c>
      <c r="S12" s="655">
        <f ca="1">IF(U12="",99999,'Endrunde 4'!$D12)</f>
        <v>99999</v>
      </c>
      <c r="T12" s="658" t="str">
        <f ca="1">IF(U12="","",'Endrunde 4'!$E12)</f>
        <v/>
      </c>
      <c r="U12" s="650" t="str">
        <f ca="1">IF($C$9="","",IF('Endrunde 4'!$I12=$C$9,'Endrunde 4'!$K12,IF('Endrunde 4'!$K12=$C$9,'Endrunde 4'!$I12,"")))</f>
        <v/>
      </c>
      <c r="V12" s="652">
        <f ca="1">SMALL(R$12:R$29,ROW(R12)-11)</f>
        <v>14.496527777777779</v>
      </c>
      <c r="W12" s="678">
        <f ca="1">X12+ROW(X12)</f>
        <v>100011</v>
      </c>
      <c r="X12" s="655">
        <f ca="1">IF(Z12="",99999,'Endrunde 4'!$D12)</f>
        <v>99999</v>
      </c>
      <c r="Y12" s="658" t="str">
        <f ca="1">IF(Z12="","",'Endrunde 4'!$E12)</f>
        <v/>
      </c>
      <c r="Z12" s="650" t="str">
        <f ca="1">IF($C$14="","",IF('Endrunde 4'!$I12=$C$14,'Endrunde 4'!$K12,IF('Endrunde 4'!$K12=$C$14,'Endrunde 4'!$I12,"")))</f>
        <v/>
      </c>
      <c r="AA12" s="652">
        <f ca="1">SMALL(W$12:W$29,ROW(W12)-11)</f>
        <v>17.496527777777779</v>
      </c>
      <c r="AB12" s="678">
        <f ca="1">AC12+ROW(AC12)</f>
        <v>100011</v>
      </c>
      <c r="AC12" s="655">
        <f ca="1">IF(AE12="",99999,'Endrunde 4'!$D12)</f>
        <v>99999</v>
      </c>
      <c r="AD12" s="658" t="str">
        <f ca="1">IF(AE12="","",'Endrunde 4'!$E12)</f>
        <v/>
      </c>
      <c r="AE12" s="650" t="str">
        <f ca="1">IF($C$19="","",IF('Endrunde 4'!$I12=$C$19,'Endrunde 4'!$K12,IF('Endrunde 4'!$K12=$C$19,'Endrunde 4'!$I12,"")))</f>
        <v/>
      </c>
      <c r="AF12" s="652">
        <f ca="1">SMALL(AB$12:AB$29,ROW(AB12)-11)</f>
        <v>27.545138888888889</v>
      </c>
      <c r="AG12" s="678">
        <f ca="1">AH12+ROW(AH12)</f>
        <v>100011</v>
      </c>
      <c r="AH12" s="655">
        <f ca="1">IF(AJ12="",99999,'Endrunde 4'!$D12)</f>
        <v>99999</v>
      </c>
      <c r="AI12" s="658" t="str">
        <f ca="1">IF(AJ12="","",'Endrunde 4'!$E12)</f>
        <v/>
      </c>
      <c r="AJ12" s="650" t="str">
        <f ca="1">IF($C$24="","",IF('Endrunde 4'!$I12=$C$24,'Endrunde 4'!$K12,IF('Endrunde 4'!$K12=$C$24,'Endrunde 4'!$I12,"")))</f>
        <v/>
      </c>
      <c r="AK12" s="652">
        <f ca="1">SMALL(AG$12:AG$29,ROW(AG12)-11)</f>
        <v>16.496527777777779</v>
      </c>
      <c r="AL12" s="678">
        <f>AM12+ROW(AM12)</f>
        <v>100011</v>
      </c>
      <c r="AM12" s="655">
        <f>IF(AO12="",99999,'Endrunde 4'!$D12)</f>
        <v>99999</v>
      </c>
      <c r="AN12" s="658" t="str">
        <f>IF(AO12="","",'Endrunde 4'!$E12)</f>
        <v/>
      </c>
      <c r="AO12" s="650" t="str">
        <f>IF($C$29="","",IF('Endrunde 4'!$I12=$C$29,'Endrunde 4'!$K12,IF('Endrunde 4'!$K12=$C$29,'Endrunde 4'!$I12,"")))</f>
        <v/>
      </c>
      <c r="AP12" s="652">
        <f>SMALL(AL$12:AL$29,ROW(AL12)-11)</f>
        <v>100011</v>
      </c>
      <c r="AQ12" s="678">
        <f ca="1">AR12+ROW(AR12)</f>
        <v>100011</v>
      </c>
      <c r="AR12" s="655">
        <f ca="1">IF(AT12="",99999,'Endrunde 4'!$D12)</f>
        <v>99999</v>
      </c>
      <c r="AS12" s="658" t="str">
        <f ca="1">IF(AT12="","",'Endrunde 4'!$E12)</f>
        <v/>
      </c>
      <c r="AT12" s="650" t="str">
        <f ca="1">IF($C$34="","",IF('Endrunde 4'!$I12=$C$34,'Endrunde 4'!$K12,IF('Endrunde 4'!$K12=$C$34,'Endrunde 4'!$I12,"")))</f>
        <v/>
      </c>
      <c r="AU12" s="652">
        <f ca="1">SMALL(AQ$12:AQ$29,ROW(AQ12)-11)</f>
        <v>16.496527777777779</v>
      </c>
      <c r="AV12" s="678">
        <f ca="1">AW12+ROW(AW12)</f>
        <v>100011</v>
      </c>
      <c r="AW12" s="655">
        <f ca="1">IF(AY12="",99999,'Endrunde 4'!$D12)</f>
        <v>99999</v>
      </c>
      <c r="AX12" s="658" t="str">
        <f ca="1">IF(AY12="","",'Endrunde 4'!$E12)</f>
        <v/>
      </c>
      <c r="AY12" s="650" t="str">
        <f ca="1">IF($C$39="","",IF('Endrunde 4'!$I12=$C$39,'Endrunde 4'!$K12,IF('Endrunde 4'!$K12=$C$39,'Endrunde 4'!$I12,"")))</f>
        <v/>
      </c>
      <c r="AZ12" s="652">
        <f ca="1">SMALL(AV$12:AV$29,ROW(AV12)-11)</f>
        <v>14.496527777777779</v>
      </c>
      <c r="BA12" s="678">
        <f ca="1">BB12+ROW(BB12)</f>
        <v>100011</v>
      </c>
      <c r="BB12" s="655">
        <f ca="1">IF(BD12="",99999,'Endrunde 4'!$D12)</f>
        <v>99999</v>
      </c>
      <c r="BC12" s="658" t="str">
        <f ca="1">IF(BD12="","",'Endrunde 4'!$E12)</f>
        <v/>
      </c>
      <c r="BD12" s="650" t="str">
        <f ca="1">IF($C$44="","",IF('Endrunde 4'!$I12=$C$44,'Endrunde 4'!$K12,IF('Endrunde 4'!$K12=$C$44,'Endrunde 4'!$I12,"")))</f>
        <v/>
      </c>
      <c r="BE12" s="652">
        <f ca="1">SMALL(BA$12:BA$29,ROW(BA12)-11)</f>
        <v>27.545138888888889</v>
      </c>
      <c r="BF12" s="678">
        <f ca="1">BG12+ROW(BG12)</f>
        <v>100011</v>
      </c>
      <c r="BG12" s="655">
        <f ca="1">IF(BI12="",99999,'Endrunde 4'!$D12)</f>
        <v>99999</v>
      </c>
      <c r="BH12" s="658" t="str">
        <f ca="1">IF(BI12="","",'Endrunde 4'!$E12)</f>
        <v/>
      </c>
      <c r="BI12" s="650" t="str">
        <f ca="1">IF($C$49="","",IF('Endrunde 4'!$I12=$C$49,'Endrunde 4'!$K12,IF('Endrunde 4'!$K12=$C$49,'Endrunde 4'!$I12,"")))</f>
        <v/>
      </c>
      <c r="BJ12" s="652">
        <f ca="1">SMALL(BF$12:BF$29,ROW(BF12)-11)</f>
        <v>17.496527777777779</v>
      </c>
      <c r="BK12" s="678">
        <f ca="1">BL12+ROW(BL12)</f>
        <v>100011</v>
      </c>
      <c r="BL12" s="655">
        <f ca="1">IF(BN12="",99999,'Endrunde 4'!$D12)</f>
        <v>99999</v>
      </c>
      <c r="BM12" s="658" t="str">
        <f ca="1">IF(BN12="","",'Endrunde 4'!$E12)</f>
        <v/>
      </c>
      <c r="BN12" s="650" t="str">
        <f ca="1">IF($C$54="","",IF('Endrunde 4'!$I12=$C$54,'Endrunde 4'!$K12,IF('Endrunde 4'!$K12=$C$54,'Endrunde 4'!$I12,"")))</f>
        <v/>
      </c>
      <c r="BO12" s="652">
        <f ca="1">SMALL(BK$12:BK$29,ROW(BK12)-11)</f>
        <v>13.496527777777779</v>
      </c>
      <c r="BP12" s="678">
        <f>BQ12+ROW(BQ12)</f>
        <v>100011</v>
      </c>
      <c r="BQ12" s="655">
        <f>IF(BS12="",99999,'Endrunde 4'!$D12)</f>
        <v>99999</v>
      </c>
      <c r="BR12" s="658" t="str">
        <f>IF(BS12="","",'Endrunde 4'!$E12)</f>
        <v/>
      </c>
      <c r="BS12" s="650" t="str">
        <f>IF($C$59="","",IF('Endrunde 4'!$I12=$C$59,'Endrunde 4'!$K12,IF('Endrunde 4'!$K12=$C$59,'Endrunde 4'!$I12,"")))</f>
        <v/>
      </c>
      <c r="BT12" s="652">
        <f>SMALL(BP$12:BP$29,ROW(BP12)-11)</f>
        <v>100011</v>
      </c>
    </row>
    <row r="13" spans="2:72" ht="30" customHeight="1" thickBot="1" x14ac:dyDescent="0.25">
      <c r="J13" s="649">
        <f t="shared" ca="1" si="0"/>
        <v>0</v>
      </c>
      <c r="L13" s="168">
        <f ca="1">'Endrunde 4'!$C13</f>
        <v>21</v>
      </c>
      <c r="M13" s="679">
        <f t="shared" ref="M13:M29" ca="1" si="3">N13+ROW(N13)</f>
        <v>13.496527777777779</v>
      </c>
      <c r="N13" s="656">
        <f ca="1">IF(P13="",99999,'Endrunde 4'!$D13)</f>
        <v>0.49652777777777779</v>
      </c>
      <c r="O13" s="335">
        <f ca="1">IF(P13="","",'Endrunde 4'!$E13)</f>
        <v>1</v>
      </c>
      <c r="P13" s="336" t="str">
        <f ca="1">IF($C$4="","",IF('Endrunde 4'!$I13=$C$4,'Endrunde 4'!$K13,IF('Endrunde 4'!$K13=$C$4,'Endrunde 4'!$I13,"")))</f>
        <v>FC Grönlingen</v>
      </c>
      <c r="Q13" s="653">
        <f t="shared" ref="Q13:Q29" ca="1" si="4">SMALL(M$12:M$29,ROW(M13)-11)</f>
        <v>19.520833333333332</v>
      </c>
      <c r="R13" s="679">
        <f t="shared" ref="R13:R29" ca="1" si="5">S13+ROW(S13)</f>
        <v>100012</v>
      </c>
      <c r="S13" s="656">
        <f ca="1">IF(U13="",99999,'Endrunde 4'!$D13)</f>
        <v>99999</v>
      </c>
      <c r="T13" s="335" t="str">
        <f ca="1">IF(U13="","",'Endrunde 4'!$E13)</f>
        <v/>
      </c>
      <c r="U13" s="336" t="str">
        <f ca="1">IF($C$9="","",IF('Endrunde 4'!$I13=$C$9,'Endrunde 4'!$K13,IF('Endrunde 4'!$K13=$C$9,'Endrunde 4'!$I13,"")))</f>
        <v/>
      </c>
      <c r="V13" s="653">
        <f t="shared" ref="V13:V29" ca="1" si="6">SMALL(R$12:R$29,ROW(R13)-11)</f>
        <v>20.520833333333332</v>
      </c>
      <c r="W13" s="679">
        <f t="shared" ref="W13:W29" ca="1" si="7">X13+ROW(X13)</f>
        <v>100012</v>
      </c>
      <c r="X13" s="656">
        <f ca="1">IF(Z13="",99999,'Endrunde 4'!$D13)</f>
        <v>99999</v>
      </c>
      <c r="Y13" s="335" t="str">
        <f ca="1">IF(Z13="","",'Endrunde 4'!$E13)</f>
        <v/>
      </c>
      <c r="Z13" s="336" t="str">
        <f ca="1">IF($C$14="","",IF('Endrunde 4'!$I13=$C$14,'Endrunde 4'!$K13,IF('Endrunde 4'!$K13=$C$14,'Endrunde 4'!$I13,"")))</f>
        <v/>
      </c>
      <c r="AA13" s="653">
        <f t="shared" ref="AA13:AA29" ca="1" si="8">SMALL(W$12:W$29,ROW(W13)-11)</f>
        <v>20.520833333333332</v>
      </c>
      <c r="AB13" s="679">
        <f t="shared" ref="AB13:AB29" ca="1" si="9">AC13+ROW(AC13)</f>
        <v>100012</v>
      </c>
      <c r="AC13" s="656">
        <f ca="1">IF(AE13="",99999,'Endrunde 4'!$D13)</f>
        <v>99999</v>
      </c>
      <c r="AD13" s="335" t="str">
        <f ca="1">IF(AE13="","",'Endrunde 4'!$E13)</f>
        <v/>
      </c>
      <c r="AE13" s="336" t="str">
        <f ca="1">IF($C$19="","",IF('Endrunde 4'!$I13=$C$19,'Endrunde 4'!$K13,IF('Endrunde 4'!$K13=$C$19,'Endrunde 4'!$I13,"")))</f>
        <v/>
      </c>
      <c r="AF13" s="653">
        <f t="shared" ref="AF13:AF29" ca="1" si="10">SMALL(AB$12:AB$29,ROW(AB13)-11)</f>
        <v>100011</v>
      </c>
      <c r="AG13" s="679">
        <f t="shared" ref="AG13:AG29" ca="1" si="11">AH13+ROW(AH13)</f>
        <v>100012</v>
      </c>
      <c r="AH13" s="656">
        <f ca="1">IF(AJ13="",99999,'Endrunde 4'!$D13)</f>
        <v>99999</v>
      </c>
      <c r="AI13" s="335" t="str">
        <f ca="1">IF(AJ13="","",'Endrunde 4'!$E13)</f>
        <v/>
      </c>
      <c r="AJ13" s="336" t="str">
        <f ca="1">IF($C$24="","",IF('Endrunde 4'!$I13=$C$24,'Endrunde 4'!$K13,IF('Endrunde 4'!$K13=$C$24,'Endrunde 4'!$I13,"")))</f>
        <v/>
      </c>
      <c r="AK13" s="653">
        <f t="shared" ref="AK13:AK29" ca="1" si="12">SMALL(AG$12:AG$29,ROW(AG13)-11)</f>
        <v>19.520833333333332</v>
      </c>
      <c r="AL13" s="679">
        <f t="shared" ref="AL13:AL29" si="13">AM13+ROW(AM13)</f>
        <v>100012</v>
      </c>
      <c r="AM13" s="656">
        <f>IF(AO13="",99999,'Endrunde 4'!$D13)</f>
        <v>99999</v>
      </c>
      <c r="AN13" s="335" t="str">
        <f>IF(AO13="","",'Endrunde 4'!$E13)</f>
        <v/>
      </c>
      <c r="AO13" s="336" t="str">
        <f>IF($C$29="","",IF('Endrunde 4'!$I13=$C$29,'Endrunde 4'!$K13,IF('Endrunde 4'!$K13=$C$29,'Endrunde 4'!$I13,"")))</f>
        <v/>
      </c>
      <c r="AP13" s="653">
        <f t="shared" ref="AP13:AP29" si="14">SMALL(AL$12:AL$29,ROW(AL13)-11)</f>
        <v>100012</v>
      </c>
      <c r="AQ13" s="679">
        <f t="shared" ref="AQ13:AQ29" ca="1" si="15">AR13+ROW(AR13)</f>
        <v>100012</v>
      </c>
      <c r="AR13" s="656">
        <f ca="1">IF(AT13="",99999,'Endrunde 4'!$D13)</f>
        <v>99999</v>
      </c>
      <c r="AS13" s="335" t="str">
        <f ca="1">IF(AT13="","",'Endrunde 4'!$E13)</f>
        <v/>
      </c>
      <c r="AT13" s="336" t="str">
        <f ca="1">IF($C$34="","",IF('Endrunde 4'!$I13=$C$34,'Endrunde 4'!$K13,IF('Endrunde 4'!$K13=$C$34,'Endrunde 4'!$I13,"")))</f>
        <v/>
      </c>
      <c r="AU13" s="653">
        <f t="shared" ref="AU13:AU29" ca="1" si="16">SMALL(AQ$12:AQ$29,ROW(AQ13)-11)</f>
        <v>22.520833333333332</v>
      </c>
      <c r="AV13" s="679">
        <f t="shared" ref="AV13:AV29" ca="1" si="17">AW13+ROW(AW13)</f>
        <v>100012</v>
      </c>
      <c r="AW13" s="656">
        <f ca="1">IF(AY13="",99999,'Endrunde 4'!$D13)</f>
        <v>99999</v>
      </c>
      <c r="AX13" s="335" t="str">
        <f ca="1">IF(AY13="","",'Endrunde 4'!$E13)</f>
        <v/>
      </c>
      <c r="AY13" s="336" t="str">
        <f ca="1">IF($C$39="","",IF('Endrunde 4'!$I13=$C$39,'Endrunde 4'!$K13,IF('Endrunde 4'!$K13=$C$39,'Endrunde 4'!$I13,"")))</f>
        <v/>
      </c>
      <c r="AZ13" s="653">
        <f t="shared" ref="AZ13:AZ29" ca="1" si="18">SMALL(AV$12:AV$29,ROW(AV13)-11)</f>
        <v>23.520833333333332</v>
      </c>
      <c r="BA13" s="679">
        <f t="shared" ref="BA13:BA29" ca="1" si="19">BB13+ROW(BB13)</f>
        <v>100012</v>
      </c>
      <c r="BB13" s="656">
        <f ca="1">IF(BD13="",99999,'Endrunde 4'!$D13)</f>
        <v>99999</v>
      </c>
      <c r="BC13" s="335" t="str">
        <f ca="1">IF(BD13="","",'Endrunde 4'!$E13)</f>
        <v/>
      </c>
      <c r="BD13" s="336" t="str">
        <f ca="1">IF($C$44="","",IF('Endrunde 4'!$I13=$C$44,'Endrunde 4'!$K13,IF('Endrunde 4'!$K13=$C$44,'Endrunde 4'!$I13,"")))</f>
        <v/>
      </c>
      <c r="BE13" s="653">
        <f t="shared" ref="BE13:BE29" ca="1" si="20">SMALL(BA$12:BA$29,ROW(BA13)-11)</f>
        <v>100011</v>
      </c>
      <c r="BF13" s="679">
        <f t="shared" ref="BF13:BF29" ca="1" si="21">BG13+ROW(BG13)</f>
        <v>100012</v>
      </c>
      <c r="BG13" s="656">
        <f ca="1">IF(BI13="",99999,'Endrunde 4'!$D13)</f>
        <v>99999</v>
      </c>
      <c r="BH13" s="335" t="str">
        <f ca="1">IF(BI13="","",'Endrunde 4'!$E13)</f>
        <v/>
      </c>
      <c r="BI13" s="336" t="str">
        <f ca="1">IF($C$49="","",IF('Endrunde 4'!$I13=$C$49,'Endrunde 4'!$K13,IF('Endrunde 4'!$K13=$C$49,'Endrunde 4'!$I13,"")))</f>
        <v/>
      </c>
      <c r="BJ13" s="653">
        <f t="shared" ref="BJ13:BJ29" ca="1" si="22">SMALL(BF$12:BF$29,ROW(BF13)-11)</f>
        <v>23.520833333333332</v>
      </c>
      <c r="BK13" s="679">
        <f t="shared" ref="BK13:BK29" ca="1" si="23">BL13+ROW(BL13)</f>
        <v>13.496527777777779</v>
      </c>
      <c r="BL13" s="656">
        <f ca="1">IF(BN13="",99999,'Endrunde 4'!$D13)</f>
        <v>0.49652777777777779</v>
      </c>
      <c r="BM13" s="335">
        <f ca="1">IF(BN13="","",'Endrunde 4'!$E13)</f>
        <v>1</v>
      </c>
      <c r="BN13" s="336" t="str">
        <f ca="1">IF($C$54="","",IF('Endrunde 4'!$I13=$C$54,'Endrunde 4'!$K13,IF('Endrunde 4'!$K13=$C$54,'Endrunde 4'!$I13,"")))</f>
        <v>1. FC Riedwald</v>
      </c>
      <c r="BO13" s="653">
        <f t="shared" ref="BO13:BO29" ca="1" si="24">SMALL(BK$12:BK$29,ROW(BK13)-11)</f>
        <v>22.520833333333332</v>
      </c>
      <c r="BP13" s="679">
        <f t="shared" ref="BP13:BP29" si="25">BQ13+ROW(BQ13)</f>
        <v>100012</v>
      </c>
      <c r="BQ13" s="656">
        <f>IF(BS13="",99999,'Endrunde 4'!$D13)</f>
        <v>99999</v>
      </c>
      <c r="BR13" s="335" t="str">
        <f>IF(BS13="","",'Endrunde 4'!$E13)</f>
        <v/>
      </c>
      <c r="BS13" s="336" t="str">
        <f>IF($C$59="","",IF('Endrunde 4'!$I13=$C$59,'Endrunde 4'!$K13,IF('Endrunde 4'!$K13=$C$59,'Endrunde 4'!$I13,"")))</f>
        <v/>
      </c>
      <c r="BT13" s="653">
        <f t="shared" ref="BT13:BT29" si="26">SMALL(BP$12:BP$29,ROW(BP13)-11)</f>
        <v>100012</v>
      </c>
    </row>
    <row r="14" spans="2:72" ht="15.95" customHeight="1" x14ac:dyDescent="0.2">
      <c r="B14" s="676" t="s">
        <v>206</v>
      </c>
      <c r="C14" s="677" t="str">
        <f>IF(Planung!$C$11="","",Planung!$C$11)</f>
        <v>Eintracht Frankfurt</v>
      </c>
      <c r="E14" s="662" t="str">
        <f>Sprache!$E$60</f>
        <v>Spiel Nr.</v>
      </c>
      <c r="F14" s="660" t="str">
        <f>Sprache!$E$39</f>
        <v>Beginn</v>
      </c>
      <c r="G14" s="663" t="str">
        <f>Sprache!$E$48</f>
        <v>Feld</v>
      </c>
      <c r="H14" s="661" t="str">
        <f>Sprache!$E$46</f>
        <v>Spiel gegen</v>
      </c>
      <c r="J14" s="649">
        <f t="shared" ca="1" si="0"/>
        <v>0</v>
      </c>
      <c r="L14" s="168">
        <f ca="1">'Endrunde 4'!$C14</f>
        <v>22</v>
      </c>
      <c r="M14" s="679">
        <f t="shared" ca="1" si="3"/>
        <v>100013</v>
      </c>
      <c r="N14" s="656">
        <f ca="1">IF(P14="",99999,'Endrunde 4'!$D14)</f>
        <v>99999</v>
      </c>
      <c r="O14" s="335" t="str">
        <f ca="1">IF(P14="","",'Endrunde 4'!$E14)</f>
        <v/>
      </c>
      <c r="P14" s="336" t="str">
        <f ca="1">IF($C$4="","",IF('Endrunde 4'!$I14=$C$4,'Endrunde 4'!$K14,IF('Endrunde 4'!$K14=$C$4,'Endrunde 4'!$I14,"")))</f>
        <v/>
      </c>
      <c r="Q14" s="653">
        <f t="shared" ca="1" si="4"/>
        <v>28.545138888888889</v>
      </c>
      <c r="R14" s="679">
        <f t="shared" ca="1" si="5"/>
        <v>14.496527777777779</v>
      </c>
      <c r="S14" s="656">
        <f ca="1">IF(U14="",99999,'Endrunde 4'!$D14)</f>
        <v>0.49652777777777779</v>
      </c>
      <c r="T14" s="335">
        <f ca="1">IF(U14="","",'Endrunde 4'!$E14)</f>
        <v>2</v>
      </c>
      <c r="U14" s="336" t="str">
        <f ca="1">IF($C$9="","",IF('Endrunde 4'!$I14=$C$9,'Endrunde 4'!$K14,IF('Endrunde 4'!$K14=$C$9,'Endrunde 4'!$I14,"")))</f>
        <v>Inter Mailand</v>
      </c>
      <c r="V14" s="653">
        <f t="shared" ca="1" si="6"/>
        <v>29.569444444444443</v>
      </c>
      <c r="W14" s="679">
        <f t="shared" ca="1" si="7"/>
        <v>100013</v>
      </c>
      <c r="X14" s="656">
        <f ca="1">IF(Z14="",99999,'Endrunde 4'!$D14)</f>
        <v>99999</v>
      </c>
      <c r="Y14" s="335" t="str">
        <f ca="1">IF(Z14="","",'Endrunde 4'!$E14)</f>
        <v/>
      </c>
      <c r="Z14" s="336" t="str">
        <f ca="1">IF($C$14="","",IF('Endrunde 4'!$I14=$C$14,'Endrunde 4'!$K14,IF('Endrunde 4'!$K14=$C$14,'Endrunde 4'!$I14,"")))</f>
        <v/>
      </c>
      <c r="AA14" s="653">
        <f t="shared" ca="1" si="8"/>
        <v>26.545138888888889</v>
      </c>
      <c r="AB14" s="679">
        <f t="shared" ca="1" si="9"/>
        <v>100013</v>
      </c>
      <c r="AC14" s="656">
        <f ca="1">IF(AE14="",99999,'Endrunde 4'!$D14)</f>
        <v>99999</v>
      </c>
      <c r="AD14" s="335" t="str">
        <f ca="1">IF(AE14="","",'Endrunde 4'!$E14)</f>
        <v/>
      </c>
      <c r="AE14" s="336" t="str">
        <f ca="1">IF($C$19="","",IF('Endrunde 4'!$I14=$C$19,'Endrunde 4'!$K14,IF('Endrunde 4'!$K14=$C$19,'Endrunde 4'!$I14,"")))</f>
        <v/>
      </c>
      <c r="AF14" s="653">
        <f t="shared" ca="1" si="10"/>
        <v>100012</v>
      </c>
      <c r="AG14" s="679">
        <f t="shared" ca="1" si="11"/>
        <v>100013</v>
      </c>
      <c r="AH14" s="656">
        <f ca="1">IF(AJ14="",99999,'Endrunde 4'!$D14)</f>
        <v>99999</v>
      </c>
      <c r="AI14" s="335" t="str">
        <f ca="1">IF(AJ14="","",'Endrunde 4'!$E14)</f>
        <v/>
      </c>
      <c r="AJ14" s="336" t="str">
        <f ca="1">IF($C$24="","",IF('Endrunde 4'!$I14=$C$24,'Endrunde 4'!$K14,IF('Endrunde 4'!$K14=$C$24,'Endrunde 4'!$I14,"")))</f>
        <v/>
      </c>
      <c r="AK14" s="653">
        <f t="shared" ca="1" si="12"/>
        <v>25.545138888888889</v>
      </c>
      <c r="AL14" s="679">
        <f t="shared" si="13"/>
        <v>100013</v>
      </c>
      <c r="AM14" s="656">
        <f>IF(AO14="",99999,'Endrunde 4'!$D14)</f>
        <v>99999</v>
      </c>
      <c r="AN14" s="335" t="str">
        <f>IF(AO14="","",'Endrunde 4'!$E14)</f>
        <v/>
      </c>
      <c r="AO14" s="336" t="str">
        <f>IF($C$29="","",IF('Endrunde 4'!$I14=$C$29,'Endrunde 4'!$K14,IF('Endrunde 4'!$K14=$C$29,'Endrunde 4'!$I14,"")))</f>
        <v/>
      </c>
      <c r="AP14" s="653">
        <f t="shared" si="14"/>
        <v>100013</v>
      </c>
      <c r="AQ14" s="679">
        <f t="shared" ca="1" si="15"/>
        <v>100013</v>
      </c>
      <c r="AR14" s="656">
        <f ca="1">IF(AT14="",99999,'Endrunde 4'!$D14)</f>
        <v>99999</v>
      </c>
      <c r="AS14" s="335" t="str">
        <f ca="1">IF(AT14="","",'Endrunde 4'!$E14)</f>
        <v/>
      </c>
      <c r="AT14" s="336" t="str">
        <f ca="1">IF($C$34="","",IF('Endrunde 4'!$I14=$C$34,'Endrunde 4'!$K14,IF('Endrunde 4'!$K14=$C$34,'Endrunde 4'!$I14,"")))</f>
        <v/>
      </c>
      <c r="AU14" s="653">
        <f t="shared" ca="1" si="16"/>
        <v>28.545138888888889</v>
      </c>
      <c r="AV14" s="679">
        <f t="shared" ca="1" si="17"/>
        <v>14.496527777777779</v>
      </c>
      <c r="AW14" s="656">
        <f ca="1">IF(AY14="",99999,'Endrunde 4'!$D14)</f>
        <v>0.49652777777777779</v>
      </c>
      <c r="AX14" s="335">
        <f ca="1">IF(AY14="","",'Endrunde 4'!$E14)</f>
        <v>2</v>
      </c>
      <c r="AY14" s="336" t="str">
        <f ca="1">IF($C$39="","",IF('Endrunde 4'!$I14=$C$39,'Endrunde 4'!$K14,IF('Endrunde 4'!$K14=$C$39,'Endrunde 4'!$I14,"")))</f>
        <v>FC Barcelona</v>
      </c>
      <c r="AZ14" s="653">
        <f t="shared" ca="1" si="18"/>
        <v>26.545138888888889</v>
      </c>
      <c r="BA14" s="679">
        <f t="shared" ca="1" si="19"/>
        <v>100013</v>
      </c>
      <c r="BB14" s="656">
        <f ca="1">IF(BD14="",99999,'Endrunde 4'!$D14)</f>
        <v>99999</v>
      </c>
      <c r="BC14" s="335" t="str">
        <f ca="1">IF(BD14="","",'Endrunde 4'!$E14)</f>
        <v/>
      </c>
      <c r="BD14" s="336" t="str">
        <f ca="1">IF($C$44="","",IF('Endrunde 4'!$I14=$C$44,'Endrunde 4'!$K14,IF('Endrunde 4'!$K14=$C$44,'Endrunde 4'!$I14,"")))</f>
        <v/>
      </c>
      <c r="BE14" s="653">
        <f t="shared" ca="1" si="20"/>
        <v>100012</v>
      </c>
      <c r="BF14" s="679">
        <f t="shared" ca="1" si="21"/>
        <v>100013</v>
      </c>
      <c r="BG14" s="656">
        <f ca="1">IF(BI14="",99999,'Endrunde 4'!$D14)</f>
        <v>99999</v>
      </c>
      <c r="BH14" s="335" t="str">
        <f ca="1">IF(BI14="","",'Endrunde 4'!$E14)</f>
        <v/>
      </c>
      <c r="BI14" s="336" t="str">
        <f ca="1">IF($C$49="","",IF('Endrunde 4'!$I14=$C$49,'Endrunde 4'!$K14,IF('Endrunde 4'!$K14=$C$49,'Endrunde 4'!$I14,"")))</f>
        <v/>
      </c>
      <c r="BJ14" s="653">
        <f t="shared" ca="1" si="22"/>
        <v>29.569444444444443</v>
      </c>
      <c r="BK14" s="679">
        <f t="shared" ca="1" si="23"/>
        <v>100013</v>
      </c>
      <c r="BL14" s="656">
        <f ca="1">IF(BN14="",99999,'Endrunde 4'!$D14)</f>
        <v>99999</v>
      </c>
      <c r="BM14" s="335" t="str">
        <f ca="1">IF(BN14="","",'Endrunde 4'!$E14)</f>
        <v/>
      </c>
      <c r="BN14" s="336" t="str">
        <f ca="1">IF($C$54="","",IF('Endrunde 4'!$I14=$C$54,'Endrunde 4'!$K14,IF('Endrunde 4'!$K14=$C$54,'Endrunde 4'!$I14,"")))</f>
        <v/>
      </c>
      <c r="BO14" s="653">
        <f t="shared" ca="1" si="24"/>
        <v>25.545138888888889</v>
      </c>
      <c r="BP14" s="679">
        <f t="shared" si="25"/>
        <v>100013</v>
      </c>
      <c r="BQ14" s="656">
        <f>IF(BS14="",99999,'Endrunde 4'!$D14)</f>
        <v>99999</v>
      </c>
      <c r="BR14" s="335" t="str">
        <f>IF(BS14="","",'Endrunde 4'!$E14)</f>
        <v/>
      </c>
      <c r="BS14" s="336" t="str">
        <f>IF($C$59="","",IF('Endrunde 4'!$I14=$C$59,'Endrunde 4'!$K14,IF('Endrunde 4'!$K14=$C$59,'Endrunde 4'!$I14,"")))</f>
        <v/>
      </c>
      <c r="BT14" s="653">
        <f t="shared" si="26"/>
        <v>100013</v>
      </c>
    </row>
    <row r="15" spans="2:72" ht="15.95" customHeight="1" x14ac:dyDescent="0.2">
      <c r="E15" s="674">
        <f ca="1">IF($AA$12&lt;99999,INDEX($L$12:$L$29,MATCH($AA$12,$W$12:$W$29,0)),"")</f>
        <v>24</v>
      </c>
      <c r="F15" s="665">
        <f ca="1">IF($AA$12&lt;99999,VLOOKUP($AA$12,$W$12:$Z$29,2,0),"")</f>
        <v>0.49652777777777779</v>
      </c>
      <c r="G15" s="666">
        <f ca="1">IF($AA$12&lt;99999,VLOOKUP($AA$12,$W$12:$Z$29,3,0),"")</f>
        <v>4</v>
      </c>
      <c r="H15" s="667" t="str">
        <f ca="1">IF($AA$12&lt;99999,VLOOKUP($AA$12,$W$12:$Z$29,4,0),"")</f>
        <v>Manchester City</v>
      </c>
      <c r="J15" s="649">
        <f ca="1">IF(AND(F15&lt;&gt;"",OR(F15=F14,F15=F16)),E15,0)</f>
        <v>0</v>
      </c>
      <c r="K15" s="649" t="str">
        <f ca="1">IF(J15=0,"",$C$14)</f>
        <v/>
      </c>
      <c r="L15" s="168">
        <f ca="1">'Endrunde 4'!$C15</f>
        <v>23</v>
      </c>
      <c r="M15" s="679">
        <f t="shared" ca="1" si="3"/>
        <v>100014</v>
      </c>
      <c r="N15" s="656">
        <f ca="1">IF(P15="",99999,'Endrunde 4'!$D15)</f>
        <v>99999</v>
      </c>
      <c r="O15" s="335" t="str">
        <f ca="1">IF(P15="","",'Endrunde 4'!$E15)</f>
        <v/>
      </c>
      <c r="P15" s="336" t="str">
        <f ca="1">IF($C$4="","",IF('Endrunde 4'!$I15=$C$4,'Endrunde 4'!$K15,IF('Endrunde 4'!$K15=$C$4,'Endrunde 4'!$I15,"")))</f>
        <v/>
      </c>
      <c r="Q15" s="653">
        <f t="shared" ca="1" si="4"/>
        <v>100011</v>
      </c>
      <c r="R15" s="679">
        <f t="shared" ca="1" si="5"/>
        <v>100014</v>
      </c>
      <c r="S15" s="656">
        <f ca="1">IF(U15="",99999,'Endrunde 4'!$D15)</f>
        <v>99999</v>
      </c>
      <c r="T15" s="335" t="str">
        <f ca="1">IF(U15="","",'Endrunde 4'!$E15)</f>
        <v/>
      </c>
      <c r="U15" s="336" t="str">
        <f ca="1">IF($C$9="","",IF('Endrunde 4'!$I15=$C$9,'Endrunde 4'!$K15,IF('Endrunde 4'!$K15=$C$9,'Endrunde 4'!$I15,"")))</f>
        <v/>
      </c>
      <c r="V15" s="653">
        <f t="shared" ca="1" si="6"/>
        <v>100011</v>
      </c>
      <c r="W15" s="679">
        <f t="shared" ca="1" si="7"/>
        <v>100014</v>
      </c>
      <c r="X15" s="656">
        <f ca="1">IF(Z15="",99999,'Endrunde 4'!$D15)</f>
        <v>99999</v>
      </c>
      <c r="Y15" s="335" t="str">
        <f ca="1">IF(Z15="","",'Endrunde 4'!$E15)</f>
        <v/>
      </c>
      <c r="Z15" s="336" t="str">
        <f ca="1">IF($C$14="","",IF('Endrunde 4'!$I15=$C$14,'Endrunde 4'!$K15,IF('Endrunde 4'!$K15=$C$14,'Endrunde 4'!$I15,"")))</f>
        <v/>
      </c>
      <c r="AA15" s="653">
        <f t="shared" ca="1" si="8"/>
        <v>100011</v>
      </c>
      <c r="AB15" s="679">
        <f t="shared" ca="1" si="9"/>
        <v>100014</v>
      </c>
      <c r="AC15" s="656">
        <f ca="1">IF(AE15="",99999,'Endrunde 4'!$D15)</f>
        <v>99999</v>
      </c>
      <c r="AD15" s="335" t="str">
        <f ca="1">IF(AE15="","",'Endrunde 4'!$E15)</f>
        <v/>
      </c>
      <c r="AE15" s="336" t="str">
        <f ca="1">IF($C$19="","",IF('Endrunde 4'!$I15=$C$19,'Endrunde 4'!$K15,IF('Endrunde 4'!$K15=$C$19,'Endrunde 4'!$I15,"")))</f>
        <v/>
      </c>
      <c r="AF15" s="653">
        <f t="shared" ca="1" si="10"/>
        <v>100013</v>
      </c>
      <c r="AG15" s="679">
        <f t="shared" ca="1" si="11"/>
        <v>100014</v>
      </c>
      <c r="AH15" s="656">
        <f ca="1">IF(AJ15="",99999,'Endrunde 4'!$D15)</f>
        <v>99999</v>
      </c>
      <c r="AI15" s="335" t="str">
        <f ca="1">IF(AJ15="","",'Endrunde 4'!$E15)</f>
        <v/>
      </c>
      <c r="AJ15" s="336" t="str">
        <f ca="1">IF($C$24="","",IF('Endrunde 4'!$I15=$C$24,'Endrunde 4'!$K15,IF('Endrunde 4'!$K15=$C$24,'Endrunde 4'!$I15,"")))</f>
        <v/>
      </c>
      <c r="AK15" s="653">
        <f t="shared" ca="1" si="12"/>
        <v>100011</v>
      </c>
      <c r="AL15" s="679">
        <f t="shared" si="13"/>
        <v>100014</v>
      </c>
      <c r="AM15" s="656">
        <f>IF(AO15="",99999,'Endrunde 4'!$D15)</f>
        <v>99999</v>
      </c>
      <c r="AN15" s="335" t="str">
        <f>IF(AO15="","",'Endrunde 4'!$E15)</f>
        <v/>
      </c>
      <c r="AO15" s="336" t="str">
        <f>IF($C$29="","",IF('Endrunde 4'!$I15=$C$29,'Endrunde 4'!$K15,IF('Endrunde 4'!$K15=$C$29,'Endrunde 4'!$I15,"")))</f>
        <v/>
      </c>
      <c r="AP15" s="653">
        <f t="shared" si="14"/>
        <v>100014</v>
      </c>
      <c r="AQ15" s="679">
        <f t="shared" ca="1" si="15"/>
        <v>100014</v>
      </c>
      <c r="AR15" s="656">
        <f ca="1">IF(AT15="",99999,'Endrunde 4'!$D15)</f>
        <v>99999</v>
      </c>
      <c r="AS15" s="335" t="str">
        <f ca="1">IF(AT15="","",'Endrunde 4'!$E15)</f>
        <v/>
      </c>
      <c r="AT15" s="336" t="str">
        <f ca="1">IF($C$34="","",IF('Endrunde 4'!$I15=$C$34,'Endrunde 4'!$K15,IF('Endrunde 4'!$K15=$C$34,'Endrunde 4'!$I15,"")))</f>
        <v/>
      </c>
      <c r="AU15" s="653">
        <f t="shared" ca="1" si="16"/>
        <v>100011</v>
      </c>
      <c r="AV15" s="679">
        <f t="shared" ca="1" si="17"/>
        <v>100014</v>
      </c>
      <c r="AW15" s="656">
        <f ca="1">IF(AY15="",99999,'Endrunde 4'!$D15)</f>
        <v>99999</v>
      </c>
      <c r="AX15" s="335" t="str">
        <f ca="1">IF(AY15="","",'Endrunde 4'!$E15)</f>
        <v/>
      </c>
      <c r="AY15" s="336" t="str">
        <f ca="1">IF($C$39="","",IF('Endrunde 4'!$I15=$C$39,'Endrunde 4'!$K15,IF('Endrunde 4'!$K15=$C$39,'Endrunde 4'!$I15,"")))</f>
        <v/>
      </c>
      <c r="AZ15" s="653">
        <f t="shared" ca="1" si="18"/>
        <v>100011</v>
      </c>
      <c r="BA15" s="679">
        <f t="shared" ca="1" si="19"/>
        <v>100014</v>
      </c>
      <c r="BB15" s="656">
        <f ca="1">IF(BD15="",99999,'Endrunde 4'!$D15)</f>
        <v>99999</v>
      </c>
      <c r="BC15" s="335" t="str">
        <f ca="1">IF(BD15="","",'Endrunde 4'!$E15)</f>
        <v/>
      </c>
      <c r="BD15" s="336" t="str">
        <f ca="1">IF($C$44="","",IF('Endrunde 4'!$I15=$C$44,'Endrunde 4'!$K15,IF('Endrunde 4'!$K15=$C$44,'Endrunde 4'!$I15,"")))</f>
        <v/>
      </c>
      <c r="BE15" s="653">
        <f t="shared" ca="1" si="20"/>
        <v>100013</v>
      </c>
      <c r="BF15" s="679">
        <f t="shared" ca="1" si="21"/>
        <v>100014</v>
      </c>
      <c r="BG15" s="656">
        <f ca="1">IF(BI15="",99999,'Endrunde 4'!$D15)</f>
        <v>99999</v>
      </c>
      <c r="BH15" s="335" t="str">
        <f ca="1">IF(BI15="","",'Endrunde 4'!$E15)</f>
        <v/>
      </c>
      <c r="BI15" s="336" t="str">
        <f ca="1">IF($C$49="","",IF('Endrunde 4'!$I15=$C$49,'Endrunde 4'!$K15,IF('Endrunde 4'!$K15=$C$49,'Endrunde 4'!$I15,"")))</f>
        <v/>
      </c>
      <c r="BJ15" s="653">
        <f t="shared" ca="1" si="22"/>
        <v>100011</v>
      </c>
      <c r="BK15" s="679">
        <f t="shared" ca="1" si="23"/>
        <v>100014</v>
      </c>
      <c r="BL15" s="656">
        <f ca="1">IF(BN15="",99999,'Endrunde 4'!$D15)</f>
        <v>99999</v>
      </c>
      <c r="BM15" s="335" t="str">
        <f ca="1">IF(BN15="","",'Endrunde 4'!$E15)</f>
        <v/>
      </c>
      <c r="BN15" s="336" t="str">
        <f ca="1">IF($C$54="","",IF('Endrunde 4'!$I15=$C$54,'Endrunde 4'!$K15,IF('Endrunde 4'!$K15=$C$54,'Endrunde 4'!$I15,"")))</f>
        <v/>
      </c>
      <c r="BO15" s="653">
        <f t="shared" ca="1" si="24"/>
        <v>100011</v>
      </c>
      <c r="BP15" s="679">
        <f t="shared" si="25"/>
        <v>100014</v>
      </c>
      <c r="BQ15" s="656">
        <f>IF(BS15="",99999,'Endrunde 4'!$D15)</f>
        <v>99999</v>
      </c>
      <c r="BR15" s="335" t="str">
        <f>IF(BS15="","",'Endrunde 4'!$E15)</f>
        <v/>
      </c>
      <c r="BS15" s="336" t="str">
        <f>IF($C$59="","",IF('Endrunde 4'!$I15=$C$59,'Endrunde 4'!$K15,IF('Endrunde 4'!$K15=$C$59,'Endrunde 4'!$I15,"")))</f>
        <v/>
      </c>
      <c r="BT15" s="653">
        <f t="shared" si="26"/>
        <v>100014</v>
      </c>
    </row>
    <row r="16" spans="2:72" ht="15.95" customHeight="1" x14ac:dyDescent="0.2">
      <c r="E16" s="674">
        <f ca="1">IF($AA$13&lt;99999,INDEX($L$12:$L$29,MATCH($AA$13,$W$12:$W$29,0)),"")</f>
        <v>26</v>
      </c>
      <c r="F16" s="668">
        <f ca="1">IF($AA$13&lt;99999,VLOOKUP($AA$13,$W$12:$Z$29,2,0),"")</f>
        <v>0.52083333333333337</v>
      </c>
      <c r="G16" s="669">
        <f ca="1">IF($AA$13&lt;99999,VLOOKUP($AA$13,$W$12:$Z$29,3,0),"")</f>
        <v>2</v>
      </c>
      <c r="H16" s="670" t="str">
        <f ca="1">IF($AA$13&lt;99999,VLOOKUP($AA$13,$W$12:$Z$29,4,0),"")</f>
        <v>FC Barcelona</v>
      </c>
      <c r="J16" s="649">
        <f t="shared" ref="J16:J62" ca="1" si="27">IF(AND(F16&lt;&gt;"",OR(F16=F15,F16=F17)),E16,0)</f>
        <v>0</v>
      </c>
      <c r="K16" s="649" t="str">
        <f t="shared" ref="K16:K17" ca="1" si="28">IF(J16=0,"",$C$14)</f>
        <v/>
      </c>
      <c r="L16" s="168">
        <f ca="1">'Endrunde 4'!$C16</f>
        <v>23</v>
      </c>
      <c r="M16" s="679">
        <f t="shared" ca="1" si="3"/>
        <v>100015</v>
      </c>
      <c r="N16" s="656">
        <f ca="1">IF(P16="",99999,'Endrunde 4'!$D16)</f>
        <v>99999</v>
      </c>
      <c r="O16" s="335" t="str">
        <f ca="1">IF(P16="","",'Endrunde 4'!$E16)</f>
        <v/>
      </c>
      <c r="P16" s="336" t="str">
        <f ca="1">IF($C$4="","",IF('Endrunde 4'!$I16=$C$4,'Endrunde 4'!$K16,IF('Endrunde 4'!$K16=$C$4,'Endrunde 4'!$I16,"")))</f>
        <v/>
      </c>
      <c r="Q16" s="653">
        <f t="shared" ca="1" si="4"/>
        <v>100013</v>
      </c>
      <c r="R16" s="679">
        <f t="shared" ca="1" si="5"/>
        <v>100015</v>
      </c>
      <c r="S16" s="656">
        <f ca="1">IF(U16="",99999,'Endrunde 4'!$D16)</f>
        <v>99999</v>
      </c>
      <c r="T16" s="335" t="str">
        <f ca="1">IF(U16="","",'Endrunde 4'!$E16)</f>
        <v/>
      </c>
      <c r="U16" s="336" t="str">
        <f ca="1">IF($C$9="","",IF('Endrunde 4'!$I16=$C$9,'Endrunde 4'!$K16,IF('Endrunde 4'!$K16=$C$9,'Endrunde 4'!$I16,"")))</f>
        <v/>
      </c>
      <c r="V16" s="653">
        <f t="shared" ca="1" si="6"/>
        <v>100012</v>
      </c>
      <c r="W16" s="679">
        <f t="shared" ca="1" si="7"/>
        <v>100015</v>
      </c>
      <c r="X16" s="656">
        <f ca="1">IF(Z16="",99999,'Endrunde 4'!$D16)</f>
        <v>99999</v>
      </c>
      <c r="Y16" s="335" t="str">
        <f ca="1">IF(Z16="","",'Endrunde 4'!$E16)</f>
        <v/>
      </c>
      <c r="Z16" s="336" t="str">
        <f ca="1">IF($C$14="","",IF('Endrunde 4'!$I16=$C$14,'Endrunde 4'!$K16,IF('Endrunde 4'!$K16=$C$14,'Endrunde 4'!$I16,"")))</f>
        <v/>
      </c>
      <c r="AA16" s="653">
        <f t="shared" ca="1" si="8"/>
        <v>100012</v>
      </c>
      <c r="AB16" s="679">
        <f t="shared" ca="1" si="9"/>
        <v>100015</v>
      </c>
      <c r="AC16" s="656">
        <f ca="1">IF(AE16="",99999,'Endrunde 4'!$D16)</f>
        <v>99999</v>
      </c>
      <c r="AD16" s="335" t="str">
        <f ca="1">IF(AE16="","",'Endrunde 4'!$E16)</f>
        <v/>
      </c>
      <c r="AE16" s="336" t="str">
        <f ca="1">IF($C$19="","",IF('Endrunde 4'!$I16=$C$19,'Endrunde 4'!$K16,IF('Endrunde 4'!$K16=$C$19,'Endrunde 4'!$I16,"")))</f>
        <v/>
      </c>
      <c r="AF16" s="653">
        <f t="shared" ca="1" si="10"/>
        <v>100014</v>
      </c>
      <c r="AG16" s="679">
        <f t="shared" ca="1" si="11"/>
        <v>16.496527777777779</v>
      </c>
      <c r="AH16" s="656">
        <f ca="1">IF(AJ16="",99999,'Endrunde 4'!$D16)</f>
        <v>0.49652777777777779</v>
      </c>
      <c r="AI16" s="335">
        <f ca="1">IF(AJ16="","",'Endrunde 4'!$E16)</f>
        <v>3</v>
      </c>
      <c r="AJ16" s="336" t="str">
        <f ca="1">IF($C$24="","",IF('Endrunde 4'!$I16=$C$24,'Endrunde 4'!$K16,IF('Endrunde 4'!$K16=$C$24,'Endrunde 4'!$I16,"")))</f>
        <v>Mainz 05</v>
      </c>
      <c r="AK16" s="653">
        <f t="shared" ca="1" si="12"/>
        <v>100012</v>
      </c>
      <c r="AL16" s="679">
        <f t="shared" si="13"/>
        <v>100015</v>
      </c>
      <c r="AM16" s="656">
        <f>IF(AO16="",99999,'Endrunde 4'!$D16)</f>
        <v>99999</v>
      </c>
      <c r="AN16" s="335" t="str">
        <f>IF(AO16="","",'Endrunde 4'!$E16)</f>
        <v/>
      </c>
      <c r="AO16" s="336" t="str">
        <f>IF($C$29="","",IF('Endrunde 4'!$I16=$C$29,'Endrunde 4'!$K16,IF('Endrunde 4'!$K16=$C$29,'Endrunde 4'!$I16,"")))</f>
        <v/>
      </c>
      <c r="AP16" s="653">
        <f t="shared" si="14"/>
        <v>100015</v>
      </c>
      <c r="AQ16" s="679">
        <f t="shared" ca="1" si="15"/>
        <v>16.496527777777779</v>
      </c>
      <c r="AR16" s="656">
        <f ca="1">IF(AT16="",99999,'Endrunde 4'!$D16)</f>
        <v>0.49652777777777779</v>
      </c>
      <c r="AS16" s="335">
        <f ca="1">IF(AT16="","",'Endrunde 4'!$E16)</f>
        <v>3</v>
      </c>
      <c r="AT16" s="336" t="str">
        <f ca="1">IF($C$34="","",IF('Endrunde 4'!$I16=$C$34,'Endrunde 4'!$K16,IF('Endrunde 4'!$K16=$C$34,'Endrunde 4'!$I16,"")))</f>
        <v>VFB Essenheim</v>
      </c>
      <c r="AU16" s="653">
        <f t="shared" ca="1" si="16"/>
        <v>100012</v>
      </c>
      <c r="AV16" s="679">
        <f t="shared" ca="1" si="17"/>
        <v>100015</v>
      </c>
      <c r="AW16" s="656">
        <f ca="1">IF(AY16="",99999,'Endrunde 4'!$D16)</f>
        <v>99999</v>
      </c>
      <c r="AX16" s="335" t="str">
        <f ca="1">IF(AY16="","",'Endrunde 4'!$E16)</f>
        <v/>
      </c>
      <c r="AY16" s="336" t="str">
        <f ca="1">IF($C$39="","",IF('Endrunde 4'!$I16=$C$39,'Endrunde 4'!$K16,IF('Endrunde 4'!$K16=$C$39,'Endrunde 4'!$I16,"")))</f>
        <v/>
      </c>
      <c r="AZ16" s="653">
        <f t="shared" ca="1" si="18"/>
        <v>100012</v>
      </c>
      <c r="BA16" s="679">
        <f t="shared" ca="1" si="19"/>
        <v>100015</v>
      </c>
      <c r="BB16" s="656">
        <f ca="1">IF(BD16="",99999,'Endrunde 4'!$D16)</f>
        <v>99999</v>
      </c>
      <c r="BC16" s="335" t="str">
        <f ca="1">IF(BD16="","",'Endrunde 4'!$E16)</f>
        <v/>
      </c>
      <c r="BD16" s="336" t="str">
        <f ca="1">IF($C$44="","",IF('Endrunde 4'!$I16=$C$44,'Endrunde 4'!$K16,IF('Endrunde 4'!$K16=$C$44,'Endrunde 4'!$I16,"")))</f>
        <v/>
      </c>
      <c r="BE16" s="653">
        <f t="shared" ca="1" si="20"/>
        <v>100014</v>
      </c>
      <c r="BF16" s="679">
        <f t="shared" ca="1" si="21"/>
        <v>100015</v>
      </c>
      <c r="BG16" s="656">
        <f ca="1">IF(BI16="",99999,'Endrunde 4'!$D16)</f>
        <v>99999</v>
      </c>
      <c r="BH16" s="335" t="str">
        <f ca="1">IF(BI16="","",'Endrunde 4'!$E16)</f>
        <v/>
      </c>
      <c r="BI16" s="336" t="str">
        <f ca="1">IF($C$49="","",IF('Endrunde 4'!$I16=$C$49,'Endrunde 4'!$K16,IF('Endrunde 4'!$K16=$C$49,'Endrunde 4'!$I16,"")))</f>
        <v/>
      </c>
      <c r="BJ16" s="653">
        <f t="shared" ca="1" si="22"/>
        <v>100012</v>
      </c>
      <c r="BK16" s="679">
        <f t="shared" ca="1" si="23"/>
        <v>100015</v>
      </c>
      <c r="BL16" s="656">
        <f ca="1">IF(BN16="",99999,'Endrunde 4'!$D16)</f>
        <v>99999</v>
      </c>
      <c r="BM16" s="335" t="str">
        <f ca="1">IF(BN16="","",'Endrunde 4'!$E16)</f>
        <v/>
      </c>
      <c r="BN16" s="336" t="str">
        <f ca="1">IF($C$54="","",IF('Endrunde 4'!$I16=$C$54,'Endrunde 4'!$K16,IF('Endrunde 4'!$K16=$C$54,'Endrunde 4'!$I16,"")))</f>
        <v/>
      </c>
      <c r="BO16" s="653">
        <f t="shared" ca="1" si="24"/>
        <v>100013</v>
      </c>
      <c r="BP16" s="679">
        <f t="shared" si="25"/>
        <v>100015</v>
      </c>
      <c r="BQ16" s="656">
        <f>IF(BS16="",99999,'Endrunde 4'!$D16)</f>
        <v>99999</v>
      </c>
      <c r="BR16" s="335" t="str">
        <f>IF(BS16="","",'Endrunde 4'!$E16)</f>
        <v/>
      </c>
      <c r="BS16" s="336" t="str">
        <f>IF($C$59="","",IF('Endrunde 4'!$I16=$C$59,'Endrunde 4'!$K16,IF('Endrunde 4'!$K16=$C$59,'Endrunde 4'!$I16,"")))</f>
        <v/>
      </c>
      <c r="BT16" s="653">
        <f t="shared" si="26"/>
        <v>100015</v>
      </c>
    </row>
    <row r="17" spans="2:72" ht="15.95" customHeight="1" thickBot="1" x14ac:dyDescent="0.25">
      <c r="E17" s="675">
        <f ca="1">IF($AA$14&lt;99999,INDEX($L$12:$L$29,MATCH($AA$14,$W$12:$W$29,0)),"")</f>
        <v>30</v>
      </c>
      <c r="F17" s="671">
        <f ca="1">IF($AA$14&lt;99999,VLOOKUP($AA$14,$W$12:$Z$29,2,0),"")</f>
        <v>0.54513888888888895</v>
      </c>
      <c r="G17" s="672">
        <f ca="1">IF($AA$14&lt;99999,VLOOKUP($AA$14,$W$12:$Z$29,3,0),"")</f>
        <v>2</v>
      </c>
      <c r="H17" s="673" t="str">
        <f ca="1">IF($AA$14&lt;99999,VLOOKUP($AA$14,$W$12:$Z$29,4,0),"")</f>
        <v>Inter Mailand</v>
      </c>
      <c r="J17" s="649">
        <f t="shared" ca="1" si="27"/>
        <v>0</v>
      </c>
      <c r="K17" s="649" t="str">
        <f t="shared" ca="1" si="28"/>
        <v/>
      </c>
      <c r="L17" s="168">
        <f ca="1">'Endrunde 4'!$C17</f>
        <v>24</v>
      </c>
      <c r="M17" s="679">
        <f t="shared" ca="1" si="3"/>
        <v>100016</v>
      </c>
      <c r="N17" s="656">
        <f ca="1">IF(P17="",99999,'Endrunde 4'!$D17)</f>
        <v>99999</v>
      </c>
      <c r="O17" s="335" t="str">
        <f ca="1">IF(P17="","",'Endrunde 4'!$E17)</f>
        <v/>
      </c>
      <c r="P17" s="336" t="str">
        <f ca="1">IF($C$4="","",IF('Endrunde 4'!$I17=$C$4,'Endrunde 4'!$K17,IF('Endrunde 4'!$K17=$C$4,'Endrunde 4'!$I17,"")))</f>
        <v/>
      </c>
      <c r="Q17" s="653">
        <f t="shared" ca="1" si="4"/>
        <v>100014</v>
      </c>
      <c r="R17" s="679">
        <f t="shared" ca="1" si="5"/>
        <v>100016</v>
      </c>
      <c r="S17" s="656">
        <f ca="1">IF(U17="",99999,'Endrunde 4'!$D17)</f>
        <v>99999</v>
      </c>
      <c r="T17" s="335" t="str">
        <f ca="1">IF(U17="","",'Endrunde 4'!$E17)</f>
        <v/>
      </c>
      <c r="U17" s="336" t="str">
        <f ca="1">IF($C$9="","",IF('Endrunde 4'!$I17=$C$9,'Endrunde 4'!$K17,IF('Endrunde 4'!$K17=$C$9,'Endrunde 4'!$I17,"")))</f>
        <v/>
      </c>
      <c r="V17" s="653">
        <f t="shared" ca="1" si="6"/>
        <v>100014</v>
      </c>
      <c r="W17" s="679">
        <f t="shared" ca="1" si="7"/>
        <v>17.496527777777779</v>
      </c>
      <c r="X17" s="656">
        <f ca="1">IF(Z17="",99999,'Endrunde 4'!$D17)</f>
        <v>0.49652777777777779</v>
      </c>
      <c r="Y17" s="335">
        <f ca="1">IF(Z17="","",'Endrunde 4'!$E17)</f>
        <v>4</v>
      </c>
      <c r="Z17" s="336" t="str">
        <f ca="1">IF($C$14="","",IF('Endrunde 4'!$I17=$C$14,'Endrunde 4'!$K17,IF('Endrunde 4'!$K17=$C$14,'Endrunde 4'!$I17,"")))</f>
        <v>Manchester City</v>
      </c>
      <c r="AA17" s="653">
        <f t="shared" ca="1" si="8"/>
        <v>100013</v>
      </c>
      <c r="AB17" s="679">
        <f t="shared" ca="1" si="9"/>
        <v>100016</v>
      </c>
      <c r="AC17" s="656">
        <f ca="1">IF(AE17="",99999,'Endrunde 4'!$D17)</f>
        <v>99999</v>
      </c>
      <c r="AD17" s="335" t="str">
        <f ca="1">IF(AE17="","",'Endrunde 4'!$E17)</f>
        <v/>
      </c>
      <c r="AE17" s="336" t="str">
        <f ca="1">IF($C$19="","",IF('Endrunde 4'!$I17=$C$19,'Endrunde 4'!$K17,IF('Endrunde 4'!$K17=$C$19,'Endrunde 4'!$I17,"")))</f>
        <v/>
      </c>
      <c r="AF17" s="653">
        <f t="shared" ca="1" si="10"/>
        <v>100015</v>
      </c>
      <c r="AG17" s="679">
        <f t="shared" ca="1" si="11"/>
        <v>100016</v>
      </c>
      <c r="AH17" s="656">
        <f ca="1">IF(AJ17="",99999,'Endrunde 4'!$D17)</f>
        <v>99999</v>
      </c>
      <c r="AI17" s="335" t="str">
        <f ca="1">IF(AJ17="","",'Endrunde 4'!$E17)</f>
        <v/>
      </c>
      <c r="AJ17" s="336" t="str">
        <f ca="1">IF($C$24="","",IF('Endrunde 4'!$I17=$C$24,'Endrunde 4'!$K17,IF('Endrunde 4'!$K17=$C$24,'Endrunde 4'!$I17,"")))</f>
        <v/>
      </c>
      <c r="AK17" s="653">
        <f t="shared" ca="1" si="12"/>
        <v>100013</v>
      </c>
      <c r="AL17" s="679">
        <f t="shared" si="13"/>
        <v>100016</v>
      </c>
      <c r="AM17" s="656">
        <f>IF(AO17="",99999,'Endrunde 4'!$D17)</f>
        <v>99999</v>
      </c>
      <c r="AN17" s="335" t="str">
        <f>IF(AO17="","",'Endrunde 4'!$E17)</f>
        <v/>
      </c>
      <c r="AO17" s="336" t="str">
        <f>IF($C$29="","",IF('Endrunde 4'!$I17=$C$29,'Endrunde 4'!$K17,IF('Endrunde 4'!$K17=$C$29,'Endrunde 4'!$I17,"")))</f>
        <v/>
      </c>
      <c r="AP17" s="653">
        <f t="shared" si="14"/>
        <v>100016</v>
      </c>
      <c r="AQ17" s="679">
        <f t="shared" ca="1" si="15"/>
        <v>100016</v>
      </c>
      <c r="AR17" s="656">
        <f ca="1">IF(AT17="",99999,'Endrunde 4'!$D17)</f>
        <v>99999</v>
      </c>
      <c r="AS17" s="335" t="str">
        <f ca="1">IF(AT17="","",'Endrunde 4'!$E17)</f>
        <v/>
      </c>
      <c r="AT17" s="336" t="str">
        <f ca="1">IF($C$34="","",IF('Endrunde 4'!$I17=$C$34,'Endrunde 4'!$K17,IF('Endrunde 4'!$K17=$C$34,'Endrunde 4'!$I17,"")))</f>
        <v/>
      </c>
      <c r="AU17" s="653">
        <f t="shared" ca="1" si="16"/>
        <v>100013</v>
      </c>
      <c r="AV17" s="679">
        <f t="shared" ca="1" si="17"/>
        <v>100016</v>
      </c>
      <c r="AW17" s="656">
        <f ca="1">IF(AY17="",99999,'Endrunde 4'!$D17)</f>
        <v>99999</v>
      </c>
      <c r="AX17" s="335" t="str">
        <f ca="1">IF(AY17="","",'Endrunde 4'!$E17)</f>
        <v/>
      </c>
      <c r="AY17" s="336" t="str">
        <f ca="1">IF($C$39="","",IF('Endrunde 4'!$I17=$C$39,'Endrunde 4'!$K17,IF('Endrunde 4'!$K17=$C$39,'Endrunde 4'!$I17,"")))</f>
        <v/>
      </c>
      <c r="AZ17" s="653">
        <f t="shared" ca="1" si="18"/>
        <v>100014</v>
      </c>
      <c r="BA17" s="679">
        <f t="shared" ca="1" si="19"/>
        <v>100016</v>
      </c>
      <c r="BB17" s="656">
        <f ca="1">IF(BD17="",99999,'Endrunde 4'!$D17)</f>
        <v>99999</v>
      </c>
      <c r="BC17" s="335" t="str">
        <f ca="1">IF(BD17="","",'Endrunde 4'!$E17)</f>
        <v/>
      </c>
      <c r="BD17" s="336" t="str">
        <f ca="1">IF($C$44="","",IF('Endrunde 4'!$I17=$C$44,'Endrunde 4'!$K17,IF('Endrunde 4'!$K17=$C$44,'Endrunde 4'!$I17,"")))</f>
        <v/>
      </c>
      <c r="BE17" s="653">
        <f t="shared" ca="1" si="20"/>
        <v>100015</v>
      </c>
      <c r="BF17" s="679">
        <f t="shared" ca="1" si="21"/>
        <v>17.496527777777779</v>
      </c>
      <c r="BG17" s="656">
        <f ca="1">IF(BI17="",99999,'Endrunde 4'!$D17)</f>
        <v>0.49652777777777779</v>
      </c>
      <c r="BH17" s="335">
        <f ca="1">IF(BI17="","",'Endrunde 4'!$E17)</f>
        <v>4</v>
      </c>
      <c r="BI17" s="336" t="str">
        <f ca="1">IF($C$49="","",IF('Endrunde 4'!$I17=$C$49,'Endrunde 4'!$K17,IF('Endrunde 4'!$K17=$C$49,'Endrunde 4'!$I17,"")))</f>
        <v>Eintracht Frankfurt</v>
      </c>
      <c r="BJ17" s="653">
        <f t="shared" ca="1" si="22"/>
        <v>100013</v>
      </c>
      <c r="BK17" s="679">
        <f t="shared" ca="1" si="23"/>
        <v>100016</v>
      </c>
      <c r="BL17" s="656">
        <f ca="1">IF(BN17="",99999,'Endrunde 4'!$D17)</f>
        <v>99999</v>
      </c>
      <c r="BM17" s="335" t="str">
        <f ca="1">IF(BN17="","",'Endrunde 4'!$E17)</f>
        <v/>
      </c>
      <c r="BN17" s="336" t="str">
        <f ca="1">IF($C$54="","",IF('Endrunde 4'!$I17=$C$54,'Endrunde 4'!$K17,IF('Endrunde 4'!$K17=$C$54,'Endrunde 4'!$I17,"")))</f>
        <v/>
      </c>
      <c r="BO17" s="653">
        <f t="shared" ca="1" si="24"/>
        <v>100014</v>
      </c>
      <c r="BP17" s="679">
        <f t="shared" si="25"/>
        <v>100016</v>
      </c>
      <c r="BQ17" s="656">
        <f>IF(BS17="",99999,'Endrunde 4'!$D17)</f>
        <v>99999</v>
      </c>
      <c r="BR17" s="335" t="str">
        <f>IF(BS17="","",'Endrunde 4'!$E17)</f>
        <v/>
      </c>
      <c r="BS17" s="336" t="str">
        <f>IF($C$59="","",IF('Endrunde 4'!$I17=$C$59,'Endrunde 4'!$K17,IF('Endrunde 4'!$K17=$C$59,'Endrunde 4'!$I17,"")))</f>
        <v/>
      </c>
      <c r="BT17" s="653">
        <f t="shared" si="26"/>
        <v>100016</v>
      </c>
    </row>
    <row r="18" spans="2:72" ht="30" customHeight="1" thickBot="1" x14ac:dyDescent="0.25">
      <c r="J18" s="649">
        <f t="shared" ca="1" si="27"/>
        <v>0</v>
      </c>
      <c r="L18" s="168">
        <f ca="1">'Endrunde 4'!$C18</f>
        <v>25</v>
      </c>
      <c r="M18" s="679">
        <f t="shared" ca="1" si="3"/>
        <v>100017</v>
      </c>
      <c r="N18" s="656">
        <f ca="1">IF(P18="",99999,'Endrunde 4'!$D18)</f>
        <v>99999</v>
      </c>
      <c r="O18" s="335" t="str">
        <f ca="1">IF(P18="","",'Endrunde 4'!$E18)</f>
        <v/>
      </c>
      <c r="P18" s="336" t="str">
        <f ca="1">IF($C$4="","",IF('Endrunde 4'!$I18=$C$4,'Endrunde 4'!$K18,IF('Endrunde 4'!$K18=$C$4,'Endrunde 4'!$I18,"")))</f>
        <v/>
      </c>
      <c r="Q18" s="653">
        <f t="shared" ca="1" si="4"/>
        <v>100015</v>
      </c>
      <c r="R18" s="679">
        <f t="shared" ca="1" si="5"/>
        <v>100017</v>
      </c>
      <c r="S18" s="656">
        <f ca="1">IF(U18="",99999,'Endrunde 4'!$D18)</f>
        <v>99999</v>
      </c>
      <c r="T18" s="335" t="str">
        <f ca="1">IF(U18="","",'Endrunde 4'!$E18)</f>
        <v/>
      </c>
      <c r="U18" s="336" t="str">
        <f ca="1">IF($C$9="","",IF('Endrunde 4'!$I18=$C$9,'Endrunde 4'!$K18,IF('Endrunde 4'!$K18=$C$9,'Endrunde 4'!$I18,"")))</f>
        <v/>
      </c>
      <c r="V18" s="653">
        <f t="shared" ca="1" si="6"/>
        <v>100015</v>
      </c>
      <c r="W18" s="679">
        <f t="shared" ca="1" si="7"/>
        <v>100017</v>
      </c>
      <c r="X18" s="656">
        <f ca="1">IF(Z18="",99999,'Endrunde 4'!$D18)</f>
        <v>99999</v>
      </c>
      <c r="Y18" s="335" t="str">
        <f ca="1">IF(Z18="","",'Endrunde 4'!$E18)</f>
        <v/>
      </c>
      <c r="Z18" s="336" t="str">
        <f ca="1">IF($C$14="","",IF('Endrunde 4'!$I18=$C$14,'Endrunde 4'!$K18,IF('Endrunde 4'!$K18=$C$14,'Endrunde 4'!$I18,"")))</f>
        <v/>
      </c>
      <c r="AA18" s="653">
        <f t="shared" ca="1" si="8"/>
        <v>100014</v>
      </c>
      <c r="AB18" s="679">
        <f t="shared" ca="1" si="9"/>
        <v>100017</v>
      </c>
      <c r="AC18" s="656">
        <f ca="1">IF(AE18="",99999,'Endrunde 4'!$D18)</f>
        <v>99999</v>
      </c>
      <c r="AD18" s="335" t="str">
        <f ca="1">IF(AE18="","",'Endrunde 4'!$E18)</f>
        <v/>
      </c>
      <c r="AE18" s="336" t="str">
        <f ca="1">IF($C$19="","",IF('Endrunde 4'!$I18=$C$19,'Endrunde 4'!$K18,IF('Endrunde 4'!$K18=$C$19,'Endrunde 4'!$I18,"")))</f>
        <v/>
      </c>
      <c r="AF18" s="653">
        <f t="shared" ca="1" si="10"/>
        <v>100016</v>
      </c>
      <c r="AG18" s="679">
        <f t="shared" ca="1" si="11"/>
        <v>100017</v>
      </c>
      <c r="AH18" s="656">
        <f ca="1">IF(AJ18="",99999,'Endrunde 4'!$D18)</f>
        <v>99999</v>
      </c>
      <c r="AI18" s="335" t="str">
        <f ca="1">IF(AJ18="","",'Endrunde 4'!$E18)</f>
        <v/>
      </c>
      <c r="AJ18" s="336" t="str">
        <f ca="1">IF($C$24="","",IF('Endrunde 4'!$I18=$C$24,'Endrunde 4'!$K18,IF('Endrunde 4'!$K18=$C$24,'Endrunde 4'!$I18,"")))</f>
        <v/>
      </c>
      <c r="AK18" s="653">
        <f t="shared" ca="1" si="12"/>
        <v>100014</v>
      </c>
      <c r="AL18" s="679">
        <f t="shared" si="13"/>
        <v>100017</v>
      </c>
      <c r="AM18" s="656">
        <f>IF(AO18="",99999,'Endrunde 4'!$D18)</f>
        <v>99999</v>
      </c>
      <c r="AN18" s="335" t="str">
        <f>IF(AO18="","",'Endrunde 4'!$E18)</f>
        <v/>
      </c>
      <c r="AO18" s="336" t="str">
        <f>IF($C$29="","",IF('Endrunde 4'!$I18=$C$29,'Endrunde 4'!$K18,IF('Endrunde 4'!$K18=$C$29,'Endrunde 4'!$I18,"")))</f>
        <v/>
      </c>
      <c r="AP18" s="653">
        <f t="shared" si="14"/>
        <v>100017</v>
      </c>
      <c r="AQ18" s="679">
        <f t="shared" ca="1" si="15"/>
        <v>100017</v>
      </c>
      <c r="AR18" s="656">
        <f ca="1">IF(AT18="",99999,'Endrunde 4'!$D18)</f>
        <v>99999</v>
      </c>
      <c r="AS18" s="335" t="str">
        <f ca="1">IF(AT18="","",'Endrunde 4'!$E18)</f>
        <v/>
      </c>
      <c r="AT18" s="336" t="str">
        <f ca="1">IF($C$34="","",IF('Endrunde 4'!$I18=$C$34,'Endrunde 4'!$K18,IF('Endrunde 4'!$K18=$C$34,'Endrunde 4'!$I18,"")))</f>
        <v/>
      </c>
      <c r="AU18" s="653">
        <f t="shared" ca="1" si="16"/>
        <v>100014</v>
      </c>
      <c r="AV18" s="679">
        <f t="shared" ca="1" si="17"/>
        <v>100017</v>
      </c>
      <c r="AW18" s="656">
        <f ca="1">IF(AY18="",99999,'Endrunde 4'!$D18)</f>
        <v>99999</v>
      </c>
      <c r="AX18" s="335" t="str">
        <f ca="1">IF(AY18="","",'Endrunde 4'!$E18)</f>
        <v/>
      </c>
      <c r="AY18" s="336" t="str">
        <f ca="1">IF($C$39="","",IF('Endrunde 4'!$I18=$C$39,'Endrunde 4'!$K18,IF('Endrunde 4'!$K18=$C$39,'Endrunde 4'!$I18,"")))</f>
        <v/>
      </c>
      <c r="AZ18" s="653">
        <f t="shared" ca="1" si="18"/>
        <v>100015</v>
      </c>
      <c r="BA18" s="679">
        <f t="shared" ca="1" si="19"/>
        <v>100017</v>
      </c>
      <c r="BB18" s="656">
        <f ca="1">IF(BD18="",99999,'Endrunde 4'!$D18)</f>
        <v>99999</v>
      </c>
      <c r="BC18" s="335" t="str">
        <f ca="1">IF(BD18="","",'Endrunde 4'!$E18)</f>
        <v/>
      </c>
      <c r="BD18" s="336" t="str">
        <f ca="1">IF($C$44="","",IF('Endrunde 4'!$I18=$C$44,'Endrunde 4'!$K18,IF('Endrunde 4'!$K18=$C$44,'Endrunde 4'!$I18,"")))</f>
        <v/>
      </c>
      <c r="BE18" s="653">
        <f t="shared" ca="1" si="20"/>
        <v>100016</v>
      </c>
      <c r="BF18" s="679">
        <f t="shared" ca="1" si="21"/>
        <v>100017</v>
      </c>
      <c r="BG18" s="656">
        <f ca="1">IF(BI18="",99999,'Endrunde 4'!$D18)</f>
        <v>99999</v>
      </c>
      <c r="BH18" s="335" t="str">
        <f ca="1">IF(BI18="","",'Endrunde 4'!$E18)</f>
        <v/>
      </c>
      <c r="BI18" s="336" t="str">
        <f ca="1">IF($C$49="","",IF('Endrunde 4'!$I18=$C$49,'Endrunde 4'!$K18,IF('Endrunde 4'!$K18=$C$49,'Endrunde 4'!$I18,"")))</f>
        <v/>
      </c>
      <c r="BJ18" s="653">
        <f t="shared" ca="1" si="22"/>
        <v>100014</v>
      </c>
      <c r="BK18" s="679">
        <f t="shared" ca="1" si="23"/>
        <v>100017</v>
      </c>
      <c r="BL18" s="656">
        <f ca="1">IF(BN18="",99999,'Endrunde 4'!$D18)</f>
        <v>99999</v>
      </c>
      <c r="BM18" s="335" t="str">
        <f ca="1">IF(BN18="","",'Endrunde 4'!$E18)</f>
        <v/>
      </c>
      <c r="BN18" s="336" t="str">
        <f ca="1">IF($C$54="","",IF('Endrunde 4'!$I18=$C$54,'Endrunde 4'!$K18,IF('Endrunde 4'!$K18=$C$54,'Endrunde 4'!$I18,"")))</f>
        <v/>
      </c>
      <c r="BO18" s="653">
        <f t="shared" ca="1" si="24"/>
        <v>100015</v>
      </c>
      <c r="BP18" s="679">
        <f t="shared" si="25"/>
        <v>100017</v>
      </c>
      <c r="BQ18" s="656">
        <f>IF(BS18="",99999,'Endrunde 4'!$D18)</f>
        <v>99999</v>
      </c>
      <c r="BR18" s="335" t="str">
        <f>IF(BS18="","",'Endrunde 4'!$E18)</f>
        <v/>
      </c>
      <c r="BS18" s="336" t="str">
        <f>IF($C$59="","",IF('Endrunde 4'!$I18=$C$59,'Endrunde 4'!$K18,IF('Endrunde 4'!$K18=$C$59,'Endrunde 4'!$I18,"")))</f>
        <v/>
      </c>
      <c r="BT18" s="653">
        <f t="shared" si="26"/>
        <v>100017</v>
      </c>
    </row>
    <row r="19" spans="2:72" ht="15.95" customHeight="1" x14ac:dyDescent="0.2">
      <c r="B19" s="676" t="s">
        <v>212</v>
      </c>
      <c r="C19" s="677" t="str">
        <f>IF(Planung!$C$13="","",Planung!$C$13)</f>
        <v>Maibach 1822 eV</v>
      </c>
      <c r="E19" s="662" t="str">
        <f>Sprache!$E$60</f>
        <v>Spiel Nr.</v>
      </c>
      <c r="F19" s="660" t="str">
        <f>Sprache!$E$39</f>
        <v>Beginn</v>
      </c>
      <c r="G19" s="663" t="str">
        <f>Sprache!$E$48</f>
        <v>Feld</v>
      </c>
      <c r="H19" s="661" t="str">
        <f>Sprache!$E$46</f>
        <v>Spiel gegen</v>
      </c>
      <c r="J19" s="649">
        <f t="shared" ca="1" si="27"/>
        <v>0</v>
      </c>
      <c r="L19" s="168">
        <f ca="1">'Endrunde 4'!$C19</f>
        <v>25</v>
      </c>
      <c r="M19" s="679">
        <f t="shared" ca="1" si="3"/>
        <v>19.520833333333332</v>
      </c>
      <c r="N19" s="656">
        <f ca="1">IF(P19="",99999,'Endrunde 4'!$D19)</f>
        <v>0.52083333333333337</v>
      </c>
      <c r="O19" s="335">
        <f ca="1">IF(P19="","",'Endrunde 4'!$E19)</f>
        <v>1</v>
      </c>
      <c r="P19" s="336" t="str">
        <f ca="1">IF($C$4="","",IF('Endrunde 4'!$I19=$C$4,'Endrunde 4'!$K19,IF('Endrunde 4'!$K19=$C$4,'Endrunde 4'!$I19,"")))</f>
        <v>VFB Essenheim</v>
      </c>
      <c r="Q19" s="653">
        <f t="shared" ca="1" si="4"/>
        <v>100016</v>
      </c>
      <c r="R19" s="679">
        <f t="shared" ca="1" si="5"/>
        <v>100018</v>
      </c>
      <c r="S19" s="656">
        <f ca="1">IF(U19="",99999,'Endrunde 4'!$D19)</f>
        <v>99999</v>
      </c>
      <c r="T19" s="335" t="str">
        <f ca="1">IF(U19="","",'Endrunde 4'!$E19)</f>
        <v/>
      </c>
      <c r="U19" s="336" t="str">
        <f ca="1">IF($C$9="","",IF('Endrunde 4'!$I19=$C$9,'Endrunde 4'!$K19,IF('Endrunde 4'!$K19=$C$9,'Endrunde 4'!$I19,"")))</f>
        <v/>
      </c>
      <c r="V19" s="653">
        <f t="shared" ca="1" si="6"/>
        <v>100016</v>
      </c>
      <c r="W19" s="679">
        <f t="shared" ca="1" si="7"/>
        <v>100018</v>
      </c>
      <c r="X19" s="656">
        <f ca="1">IF(Z19="",99999,'Endrunde 4'!$D19)</f>
        <v>99999</v>
      </c>
      <c r="Y19" s="335" t="str">
        <f ca="1">IF(Z19="","",'Endrunde 4'!$E19)</f>
        <v/>
      </c>
      <c r="Z19" s="336" t="str">
        <f ca="1">IF($C$14="","",IF('Endrunde 4'!$I19=$C$14,'Endrunde 4'!$K19,IF('Endrunde 4'!$K19=$C$14,'Endrunde 4'!$I19,"")))</f>
        <v/>
      </c>
      <c r="AA19" s="653">
        <f t="shared" ca="1" si="8"/>
        <v>100015</v>
      </c>
      <c r="AB19" s="679">
        <f t="shared" ca="1" si="9"/>
        <v>100018</v>
      </c>
      <c r="AC19" s="656">
        <f ca="1">IF(AE19="",99999,'Endrunde 4'!$D19)</f>
        <v>99999</v>
      </c>
      <c r="AD19" s="335" t="str">
        <f ca="1">IF(AE19="","",'Endrunde 4'!$E19)</f>
        <v/>
      </c>
      <c r="AE19" s="336" t="str">
        <f ca="1">IF($C$19="","",IF('Endrunde 4'!$I19=$C$19,'Endrunde 4'!$K19,IF('Endrunde 4'!$K19=$C$19,'Endrunde 4'!$I19,"")))</f>
        <v/>
      </c>
      <c r="AF19" s="653">
        <f t="shared" ca="1" si="10"/>
        <v>100017</v>
      </c>
      <c r="AG19" s="679">
        <f t="shared" ca="1" si="11"/>
        <v>19.520833333333332</v>
      </c>
      <c r="AH19" s="656">
        <f ca="1">IF(AJ19="",99999,'Endrunde 4'!$D19)</f>
        <v>0.52083333333333337</v>
      </c>
      <c r="AI19" s="335">
        <f ca="1">IF(AJ19="","",'Endrunde 4'!$E19)</f>
        <v>1</v>
      </c>
      <c r="AJ19" s="336" t="str">
        <f ca="1">IF($C$24="","",IF('Endrunde 4'!$I19=$C$24,'Endrunde 4'!$K19,IF('Endrunde 4'!$K19=$C$24,'Endrunde 4'!$I19,"")))</f>
        <v>1. FC Riedwald</v>
      </c>
      <c r="AK19" s="653">
        <f t="shared" ca="1" si="12"/>
        <v>100016</v>
      </c>
      <c r="AL19" s="679">
        <f t="shared" si="13"/>
        <v>100018</v>
      </c>
      <c r="AM19" s="656">
        <f>IF(AO19="",99999,'Endrunde 4'!$D19)</f>
        <v>99999</v>
      </c>
      <c r="AN19" s="335" t="str">
        <f>IF(AO19="","",'Endrunde 4'!$E19)</f>
        <v/>
      </c>
      <c r="AO19" s="336" t="str">
        <f>IF($C$29="","",IF('Endrunde 4'!$I19=$C$29,'Endrunde 4'!$K19,IF('Endrunde 4'!$K19=$C$29,'Endrunde 4'!$I19,"")))</f>
        <v/>
      </c>
      <c r="AP19" s="653">
        <f t="shared" si="14"/>
        <v>100018</v>
      </c>
      <c r="AQ19" s="679">
        <f t="shared" ca="1" si="15"/>
        <v>100018</v>
      </c>
      <c r="AR19" s="656">
        <f ca="1">IF(AT19="",99999,'Endrunde 4'!$D19)</f>
        <v>99999</v>
      </c>
      <c r="AS19" s="335" t="str">
        <f ca="1">IF(AT19="","",'Endrunde 4'!$E19)</f>
        <v/>
      </c>
      <c r="AT19" s="336" t="str">
        <f ca="1">IF($C$34="","",IF('Endrunde 4'!$I19=$C$34,'Endrunde 4'!$K19,IF('Endrunde 4'!$K19=$C$34,'Endrunde 4'!$I19,"")))</f>
        <v/>
      </c>
      <c r="AU19" s="653">
        <f t="shared" ca="1" si="16"/>
        <v>100016</v>
      </c>
      <c r="AV19" s="679">
        <f t="shared" ca="1" si="17"/>
        <v>100018</v>
      </c>
      <c r="AW19" s="656">
        <f ca="1">IF(AY19="",99999,'Endrunde 4'!$D19)</f>
        <v>99999</v>
      </c>
      <c r="AX19" s="335" t="str">
        <f ca="1">IF(AY19="","",'Endrunde 4'!$E19)</f>
        <v/>
      </c>
      <c r="AY19" s="336" t="str">
        <f ca="1">IF($C$39="","",IF('Endrunde 4'!$I19=$C$39,'Endrunde 4'!$K19,IF('Endrunde 4'!$K19=$C$39,'Endrunde 4'!$I19,"")))</f>
        <v/>
      </c>
      <c r="AZ19" s="653">
        <f t="shared" ca="1" si="18"/>
        <v>100016</v>
      </c>
      <c r="BA19" s="679">
        <f t="shared" ca="1" si="19"/>
        <v>100018</v>
      </c>
      <c r="BB19" s="656">
        <f ca="1">IF(BD19="",99999,'Endrunde 4'!$D19)</f>
        <v>99999</v>
      </c>
      <c r="BC19" s="335" t="str">
        <f ca="1">IF(BD19="","",'Endrunde 4'!$E19)</f>
        <v/>
      </c>
      <c r="BD19" s="336" t="str">
        <f ca="1">IF($C$44="","",IF('Endrunde 4'!$I19=$C$44,'Endrunde 4'!$K19,IF('Endrunde 4'!$K19=$C$44,'Endrunde 4'!$I19,"")))</f>
        <v/>
      </c>
      <c r="BE19" s="653">
        <f t="shared" ca="1" si="20"/>
        <v>100017</v>
      </c>
      <c r="BF19" s="679">
        <f t="shared" ca="1" si="21"/>
        <v>100018</v>
      </c>
      <c r="BG19" s="656">
        <f ca="1">IF(BI19="",99999,'Endrunde 4'!$D19)</f>
        <v>99999</v>
      </c>
      <c r="BH19" s="335" t="str">
        <f ca="1">IF(BI19="","",'Endrunde 4'!$E19)</f>
        <v/>
      </c>
      <c r="BI19" s="336" t="str">
        <f ca="1">IF($C$49="","",IF('Endrunde 4'!$I19=$C$49,'Endrunde 4'!$K19,IF('Endrunde 4'!$K19=$C$49,'Endrunde 4'!$I19,"")))</f>
        <v/>
      </c>
      <c r="BJ19" s="653">
        <f t="shared" ca="1" si="22"/>
        <v>100015</v>
      </c>
      <c r="BK19" s="679">
        <f t="shared" ca="1" si="23"/>
        <v>100018</v>
      </c>
      <c r="BL19" s="656">
        <f ca="1">IF(BN19="",99999,'Endrunde 4'!$D19)</f>
        <v>99999</v>
      </c>
      <c r="BM19" s="335" t="str">
        <f ca="1">IF(BN19="","",'Endrunde 4'!$E19)</f>
        <v/>
      </c>
      <c r="BN19" s="336" t="str">
        <f ca="1">IF($C$54="","",IF('Endrunde 4'!$I19=$C$54,'Endrunde 4'!$K19,IF('Endrunde 4'!$K19=$C$54,'Endrunde 4'!$I19,"")))</f>
        <v/>
      </c>
      <c r="BO19" s="653">
        <f t="shared" ca="1" si="24"/>
        <v>100016</v>
      </c>
      <c r="BP19" s="679">
        <f t="shared" si="25"/>
        <v>100018</v>
      </c>
      <c r="BQ19" s="656">
        <f>IF(BS19="",99999,'Endrunde 4'!$D19)</f>
        <v>99999</v>
      </c>
      <c r="BR19" s="335" t="str">
        <f>IF(BS19="","",'Endrunde 4'!$E19)</f>
        <v/>
      </c>
      <c r="BS19" s="336" t="str">
        <f>IF($C$59="","",IF('Endrunde 4'!$I19=$C$59,'Endrunde 4'!$K19,IF('Endrunde 4'!$K19=$C$59,'Endrunde 4'!$I19,"")))</f>
        <v/>
      </c>
      <c r="BT19" s="653">
        <f t="shared" si="26"/>
        <v>100018</v>
      </c>
    </row>
    <row r="20" spans="2:72" ht="15.95" customHeight="1" x14ac:dyDescent="0.2">
      <c r="E20" s="674">
        <f ca="1">IF($AF$12&lt;99999,INDEX($L$12:$L$29,MATCH($AF$12,$AB$12:$AB$29,0)),"")</f>
        <v>31</v>
      </c>
      <c r="F20" s="665">
        <f ca="1">IF($AF$12&lt;99999,VLOOKUP($AF$12,$AB$12:$AE$29,2,0),"")</f>
        <v>0.54513888888888895</v>
      </c>
      <c r="G20" s="666">
        <f ca="1">IF($AF$12&lt;99999,VLOOKUP($AF$12,$AB$12:$AE$29,3,0),"")</f>
        <v>3</v>
      </c>
      <c r="H20" s="667" t="str">
        <f ca="1">IF($AF$12&lt;99999,VLOOKUP($AF$12,$AB$12:$AE$29,4,0),"")</f>
        <v>SSV Wildbach</v>
      </c>
      <c r="J20" s="649">
        <f t="shared" ca="1" si="27"/>
        <v>0</v>
      </c>
      <c r="K20" s="649" t="str">
        <f ca="1">IF(J20=0,"",$C$19)</f>
        <v/>
      </c>
      <c r="L20" s="168">
        <f ca="1">'Endrunde 4'!$C20</f>
        <v>26</v>
      </c>
      <c r="M20" s="679">
        <f t="shared" ca="1" si="3"/>
        <v>100019</v>
      </c>
      <c r="N20" s="656">
        <f ca="1">IF(P20="",99999,'Endrunde 4'!$D20)</f>
        <v>99999</v>
      </c>
      <c r="O20" s="335" t="str">
        <f ca="1">IF(P20="","",'Endrunde 4'!$E20)</f>
        <v/>
      </c>
      <c r="P20" s="336" t="str">
        <f ca="1">IF($C$4="","",IF('Endrunde 4'!$I20=$C$4,'Endrunde 4'!$K20,IF('Endrunde 4'!$K20=$C$4,'Endrunde 4'!$I20,"")))</f>
        <v/>
      </c>
      <c r="Q20" s="653">
        <f t="shared" ca="1" si="4"/>
        <v>100017</v>
      </c>
      <c r="R20" s="679">
        <f t="shared" ca="1" si="5"/>
        <v>20.520833333333332</v>
      </c>
      <c r="S20" s="656">
        <f ca="1">IF(U20="",99999,'Endrunde 4'!$D20)</f>
        <v>0.52083333333333337</v>
      </c>
      <c r="T20" s="335">
        <f ca="1">IF(U20="","",'Endrunde 4'!$E20)</f>
        <v>2</v>
      </c>
      <c r="U20" s="336" t="str">
        <f ca="1">IF($C$9="","",IF('Endrunde 4'!$I20=$C$9,'Endrunde 4'!$K20,IF('Endrunde 4'!$K20=$C$9,'Endrunde 4'!$I20,"")))</f>
        <v>Eintracht Frankfurt</v>
      </c>
      <c r="V20" s="653">
        <f t="shared" ca="1" si="6"/>
        <v>100017</v>
      </c>
      <c r="W20" s="679">
        <f t="shared" ca="1" si="7"/>
        <v>20.520833333333332</v>
      </c>
      <c r="X20" s="656">
        <f ca="1">IF(Z20="",99999,'Endrunde 4'!$D20)</f>
        <v>0.52083333333333337</v>
      </c>
      <c r="Y20" s="335">
        <f ca="1">IF(Z20="","",'Endrunde 4'!$E20)</f>
        <v>2</v>
      </c>
      <c r="Z20" s="336" t="str">
        <f ca="1">IF($C$14="","",IF('Endrunde 4'!$I20=$C$14,'Endrunde 4'!$K20,IF('Endrunde 4'!$K20=$C$14,'Endrunde 4'!$I20,"")))</f>
        <v>FC Barcelona</v>
      </c>
      <c r="AA20" s="653">
        <f t="shared" ca="1" si="8"/>
        <v>100017</v>
      </c>
      <c r="AB20" s="679">
        <f t="shared" ca="1" si="9"/>
        <v>100019</v>
      </c>
      <c r="AC20" s="656">
        <f ca="1">IF(AE20="",99999,'Endrunde 4'!$D20)</f>
        <v>99999</v>
      </c>
      <c r="AD20" s="335" t="str">
        <f ca="1">IF(AE20="","",'Endrunde 4'!$E20)</f>
        <v/>
      </c>
      <c r="AE20" s="336" t="str">
        <f ca="1">IF($C$19="","",IF('Endrunde 4'!$I20=$C$19,'Endrunde 4'!$K20,IF('Endrunde 4'!$K20=$C$19,'Endrunde 4'!$I20,"")))</f>
        <v/>
      </c>
      <c r="AF20" s="653">
        <f t="shared" ca="1" si="10"/>
        <v>100018</v>
      </c>
      <c r="AG20" s="679">
        <f t="shared" ca="1" si="11"/>
        <v>100019</v>
      </c>
      <c r="AH20" s="656">
        <f ca="1">IF(AJ20="",99999,'Endrunde 4'!$D20)</f>
        <v>99999</v>
      </c>
      <c r="AI20" s="335" t="str">
        <f ca="1">IF(AJ20="","",'Endrunde 4'!$E20)</f>
        <v/>
      </c>
      <c r="AJ20" s="336" t="str">
        <f ca="1">IF($C$24="","",IF('Endrunde 4'!$I20=$C$24,'Endrunde 4'!$K20,IF('Endrunde 4'!$K20=$C$24,'Endrunde 4'!$I20,"")))</f>
        <v/>
      </c>
      <c r="AK20" s="653">
        <f t="shared" ca="1" si="12"/>
        <v>100017</v>
      </c>
      <c r="AL20" s="679">
        <f t="shared" si="13"/>
        <v>100019</v>
      </c>
      <c r="AM20" s="656">
        <f>IF(AO20="",99999,'Endrunde 4'!$D20)</f>
        <v>99999</v>
      </c>
      <c r="AN20" s="335" t="str">
        <f>IF(AO20="","",'Endrunde 4'!$E20)</f>
        <v/>
      </c>
      <c r="AO20" s="336" t="str">
        <f>IF($C$29="","",IF('Endrunde 4'!$I20=$C$29,'Endrunde 4'!$K20,IF('Endrunde 4'!$K20=$C$29,'Endrunde 4'!$I20,"")))</f>
        <v/>
      </c>
      <c r="AP20" s="653">
        <f t="shared" si="14"/>
        <v>100019</v>
      </c>
      <c r="AQ20" s="679">
        <f t="shared" ca="1" si="15"/>
        <v>100019</v>
      </c>
      <c r="AR20" s="656">
        <f ca="1">IF(AT20="",99999,'Endrunde 4'!$D20)</f>
        <v>99999</v>
      </c>
      <c r="AS20" s="335" t="str">
        <f ca="1">IF(AT20="","",'Endrunde 4'!$E20)</f>
        <v/>
      </c>
      <c r="AT20" s="336" t="str">
        <f ca="1">IF($C$34="","",IF('Endrunde 4'!$I20=$C$34,'Endrunde 4'!$K20,IF('Endrunde 4'!$K20=$C$34,'Endrunde 4'!$I20,"")))</f>
        <v/>
      </c>
      <c r="AU20" s="653">
        <f t="shared" ca="1" si="16"/>
        <v>100017</v>
      </c>
      <c r="AV20" s="679">
        <f t="shared" ca="1" si="17"/>
        <v>100019</v>
      </c>
      <c r="AW20" s="656">
        <f ca="1">IF(AY20="",99999,'Endrunde 4'!$D20)</f>
        <v>99999</v>
      </c>
      <c r="AX20" s="335" t="str">
        <f ca="1">IF(AY20="","",'Endrunde 4'!$E20)</f>
        <v/>
      </c>
      <c r="AY20" s="336" t="str">
        <f ca="1">IF($C$39="","",IF('Endrunde 4'!$I20=$C$39,'Endrunde 4'!$K20,IF('Endrunde 4'!$K20=$C$39,'Endrunde 4'!$I20,"")))</f>
        <v/>
      </c>
      <c r="AZ20" s="653">
        <f t="shared" ca="1" si="18"/>
        <v>100017</v>
      </c>
      <c r="BA20" s="679">
        <f t="shared" ca="1" si="19"/>
        <v>100019</v>
      </c>
      <c r="BB20" s="656">
        <f ca="1">IF(BD20="",99999,'Endrunde 4'!$D20)</f>
        <v>99999</v>
      </c>
      <c r="BC20" s="335" t="str">
        <f ca="1">IF(BD20="","",'Endrunde 4'!$E20)</f>
        <v/>
      </c>
      <c r="BD20" s="336" t="str">
        <f ca="1">IF($C$44="","",IF('Endrunde 4'!$I20=$C$44,'Endrunde 4'!$K20,IF('Endrunde 4'!$K20=$C$44,'Endrunde 4'!$I20,"")))</f>
        <v/>
      </c>
      <c r="BE20" s="653">
        <f t="shared" ca="1" si="20"/>
        <v>100018</v>
      </c>
      <c r="BF20" s="679">
        <f t="shared" ca="1" si="21"/>
        <v>100019</v>
      </c>
      <c r="BG20" s="656">
        <f ca="1">IF(BI20="",99999,'Endrunde 4'!$D20)</f>
        <v>99999</v>
      </c>
      <c r="BH20" s="335" t="str">
        <f ca="1">IF(BI20="","",'Endrunde 4'!$E20)</f>
        <v/>
      </c>
      <c r="BI20" s="336" t="str">
        <f ca="1">IF($C$49="","",IF('Endrunde 4'!$I20=$C$49,'Endrunde 4'!$K20,IF('Endrunde 4'!$K20=$C$49,'Endrunde 4'!$I20,"")))</f>
        <v/>
      </c>
      <c r="BJ20" s="653">
        <f t="shared" ca="1" si="22"/>
        <v>100017</v>
      </c>
      <c r="BK20" s="679">
        <f t="shared" ca="1" si="23"/>
        <v>100019</v>
      </c>
      <c r="BL20" s="656">
        <f ca="1">IF(BN20="",99999,'Endrunde 4'!$D20)</f>
        <v>99999</v>
      </c>
      <c r="BM20" s="335" t="str">
        <f ca="1">IF(BN20="","",'Endrunde 4'!$E20)</f>
        <v/>
      </c>
      <c r="BN20" s="336" t="str">
        <f ca="1">IF($C$54="","",IF('Endrunde 4'!$I20=$C$54,'Endrunde 4'!$K20,IF('Endrunde 4'!$K20=$C$54,'Endrunde 4'!$I20,"")))</f>
        <v/>
      </c>
      <c r="BO20" s="653">
        <f t="shared" ca="1" si="24"/>
        <v>100017</v>
      </c>
      <c r="BP20" s="679">
        <f t="shared" si="25"/>
        <v>100019</v>
      </c>
      <c r="BQ20" s="656">
        <f>IF(BS20="",99999,'Endrunde 4'!$D20)</f>
        <v>99999</v>
      </c>
      <c r="BR20" s="335" t="str">
        <f>IF(BS20="","",'Endrunde 4'!$E20)</f>
        <v/>
      </c>
      <c r="BS20" s="336" t="str">
        <f>IF($C$59="","",IF('Endrunde 4'!$I20=$C$59,'Endrunde 4'!$K20,IF('Endrunde 4'!$K20=$C$59,'Endrunde 4'!$I20,"")))</f>
        <v/>
      </c>
      <c r="BT20" s="653">
        <f t="shared" si="26"/>
        <v>100019</v>
      </c>
    </row>
    <row r="21" spans="2:72" ht="15.95" customHeight="1" x14ac:dyDescent="0.2">
      <c r="E21" s="674" t="str">
        <f ca="1">IF($AF$13&lt;99999,INDEX($L$12:$L$29,MATCH($AF$13,$AB$12:$AB$29,0)),"")</f>
        <v/>
      </c>
      <c r="F21" s="668" t="str">
        <f ca="1">IF($AF$13&lt;99999,VLOOKUP($AF$13,$AB$12:$AE$29,2,0),"")</f>
        <v/>
      </c>
      <c r="G21" s="669" t="str">
        <f ca="1">IF($AF$13&lt;99999,VLOOKUP($AF$13,$AB$12:$AE$29,3,0),"")</f>
        <v/>
      </c>
      <c r="H21" s="670" t="str">
        <f ca="1">IF($AF$13&lt;99999,VLOOKUP($AF$13,$AB$12:$AE$29,4,0),"")</f>
        <v/>
      </c>
      <c r="J21" s="649">
        <f t="shared" ca="1" si="27"/>
        <v>0</v>
      </c>
      <c r="K21" s="649" t="str">
        <f t="shared" ref="K21:K22" ca="1" si="29">IF(J21=0,"",$C$19)</f>
        <v/>
      </c>
      <c r="L21" s="168">
        <f ca="1">'Endrunde 4'!$C21</f>
        <v>27</v>
      </c>
      <c r="M21" s="679">
        <f t="shared" ca="1" si="3"/>
        <v>100020</v>
      </c>
      <c r="N21" s="656">
        <f ca="1">IF(P21="",99999,'Endrunde 4'!$D21)</f>
        <v>99999</v>
      </c>
      <c r="O21" s="335" t="str">
        <f ca="1">IF(P21="","",'Endrunde 4'!$E21)</f>
        <v/>
      </c>
      <c r="P21" s="336" t="str">
        <f ca="1">IF($C$4="","",IF('Endrunde 4'!$I21=$C$4,'Endrunde 4'!$K21,IF('Endrunde 4'!$K21=$C$4,'Endrunde 4'!$I21,"")))</f>
        <v/>
      </c>
      <c r="Q21" s="653">
        <f t="shared" ca="1" si="4"/>
        <v>100019</v>
      </c>
      <c r="R21" s="679">
        <f t="shared" ca="1" si="5"/>
        <v>100020</v>
      </c>
      <c r="S21" s="656">
        <f ca="1">IF(U21="",99999,'Endrunde 4'!$D21)</f>
        <v>99999</v>
      </c>
      <c r="T21" s="335" t="str">
        <f ca="1">IF(U21="","",'Endrunde 4'!$E21)</f>
        <v/>
      </c>
      <c r="U21" s="336" t="str">
        <f ca="1">IF($C$9="","",IF('Endrunde 4'!$I21=$C$9,'Endrunde 4'!$K21,IF('Endrunde 4'!$K21=$C$9,'Endrunde 4'!$I21,"")))</f>
        <v/>
      </c>
      <c r="V21" s="653">
        <f t="shared" ca="1" si="6"/>
        <v>100018</v>
      </c>
      <c r="W21" s="679">
        <f t="shared" ca="1" si="7"/>
        <v>100020</v>
      </c>
      <c r="X21" s="656">
        <f ca="1">IF(Z21="",99999,'Endrunde 4'!$D21)</f>
        <v>99999</v>
      </c>
      <c r="Y21" s="335" t="str">
        <f ca="1">IF(Z21="","",'Endrunde 4'!$E21)</f>
        <v/>
      </c>
      <c r="Z21" s="336" t="str">
        <f ca="1">IF($C$14="","",IF('Endrunde 4'!$I21=$C$14,'Endrunde 4'!$K21,IF('Endrunde 4'!$K21=$C$14,'Endrunde 4'!$I21,"")))</f>
        <v/>
      </c>
      <c r="AA21" s="653">
        <f t="shared" ca="1" si="8"/>
        <v>100018</v>
      </c>
      <c r="AB21" s="679">
        <f t="shared" ca="1" si="9"/>
        <v>100020</v>
      </c>
      <c r="AC21" s="656">
        <f ca="1">IF(AE21="",99999,'Endrunde 4'!$D21)</f>
        <v>99999</v>
      </c>
      <c r="AD21" s="335" t="str">
        <f ca="1">IF(AE21="","",'Endrunde 4'!$E21)</f>
        <v/>
      </c>
      <c r="AE21" s="336" t="str">
        <f ca="1">IF($C$19="","",IF('Endrunde 4'!$I21=$C$19,'Endrunde 4'!$K21,IF('Endrunde 4'!$K21=$C$19,'Endrunde 4'!$I21,"")))</f>
        <v/>
      </c>
      <c r="AF21" s="653">
        <f t="shared" ca="1" si="10"/>
        <v>100019</v>
      </c>
      <c r="AG21" s="679">
        <f t="shared" ca="1" si="11"/>
        <v>100020</v>
      </c>
      <c r="AH21" s="656">
        <f ca="1">IF(AJ21="",99999,'Endrunde 4'!$D21)</f>
        <v>99999</v>
      </c>
      <c r="AI21" s="335" t="str">
        <f ca="1">IF(AJ21="","",'Endrunde 4'!$E21)</f>
        <v/>
      </c>
      <c r="AJ21" s="336" t="str">
        <f ca="1">IF($C$24="","",IF('Endrunde 4'!$I21=$C$24,'Endrunde 4'!$K21,IF('Endrunde 4'!$K21=$C$24,'Endrunde 4'!$I21,"")))</f>
        <v/>
      </c>
      <c r="AK21" s="653">
        <f t="shared" ca="1" si="12"/>
        <v>100019</v>
      </c>
      <c r="AL21" s="679">
        <f t="shared" si="13"/>
        <v>100020</v>
      </c>
      <c r="AM21" s="656">
        <f>IF(AO21="",99999,'Endrunde 4'!$D21)</f>
        <v>99999</v>
      </c>
      <c r="AN21" s="335" t="str">
        <f>IF(AO21="","",'Endrunde 4'!$E21)</f>
        <v/>
      </c>
      <c r="AO21" s="336" t="str">
        <f>IF($C$29="","",IF('Endrunde 4'!$I21=$C$29,'Endrunde 4'!$K21,IF('Endrunde 4'!$K21=$C$29,'Endrunde 4'!$I21,"")))</f>
        <v/>
      </c>
      <c r="AP21" s="653">
        <f t="shared" si="14"/>
        <v>100020</v>
      </c>
      <c r="AQ21" s="679">
        <f t="shared" ca="1" si="15"/>
        <v>100020</v>
      </c>
      <c r="AR21" s="656">
        <f ca="1">IF(AT21="",99999,'Endrunde 4'!$D21)</f>
        <v>99999</v>
      </c>
      <c r="AS21" s="335" t="str">
        <f ca="1">IF(AT21="","",'Endrunde 4'!$E21)</f>
        <v/>
      </c>
      <c r="AT21" s="336" t="str">
        <f ca="1">IF($C$34="","",IF('Endrunde 4'!$I21=$C$34,'Endrunde 4'!$K21,IF('Endrunde 4'!$K21=$C$34,'Endrunde 4'!$I21,"")))</f>
        <v/>
      </c>
      <c r="AU21" s="653">
        <f t="shared" ca="1" si="16"/>
        <v>100018</v>
      </c>
      <c r="AV21" s="679">
        <f t="shared" ca="1" si="17"/>
        <v>100020</v>
      </c>
      <c r="AW21" s="656">
        <f ca="1">IF(AY21="",99999,'Endrunde 4'!$D21)</f>
        <v>99999</v>
      </c>
      <c r="AX21" s="335" t="str">
        <f ca="1">IF(AY21="","",'Endrunde 4'!$E21)</f>
        <v/>
      </c>
      <c r="AY21" s="336" t="str">
        <f ca="1">IF($C$39="","",IF('Endrunde 4'!$I21=$C$39,'Endrunde 4'!$K21,IF('Endrunde 4'!$K21=$C$39,'Endrunde 4'!$I21,"")))</f>
        <v/>
      </c>
      <c r="AZ21" s="653">
        <f t="shared" ca="1" si="18"/>
        <v>100018</v>
      </c>
      <c r="BA21" s="679">
        <f t="shared" ca="1" si="19"/>
        <v>100020</v>
      </c>
      <c r="BB21" s="656">
        <f ca="1">IF(BD21="",99999,'Endrunde 4'!$D21)</f>
        <v>99999</v>
      </c>
      <c r="BC21" s="335" t="str">
        <f ca="1">IF(BD21="","",'Endrunde 4'!$E21)</f>
        <v/>
      </c>
      <c r="BD21" s="336" t="str">
        <f ca="1">IF($C$44="","",IF('Endrunde 4'!$I21=$C$44,'Endrunde 4'!$K21,IF('Endrunde 4'!$K21=$C$44,'Endrunde 4'!$I21,"")))</f>
        <v/>
      </c>
      <c r="BE21" s="653">
        <f t="shared" ca="1" si="20"/>
        <v>100019</v>
      </c>
      <c r="BF21" s="679">
        <f t="shared" ca="1" si="21"/>
        <v>100020</v>
      </c>
      <c r="BG21" s="656">
        <f ca="1">IF(BI21="",99999,'Endrunde 4'!$D21)</f>
        <v>99999</v>
      </c>
      <c r="BH21" s="335" t="str">
        <f ca="1">IF(BI21="","",'Endrunde 4'!$E21)</f>
        <v/>
      </c>
      <c r="BI21" s="336" t="str">
        <f ca="1">IF($C$49="","",IF('Endrunde 4'!$I21=$C$49,'Endrunde 4'!$K21,IF('Endrunde 4'!$K21=$C$49,'Endrunde 4'!$I21,"")))</f>
        <v/>
      </c>
      <c r="BJ21" s="653">
        <f t="shared" ca="1" si="22"/>
        <v>100018</v>
      </c>
      <c r="BK21" s="679">
        <f t="shared" ca="1" si="23"/>
        <v>100020</v>
      </c>
      <c r="BL21" s="656">
        <f ca="1">IF(BN21="",99999,'Endrunde 4'!$D21)</f>
        <v>99999</v>
      </c>
      <c r="BM21" s="335" t="str">
        <f ca="1">IF(BN21="","",'Endrunde 4'!$E21)</f>
        <v/>
      </c>
      <c r="BN21" s="336" t="str">
        <f ca="1">IF($C$54="","",IF('Endrunde 4'!$I21=$C$54,'Endrunde 4'!$K21,IF('Endrunde 4'!$K21=$C$54,'Endrunde 4'!$I21,"")))</f>
        <v/>
      </c>
      <c r="BO21" s="653">
        <f t="shared" ca="1" si="24"/>
        <v>100018</v>
      </c>
      <c r="BP21" s="679">
        <f t="shared" si="25"/>
        <v>100020</v>
      </c>
      <c r="BQ21" s="656">
        <f>IF(BS21="",99999,'Endrunde 4'!$D21)</f>
        <v>99999</v>
      </c>
      <c r="BR21" s="335" t="str">
        <f>IF(BS21="","",'Endrunde 4'!$E21)</f>
        <v/>
      </c>
      <c r="BS21" s="336" t="str">
        <f>IF($C$59="","",IF('Endrunde 4'!$I21=$C$59,'Endrunde 4'!$K21,IF('Endrunde 4'!$K21=$C$59,'Endrunde 4'!$I21,"")))</f>
        <v/>
      </c>
      <c r="BT21" s="653">
        <f t="shared" si="26"/>
        <v>100020</v>
      </c>
    </row>
    <row r="22" spans="2:72" ht="15.95" customHeight="1" thickBot="1" x14ac:dyDescent="0.25">
      <c r="E22" s="675" t="str">
        <f ca="1">IF($AF$14&lt;99999,INDEX($L$12:$L$29,MATCH($AF$14,$AB$12:$AB$29,0)),"")</f>
        <v/>
      </c>
      <c r="F22" s="671" t="str">
        <f ca="1">IF($AF$14&lt;99999,VLOOKUP($AF$14,$AB$12:$AE$29,2,0),"")</f>
        <v/>
      </c>
      <c r="G22" s="672" t="str">
        <f ca="1">IF($AF$14&lt;99999,VLOOKUP($AF$14,$AB$12:$AE$29,3,0),"")</f>
        <v/>
      </c>
      <c r="H22" s="673" t="str">
        <f ca="1">IF($AF$14&lt;99999,VLOOKUP($AF$14,$AB$12:$AE$29,4,0),"")</f>
        <v/>
      </c>
      <c r="J22" s="649">
        <f t="shared" ca="1" si="27"/>
        <v>0</v>
      </c>
      <c r="K22" s="649" t="str">
        <f t="shared" ca="1" si="29"/>
        <v/>
      </c>
      <c r="L22" s="168">
        <f ca="1">'Endrunde 4'!$C22</f>
        <v>27</v>
      </c>
      <c r="M22" s="679">
        <f t="shared" ca="1" si="3"/>
        <v>100021</v>
      </c>
      <c r="N22" s="656">
        <f ca="1">IF(P22="",99999,'Endrunde 4'!$D22)</f>
        <v>99999</v>
      </c>
      <c r="O22" s="335" t="str">
        <f ca="1">IF(P22="","",'Endrunde 4'!$E22)</f>
        <v/>
      </c>
      <c r="P22" s="336" t="str">
        <f ca="1">IF($C$4="","",IF('Endrunde 4'!$I22=$C$4,'Endrunde 4'!$K22,IF('Endrunde 4'!$K22=$C$4,'Endrunde 4'!$I22,"")))</f>
        <v/>
      </c>
      <c r="Q22" s="653">
        <f t="shared" ca="1" si="4"/>
        <v>100020</v>
      </c>
      <c r="R22" s="679">
        <f t="shared" ca="1" si="5"/>
        <v>100021</v>
      </c>
      <c r="S22" s="656">
        <f ca="1">IF(U22="",99999,'Endrunde 4'!$D22)</f>
        <v>99999</v>
      </c>
      <c r="T22" s="335" t="str">
        <f ca="1">IF(U22="","",'Endrunde 4'!$E22)</f>
        <v/>
      </c>
      <c r="U22" s="336" t="str">
        <f ca="1">IF($C$9="","",IF('Endrunde 4'!$I22=$C$9,'Endrunde 4'!$K22,IF('Endrunde 4'!$K22=$C$9,'Endrunde 4'!$I22,"")))</f>
        <v/>
      </c>
      <c r="V22" s="653">
        <f t="shared" ca="1" si="6"/>
        <v>100020</v>
      </c>
      <c r="W22" s="679">
        <f t="shared" ca="1" si="7"/>
        <v>100021</v>
      </c>
      <c r="X22" s="656">
        <f ca="1">IF(Z22="",99999,'Endrunde 4'!$D22)</f>
        <v>99999</v>
      </c>
      <c r="Y22" s="335" t="str">
        <f ca="1">IF(Z22="","",'Endrunde 4'!$E22)</f>
        <v/>
      </c>
      <c r="Z22" s="336" t="str">
        <f ca="1">IF($C$14="","",IF('Endrunde 4'!$I22=$C$14,'Endrunde 4'!$K22,IF('Endrunde 4'!$K22=$C$14,'Endrunde 4'!$I22,"")))</f>
        <v/>
      </c>
      <c r="AA22" s="653">
        <f t="shared" ca="1" si="8"/>
        <v>100020</v>
      </c>
      <c r="AB22" s="679">
        <f t="shared" ca="1" si="9"/>
        <v>100021</v>
      </c>
      <c r="AC22" s="656">
        <f ca="1">IF(AE22="",99999,'Endrunde 4'!$D22)</f>
        <v>99999</v>
      </c>
      <c r="AD22" s="335" t="str">
        <f ca="1">IF(AE22="","",'Endrunde 4'!$E22)</f>
        <v/>
      </c>
      <c r="AE22" s="336" t="str">
        <f ca="1">IF($C$19="","",IF('Endrunde 4'!$I22=$C$19,'Endrunde 4'!$K22,IF('Endrunde 4'!$K22=$C$19,'Endrunde 4'!$I22,"")))</f>
        <v/>
      </c>
      <c r="AF22" s="653">
        <f t="shared" ca="1" si="10"/>
        <v>100020</v>
      </c>
      <c r="AG22" s="679">
        <f t="shared" ca="1" si="11"/>
        <v>100021</v>
      </c>
      <c r="AH22" s="656">
        <f ca="1">IF(AJ22="",99999,'Endrunde 4'!$D22)</f>
        <v>99999</v>
      </c>
      <c r="AI22" s="335" t="str">
        <f ca="1">IF(AJ22="","",'Endrunde 4'!$E22)</f>
        <v/>
      </c>
      <c r="AJ22" s="336" t="str">
        <f ca="1">IF($C$24="","",IF('Endrunde 4'!$I22=$C$24,'Endrunde 4'!$K22,IF('Endrunde 4'!$K22=$C$24,'Endrunde 4'!$I22,"")))</f>
        <v/>
      </c>
      <c r="AK22" s="653">
        <f t="shared" ca="1" si="12"/>
        <v>100020</v>
      </c>
      <c r="AL22" s="679">
        <f t="shared" si="13"/>
        <v>100021</v>
      </c>
      <c r="AM22" s="656">
        <f>IF(AO22="",99999,'Endrunde 4'!$D22)</f>
        <v>99999</v>
      </c>
      <c r="AN22" s="335" t="str">
        <f>IF(AO22="","",'Endrunde 4'!$E22)</f>
        <v/>
      </c>
      <c r="AO22" s="336" t="str">
        <f>IF($C$29="","",IF('Endrunde 4'!$I22=$C$29,'Endrunde 4'!$K22,IF('Endrunde 4'!$K22=$C$29,'Endrunde 4'!$I22,"")))</f>
        <v/>
      </c>
      <c r="AP22" s="653">
        <f t="shared" si="14"/>
        <v>100021</v>
      </c>
      <c r="AQ22" s="679">
        <f t="shared" ca="1" si="15"/>
        <v>22.520833333333332</v>
      </c>
      <c r="AR22" s="656">
        <f ca="1">IF(AT22="",99999,'Endrunde 4'!$D22)</f>
        <v>0.52083333333333337</v>
      </c>
      <c r="AS22" s="335">
        <f ca="1">IF(AT22="","",'Endrunde 4'!$E22)</f>
        <v>3</v>
      </c>
      <c r="AT22" s="336" t="str">
        <f ca="1">IF($C$34="","",IF('Endrunde 4'!$I22=$C$34,'Endrunde 4'!$K22,IF('Endrunde 4'!$K22=$C$34,'Endrunde 4'!$I22,"")))</f>
        <v>FC Grönlingen</v>
      </c>
      <c r="AU22" s="653">
        <f t="shared" ca="1" si="16"/>
        <v>100019</v>
      </c>
      <c r="AV22" s="679">
        <f t="shared" ca="1" si="17"/>
        <v>100021</v>
      </c>
      <c r="AW22" s="656">
        <f ca="1">IF(AY22="",99999,'Endrunde 4'!$D22)</f>
        <v>99999</v>
      </c>
      <c r="AX22" s="335" t="str">
        <f ca="1">IF(AY22="","",'Endrunde 4'!$E22)</f>
        <v/>
      </c>
      <c r="AY22" s="336" t="str">
        <f ca="1">IF($C$39="","",IF('Endrunde 4'!$I22=$C$39,'Endrunde 4'!$K22,IF('Endrunde 4'!$K22=$C$39,'Endrunde 4'!$I22,"")))</f>
        <v/>
      </c>
      <c r="AZ22" s="653">
        <f t="shared" ca="1" si="18"/>
        <v>100019</v>
      </c>
      <c r="BA22" s="679">
        <f t="shared" ca="1" si="19"/>
        <v>100021</v>
      </c>
      <c r="BB22" s="656">
        <f ca="1">IF(BD22="",99999,'Endrunde 4'!$D22)</f>
        <v>99999</v>
      </c>
      <c r="BC22" s="335" t="str">
        <f ca="1">IF(BD22="","",'Endrunde 4'!$E22)</f>
        <v/>
      </c>
      <c r="BD22" s="336" t="str">
        <f ca="1">IF($C$44="","",IF('Endrunde 4'!$I22=$C$44,'Endrunde 4'!$K22,IF('Endrunde 4'!$K22=$C$44,'Endrunde 4'!$I22,"")))</f>
        <v/>
      </c>
      <c r="BE22" s="653">
        <f t="shared" ca="1" si="20"/>
        <v>100020</v>
      </c>
      <c r="BF22" s="679">
        <f t="shared" ca="1" si="21"/>
        <v>100021</v>
      </c>
      <c r="BG22" s="656">
        <f ca="1">IF(BI22="",99999,'Endrunde 4'!$D22)</f>
        <v>99999</v>
      </c>
      <c r="BH22" s="335" t="str">
        <f ca="1">IF(BI22="","",'Endrunde 4'!$E22)</f>
        <v/>
      </c>
      <c r="BI22" s="336" t="str">
        <f ca="1">IF($C$49="","",IF('Endrunde 4'!$I22=$C$49,'Endrunde 4'!$K22,IF('Endrunde 4'!$K22=$C$49,'Endrunde 4'!$I22,"")))</f>
        <v/>
      </c>
      <c r="BJ22" s="653">
        <f t="shared" ca="1" si="22"/>
        <v>100019</v>
      </c>
      <c r="BK22" s="679">
        <f t="shared" ca="1" si="23"/>
        <v>22.520833333333332</v>
      </c>
      <c r="BL22" s="656">
        <f ca="1">IF(BN22="",99999,'Endrunde 4'!$D22)</f>
        <v>0.52083333333333337</v>
      </c>
      <c r="BM22" s="335">
        <f ca="1">IF(BN22="","",'Endrunde 4'!$E22)</f>
        <v>3</v>
      </c>
      <c r="BN22" s="336" t="str">
        <f ca="1">IF($C$54="","",IF('Endrunde 4'!$I22=$C$54,'Endrunde 4'!$K22,IF('Endrunde 4'!$K22=$C$54,'Endrunde 4'!$I22,"")))</f>
        <v>Mainz 05</v>
      </c>
      <c r="BO22" s="653">
        <f t="shared" ca="1" si="24"/>
        <v>100019</v>
      </c>
      <c r="BP22" s="679">
        <f t="shared" si="25"/>
        <v>100021</v>
      </c>
      <c r="BQ22" s="656">
        <f>IF(BS22="",99999,'Endrunde 4'!$D22)</f>
        <v>99999</v>
      </c>
      <c r="BR22" s="335" t="str">
        <f>IF(BS22="","",'Endrunde 4'!$E22)</f>
        <v/>
      </c>
      <c r="BS22" s="336" t="str">
        <f>IF($C$59="","",IF('Endrunde 4'!$I22=$C$59,'Endrunde 4'!$K22,IF('Endrunde 4'!$K22=$C$59,'Endrunde 4'!$I22,"")))</f>
        <v/>
      </c>
      <c r="BT22" s="653">
        <f t="shared" si="26"/>
        <v>100021</v>
      </c>
    </row>
    <row r="23" spans="2:72" ht="30" customHeight="1" thickBot="1" x14ac:dyDescent="0.25">
      <c r="J23" s="649">
        <f t="shared" ca="1" si="27"/>
        <v>0</v>
      </c>
      <c r="L23" s="168">
        <f ca="1">'Endrunde 4'!$C23</f>
        <v>28</v>
      </c>
      <c r="M23" s="679">
        <f t="shared" ca="1" si="3"/>
        <v>100022</v>
      </c>
      <c r="N23" s="656">
        <f ca="1">IF(P23="",99999,'Endrunde 4'!$D23)</f>
        <v>99999</v>
      </c>
      <c r="O23" s="335" t="str">
        <f ca="1">IF(P23="","",'Endrunde 4'!$E23)</f>
        <v/>
      </c>
      <c r="P23" s="336" t="str">
        <f ca="1">IF($C$4="","",IF('Endrunde 4'!$I23=$C$4,'Endrunde 4'!$K23,IF('Endrunde 4'!$K23=$C$4,'Endrunde 4'!$I23,"")))</f>
        <v/>
      </c>
      <c r="Q23" s="653">
        <f t="shared" ca="1" si="4"/>
        <v>100021</v>
      </c>
      <c r="R23" s="679">
        <f t="shared" ca="1" si="5"/>
        <v>100022</v>
      </c>
      <c r="S23" s="656">
        <f ca="1">IF(U23="",99999,'Endrunde 4'!$D23)</f>
        <v>99999</v>
      </c>
      <c r="T23" s="335" t="str">
        <f ca="1">IF(U23="","",'Endrunde 4'!$E23)</f>
        <v/>
      </c>
      <c r="U23" s="336" t="str">
        <f ca="1">IF($C$9="","",IF('Endrunde 4'!$I23=$C$9,'Endrunde 4'!$K23,IF('Endrunde 4'!$K23=$C$9,'Endrunde 4'!$I23,"")))</f>
        <v/>
      </c>
      <c r="V23" s="653">
        <f t="shared" ca="1" si="6"/>
        <v>100021</v>
      </c>
      <c r="W23" s="679">
        <f t="shared" ca="1" si="7"/>
        <v>100022</v>
      </c>
      <c r="X23" s="656">
        <f ca="1">IF(Z23="",99999,'Endrunde 4'!$D23)</f>
        <v>99999</v>
      </c>
      <c r="Y23" s="335" t="str">
        <f ca="1">IF(Z23="","",'Endrunde 4'!$E23)</f>
        <v/>
      </c>
      <c r="Z23" s="336" t="str">
        <f ca="1">IF($C$14="","",IF('Endrunde 4'!$I23=$C$14,'Endrunde 4'!$K23,IF('Endrunde 4'!$K23=$C$14,'Endrunde 4'!$I23,"")))</f>
        <v/>
      </c>
      <c r="AA23" s="653">
        <f t="shared" ca="1" si="8"/>
        <v>100021</v>
      </c>
      <c r="AB23" s="679">
        <f t="shared" ca="1" si="9"/>
        <v>100022</v>
      </c>
      <c r="AC23" s="656">
        <f ca="1">IF(AE23="",99999,'Endrunde 4'!$D23)</f>
        <v>99999</v>
      </c>
      <c r="AD23" s="335" t="str">
        <f ca="1">IF(AE23="","",'Endrunde 4'!$E23)</f>
        <v/>
      </c>
      <c r="AE23" s="336" t="str">
        <f ca="1">IF($C$19="","",IF('Endrunde 4'!$I23=$C$19,'Endrunde 4'!$K23,IF('Endrunde 4'!$K23=$C$19,'Endrunde 4'!$I23,"")))</f>
        <v/>
      </c>
      <c r="AF23" s="653">
        <f t="shared" ca="1" si="10"/>
        <v>100021</v>
      </c>
      <c r="AG23" s="679">
        <f t="shared" ca="1" si="11"/>
        <v>100022</v>
      </c>
      <c r="AH23" s="656">
        <f ca="1">IF(AJ23="",99999,'Endrunde 4'!$D23)</f>
        <v>99999</v>
      </c>
      <c r="AI23" s="335" t="str">
        <f ca="1">IF(AJ23="","",'Endrunde 4'!$E23)</f>
        <v/>
      </c>
      <c r="AJ23" s="336" t="str">
        <f ca="1">IF($C$24="","",IF('Endrunde 4'!$I23=$C$24,'Endrunde 4'!$K23,IF('Endrunde 4'!$K23=$C$24,'Endrunde 4'!$I23,"")))</f>
        <v/>
      </c>
      <c r="AK23" s="653">
        <f t="shared" ca="1" si="12"/>
        <v>100021</v>
      </c>
      <c r="AL23" s="679">
        <f t="shared" si="13"/>
        <v>100022</v>
      </c>
      <c r="AM23" s="656">
        <f>IF(AO23="",99999,'Endrunde 4'!$D23)</f>
        <v>99999</v>
      </c>
      <c r="AN23" s="335" t="str">
        <f>IF(AO23="","",'Endrunde 4'!$E23)</f>
        <v/>
      </c>
      <c r="AO23" s="336" t="str">
        <f>IF($C$29="","",IF('Endrunde 4'!$I23=$C$29,'Endrunde 4'!$K23,IF('Endrunde 4'!$K23=$C$29,'Endrunde 4'!$I23,"")))</f>
        <v/>
      </c>
      <c r="AP23" s="653">
        <f t="shared" si="14"/>
        <v>100022</v>
      </c>
      <c r="AQ23" s="679">
        <f t="shared" ca="1" si="15"/>
        <v>100022</v>
      </c>
      <c r="AR23" s="656">
        <f ca="1">IF(AT23="",99999,'Endrunde 4'!$D23)</f>
        <v>99999</v>
      </c>
      <c r="AS23" s="335" t="str">
        <f ca="1">IF(AT23="","",'Endrunde 4'!$E23)</f>
        <v/>
      </c>
      <c r="AT23" s="336" t="str">
        <f ca="1">IF($C$34="","",IF('Endrunde 4'!$I23=$C$34,'Endrunde 4'!$K23,IF('Endrunde 4'!$K23=$C$34,'Endrunde 4'!$I23,"")))</f>
        <v/>
      </c>
      <c r="AU23" s="653">
        <f t="shared" ca="1" si="16"/>
        <v>100020</v>
      </c>
      <c r="AV23" s="679">
        <f t="shared" ca="1" si="17"/>
        <v>23.520833333333332</v>
      </c>
      <c r="AW23" s="656">
        <f ca="1">IF(AY23="",99999,'Endrunde 4'!$D23)</f>
        <v>0.52083333333333337</v>
      </c>
      <c r="AX23" s="335">
        <f ca="1">IF(AY23="","",'Endrunde 4'!$E23)</f>
        <v>4</v>
      </c>
      <c r="AY23" s="336" t="str">
        <f ca="1">IF($C$39="","",IF('Endrunde 4'!$I23=$C$39,'Endrunde 4'!$K23,IF('Endrunde 4'!$K23=$C$39,'Endrunde 4'!$I23,"")))</f>
        <v>Manchester City</v>
      </c>
      <c r="AZ23" s="653">
        <f t="shared" ca="1" si="18"/>
        <v>100020</v>
      </c>
      <c r="BA23" s="679">
        <f t="shared" ca="1" si="19"/>
        <v>100022</v>
      </c>
      <c r="BB23" s="656">
        <f ca="1">IF(BD23="",99999,'Endrunde 4'!$D23)</f>
        <v>99999</v>
      </c>
      <c r="BC23" s="335" t="str">
        <f ca="1">IF(BD23="","",'Endrunde 4'!$E23)</f>
        <v/>
      </c>
      <c r="BD23" s="336" t="str">
        <f ca="1">IF($C$44="","",IF('Endrunde 4'!$I23=$C$44,'Endrunde 4'!$K23,IF('Endrunde 4'!$K23=$C$44,'Endrunde 4'!$I23,"")))</f>
        <v/>
      </c>
      <c r="BE23" s="653">
        <f t="shared" ca="1" si="20"/>
        <v>100021</v>
      </c>
      <c r="BF23" s="679">
        <f t="shared" ca="1" si="21"/>
        <v>23.520833333333332</v>
      </c>
      <c r="BG23" s="656">
        <f ca="1">IF(BI23="",99999,'Endrunde 4'!$D23)</f>
        <v>0.52083333333333337</v>
      </c>
      <c r="BH23" s="335">
        <f ca="1">IF(BI23="","",'Endrunde 4'!$E23)</f>
        <v>4</v>
      </c>
      <c r="BI23" s="336" t="str">
        <f ca="1">IF($C$49="","",IF('Endrunde 4'!$I23=$C$49,'Endrunde 4'!$K23,IF('Endrunde 4'!$K23=$C$49,'Endrunde 4'!$I23,"")))</f>
        <v>Inter Mailand</v>
      </c>
      <c r="BJ23" s="653">
        <f t="shared" ca="1" si="22"/>
        <v>100020</v>
      </c>
      <c r="BK23" s="679">
        <f t="shared" ca="1" si="23"/>
        <v>100022</v>
      </c>
      <c r="BL23" s="656">
        <f ca="1">IF(BN23="",99999,'Endrunde 4'!$D23)</f>
        <v>99999</v>
      </c>
      <c r="BM23" s="335" t="str">
        <f ca="1">IF(BN23="","",'Endrunde 4'!$E23)</f>
        <v/>
      </c>
      <c r="BN23" s="336" t="str">
        <f ca="1">IF($C$54="","",IF('Endrunde 4'!$I23=$C$54,'Endrunde 4'!$K23,IF('Endrunde 4'!$K23=$C$54,'Endrunde 4'!$I23,"")))</f>
        <v/>
      </c>
      <c r="BO23" s="653">
        <f t="shared" ca="1" si="24"/>
        <v>100020</v>
      </c>
      <c r="BP23" s="679">
        <f t="shared" si="25"/>
        <v>100022</v>
      </c>
      <c r="BQ23" s="656">
        <f>IF(BS23="",99999,'Endrunde 4'!$D23)</f>
        <v>99999</v>
      </c>
      <c r="BR23" s="335" t="str">
        <f>IF(BS23="","",'Endrunde 4'!$E23)</f>
        <v/>
      </c>
      <c r="BS23" s="336" t="str">
        <f>IF($C$59="","",IF('Endrunde 4'!$I23=$C$59,'Endrunde 4'!$K23,IF('Endrunde 4'!$K23=$C$59,'Endrunde 4'!$I23,"")))</f>
        <v/>
      </c>
      <c r="BT23" s="653">
        <f t="shared" si="26"/>
        <v>100022</v>
      </c>
    </row>
    <row r="24" spans="2:72" ht="15.95" customHeight="1" x14ac:dyDescent="0.2">
      <c r="B24" s="676" t="s">
        <v>214</v>
      </c>
      <c r="C24" s="677" t="str">
        <f>IF(Planung!$C$15="","",Planung!$C$15)</f>
        <v>VFB Essenheim</v>
      </c>
      <c r="E24" s="662" t="str">
        <f>Sprache!$E$60</f>
        <v>Spiel Nr.</v>
      </c>
      <c r="F24" s="660" t="str">
        <f>Sprache!$E$39</f>
        <v>Beginn</v>
      </c>
      <c r="G24" s="663" t="str">
        <f>Sprache!$E$48</f>
        <v>Feld</v>
      </c>
      <c r="H24" s="661" t="str">
        <f>Sprache!$E$46</f>
        <v>Spiel gegen</v>
      </c>
      <c r="J24" s="649">
        <f t="shared" ca="1" si="27"/>
        <v>0</v>
      </c>
      <c r="L24" s="168">
        <f ca="1">'Endrunde 4'!$C24</f>
        <v>29</v>
      </c>
      <c r="M24" s="679">
        <f t="shared" ca="1" si="3"/>
        <v>100023</v>
      </c>
      <c r="N24" s="656">
        <f ca="1">IF(P24="",99999,'Endrunde 4'!$D24)</f>
        <v>99999</v>
      </c>
      <c r="O24" s="335" t="str">
        <f ca="1">IF(P24="","",'Endrunde 4'!$E24)</f>
        <v/>
      </c>
      <c r="P24" s="336" t="str">
        <f ca="1">IF($C$4="","",IF('Endrunde 4'!$I24=$C$4,'Endrunde 4'!$K24,IF('Endrunde 4'!$K24=$C$4,'Endrunde 4'!$I24,"")))</f>
        <v/>
      </c>
      <c r="Q24" s="653">
        <f t="shared" ca="1" si="4"/>
        <v>100022</v>
      </c>
      <c r="R24" s="679">
        <f t="shared" ca="1" si="5"/>
        <v>100023</v>
      </c>
      <c r="S24" s="656">
        <f ca="1">IF(U24="",99999,'Endrunde 4'!$D24)</f>
        <v>99999</v>
      </c>
      <c r="T24" s="335" t="str">
        <f ca="1">IF(U24="","",'Endrunde 4'!$E24)</f>
        <v/>
      </c>
      <c r="U24" s="336" t="str">
        <f ca="1">IF($C$9="","",IF('Endrunde 4'!$I24=$C$9,'Endrunde 4'!$K24,IF('Endrunde 4'!$K24=$C$9,'Endrunde 4'!$I24,"")))</f>
        <v/>
      </c>
      <c r="V24" s="653">
        <f t="shared" ca="1" si="6"/>
        <v>100022</v>
      </c>
      <c r="W24" s="679">
        <f t="shared" ca="1" si="7"/>
        <v>100023</v>
      </c>
      <c r="X24" s="656">
        <f ca="1">IF(Z24="",99999,'Endrunde 4'!$D24)</f>
        <v>99999</v>
      </c>
      <c r="Y24" s="335" t="str">
        <f ca="1">IF(Z24="","",'Endrunde 4'!$E24)</f>
        <v/>
      </c>
      <c r="Z24" s="336" t="str">
        <f ca="1">IF($C$14="","",IF('Endrunde 4'!$I24=$C$14,'Endrunde 4'!$K24,IF('Endrunde 4'!$K24=$C$14,'Endrunde 4'!$I24,"")))</f>
        <v/>
      </c>
      <c r="AA24" s="653">
        <f t="shared" ca="1" si="8"/>
        <v>100022</v>
      </c>
      <c r="AB24" s="679">
        <f t="shared" ca="1" si="9"/>
        <v>100023</v>
      </c>
      <c r="AC24" s="656">
        <f ca="1">IF(AE24="",99999,'Endrunde 4'!$D24)</f>
        <v>99999</v>
      </c>
      <c r="AD24" s="335" t="str">
        <f ca="1">IF(AE24="","",'Endrunde 4'!$E24)</f>
        <v/>
      </c>
      <c r="AE24" s="336" t="str">
        <f ca="1">IF($C$19="","",IF('Endrunde 4'!$I24=$C$19,'Endrunde 4'!$K24,IF('Endrunde 4'!$K24=$C$19,'Endrunde 4'!$I24,"")))</f>
        <v/>
      </c>
      <c r="AF24" s="653">
        <f t="shared" ca="1" si="10"/>
        <v>100022</v>
      </c>
      <c r="AG24" s="679">
        <f t="shared" ca="1" si="11"/>
        <v>100023</v>
      </c>
      <c r="AH24" s="656">
        <f ca="1">IF(AJ24="",99999,'Endrunde 4'!$D24)</f>
        <v>99999</v>
      </c>
      <c r="AI24" s="335" t="str">
        <f ca="1">IF(AJ24="","",'Endrunde 4'!$E24)</f>
        <v/>
      </c>
      <c r="AJ24" s="336" t="str">
        <f ca="1">IF($C$24="","",IF('Endrunde 4'!$I24=$C$24,'Endrunde 4'!$K24,IF('Endrunde 4'!$K24=$C$24,'Endrunde 4'!$I24,"")))</f>
        <v/>
      </c>
      <c r="AK24" s="653">
        <f t="shared" ca="1" si="12"/>
        <v>100022</v>
      </c>
      <c r="AL24" s="679">
        <f t="shared" si="13"/>
        <v>100023</v>
      </c>
      <c r="AM24" s="656">
        <f>IF(AO24="",99999,'Endrunde 4'!$D24)</f>
        <v>99999</v>
      </c>
      <c r="AN24" s="335" t="str">
        <f>IF(AO24="","",'Endrunde 4'!$E24)</f>
        <v/>
      </c>
      <c r="AO24" s="336" t="str">
        <f>IF($C$29="","",IF('Endrunde 4'!$I24=$C$29,'Endrunde 4'!$K24,IF('Endrunde 4'!$K24=$C$29,'Endrunde 4'!$I24,"")))</f>
        <v/>
      </c>
      <c r="AP24" s="653">
        <f t="shared" si="14"/>
        <v>100023</v>
      </c>
      <c r="AQ24" s="679">
        <f t="shared" ca="1" si="15"/>
        <v>100023</v>
      </c>
      <c r="AR24" s="656">
        <f ca="1">IF(AT24="",99999,'Endrunde 4'!$D24)</f>
        <v>99999</v>
      </c>
      <c r="AS24" s="335" t="str">
        <f ca="1">IF(AT24="","",'Endrunde 4'!$E24)</f>
        <v/>
      </c>
      <c r="AT24" s="336" t="str">
        <f ca="1">IF($C$34="","",IF('Endrunde 4'!$I24=$C$34,'Endrunde 4'!$K24,IF('Endrunde 4'!$K24=$C$34,'Endrunde 4'!$I24,"")))</f>
        <v/>
      </c>
      <c r="AU24" s="653">
        <f t="shared" ca="1" si="16"/>
        <v>100022</v>
      </c>
      <c r="AV24" s="679">
        <f t="shared" ca="1" si="17"/>
        <v>100023</v>
      </c>
      <c r="AW24" s="656">
        <f ca="1">IF(AY24="",99999,'Endrunde 4'!$D24)</f>
        <v>99999</v>
      </c>
      <c r="AX24" s="335" t="str">
        <f ca="1">IF(AY24="","",'Endrunde 4'!$E24)</f>
        <v/>
      </c>
      <c r="AY24" s="336" t="str">
        <f ca="1">IF($C$39="","",IF('Endrunde 4'!$I24=$C$39,'Endrunde 4'!$K24,IF('Endrunde 4'!$K24=$C$39,'Endrunde 4'!$I24,"")))</f>
        <v/>
      </c>
      <c r="AZ24" s="653">
        <f t="shared" ca="1" si="18"/>
        <v>100021</v>
      </c>
      <c r="BA24" s="679">
        <f t="shared" ca="1" si="19"/>
        <v>100023</v>
      </c>
      <c r="BB24" s="656">
        <f ca="1">IF(BD24="",99999,'Endrunde 4'!$D24)</f>
        <v>99999</v>
      </c>
      <c r="BC24" s="335" t="str">
        <f ca="1">IF(BD24="","",'Endrunde 4'!$E24)</f>
        <v/>
      </c>
      <c r="BD24" s="336" t="str">
        <f ca="1">IF($C$44="","",IF('Endrunde 4'!$I24=$C$44,'Endrunde 4'!$K24,IF('Endrunde 4'!$K24=$C$44,'Endrunde 4'!$I24,"")))</f>
        <v/>
      </c>
      <c r="BE24" s="653">
        <f t="shared" ca="1" si="20"/>
        <v>100022</v>
      </c>
      <c r="BF24" s="679">
        <f t="shared" ca="1" si="21"/>
        <v>100023</v>
      </c>
      <c r="BG24" s="656">
        <f ca="1">IF(BI24="",99999,'Endrunde 4'!$D24)</f>
        <v>99999</v>
      </c>
      <c r="BH24" s="335" t="str">
        <f ca="1">IF(BI24="","",'Endrunde 4'!$E24)</f>
        <v/>
      </c>
      <c r="BI24" s="336" t="str">
        <f ca="1">IF($C$49="","",IF('Endrunde 4'!$I24=$C$49,'Endrunde 4'!$K24,IF('Endrunde 4'!$K24=$C$49,'Endrunde 4'!$I24,"")))</f>
        <v/>
      </c>
      <c r="BJ24" s="653">
        <f t="shared" ca="1" si="22"/>
        <v>100021</v>
      </c>
      <c r="BK24" s="679">
        <f t="shared" ca="1" si="23"/>
        <v>100023</v>
      </c>
      <c r="BL24" s="656">
        <f ca="1">IF(BN24="",99999,'Endrunde 4'!$D24)</f>
        <v>99999</v>
      </c>
      <c r="BM24" s="335" t="str">
        <f ca="1">IF(BN24="","",'Endrunde 4'!$E24)</f>
        <v/>
      </c>
      <c r="BN24" s="336" t="str">
        <f ca="1">IF($C$54="","",IF('Endrunde 4'!$I24=$C$54,'Endrunde 4'!$K24,IF('Endrunde 4'!$K24=$C$54,'Endrunde 4'!$I24,"")))</f>
        <v/>
      </c>
      <c r="BO24" s="653">
        <f t="shared" ca="1" si="24"/>
        <v>100022</v>
      </c>
      <c r="BP24" s="679">
        <f t="shared" si="25"/>
        <v>100023</v>
      </c>
      <c r="BQ24" s="656">
        <f>IF(BS24="",99999,'Endrunde 4'!$D24)</f>
        <v>99999</v>
      </c>
      <c r="BR24" s="335" t="str">
        <f>IF(BS24="","",'Endrunde 4'!$E24)</f>
        <v/>
      </c>
      <c r="BS24" s="336" t="str">
        <f>IF($C$59="","",IF('Endrunde 4'!$I24=$C$59,'Endrunde 4'!$K24,IF('Endrunde 4'!$K24=$C$59,'Endrunde 4'!$I24,"")))</f>
        <v/>
      </c>
      <c r="BT24" s="653">
        <f t="shared" si="26"/>
        <v>100023</v>
      </c>
    </row>
    <row r="25" spans="2:72" ht="15.95" customHeight="1" x14ac:dyDescent="0.2">
      <c r="E25" s="674">
        <f ca="1">IF($AK$12&lt;99999,INDEX($L$12:$L$29,MATCH($AK$12,$AG$12:$AG$29,0)),"")</f>
        <v>23</v>
      </c>
      <c r="F25" s="665">
        <f ca="1">IF($AK$12&lt;99999,VLOOKUP($AK$12,$AG$12:$AJ$29,2,0),"")</f>
        <v>0.49652777777777779</v>
      </c>
      <c r="G25" s="666">
        <f ca="1">IF($AK$12&lt;99999,VLOOKUP($AK$12,$AG$12:$AJ$29,3,0),"")</f>
        <v>3</v>
      </c>
      <c r="H25" s="667" t="str">
        <f ca="1">IF($AK$12&lt;99999,VLOOKUP($AK$12,$AG$12:$AJ$29,4,0),"")</f>
        <v>Mainz 05</v>
      </c>
      <c r="J25" s="649">
        <f t="shared" ca="1" si="27"/>
        <v>0</v>
      </c>
      <c r="K25" s="649" t="str">
        <f ca="1">IF(J25=0,"",$C$24)</f>
        <v/>
      </c>
      <c r="L25" s="168">
        <f ca="1">'Endrunde 4'!$C25</f>
        <v>29</v>
      </c>
      <c r="M25" s="679">
        <f t="shared" ca="1" si="3"/>
        <v>100024</v>
      </c>
      <c r="N25" s="656">
        <f ca="1">IF(P25="",99999,'Endrunde 4'!$D25)</f>
        <v>99999</v>
      </c>
      <c r="O25" s="335" t="str">
        <f ca="1">IF(P25="","",'Endrunde 4'!$E25)</f>
        <v/>
      </c>
      <c r="P25" s="336" t="str">
        <f ca="1">IF($C$4="","",IF('Endrunde 4'!$I25=$C$4,'Endrunde 4'!$K25,IF('Endrunde 4'!$K25=$C$4,'Endrunde 4'!$I25,"")))</f>
        <v/>
      </c>
      <c r="Q25" s="653">
        <f t="shared" ca="1" si="4"/>
        <v>100023</v>
      </c>
      <c r="R25" s="679">
        <f t="shared" ca="1" si="5"/>
        <v>100024</v>
      </c>
      <c r="S25" s="656">
        <f ca="1">IF(U25="",99999,'Endrunde 4'!$D25)</f>
        <v>99999</v>
      </c>
      <c r="T25" s="335" t="str">
        <f ca="1">IF(U25="","",'Endrunde 4'!$E25)</f>
        <v/>
      </c>
      <c r="U25" s="336" t="str">
        <f ca="1">IF($C$9="","",IF('Endrunde 4'!$I25=$C$9,'Endrunde 4'!$K25,IF('Endrunde 4'!$K25=$C$9,'Endrunde 4'!$I25,"")))</f>
        <v/>
      </c>
      <c r="V25" s="653">
        <f t="shared" ca="1" si="6"/>
        <v>100023</v>
      </c>
      <c r="W25" s="679">
        <f t="shared" ca="1" si="7"/>
        <v>100024</v>
      </c>
      <c r="X25" s="656">
        <f ca="1">IF(Z25="",99999,'Endrunde 4'!$D25)</f>
        <v>99999</v>
      </c>
      <c r="Y25" s="335" t="str">
        <f ca="1">IF(Z25="","",'Endrunde 4'!$E25)</f>
        <v/>
      </c>
      <c r="Z25" s="336" t="str">
        <f ca="1">IF($C$14="","",IF('Endrunde 4'!$I25=$C$14,'Endrunde 4'!$K25,IF('Endrunde 4'!$K25=$C$14,'Endrunde 4'!$I25,"")))</f>
        <v/>
      </c>
      <c r="AA25" s="653">
        <f t="shared" ca="1" si="8"/>
        <v>100023</v>
      </c>
      <c r="AB25" s="679">
        <f t="shared" ca="1" si="9"/>
        <v>100024</v>
      </c>
      <c r="AC25" s="656">
        <f ca="1">IF(AE25="",99999,'Endrunde 4'!$D25)</f>
        <v>99999</v>
      </c>
      <c r="AD25" s="335" t="str">
        <f ca="1">IF(AE25="","",'Endrunde 4'!$E25)</f>
        <v/>
      </c>
      <c r="AE25" s="336" t="str">
        <f ca="1">IF($C$19="","",IF('Endrunde 4'!$I25=$C$19,'Endrunde 4'!$K25,IF('Endrunde 4'!$K25=$C$19,'Endrunde 4'!$I25,"")))</f>
        <v/>
      </c>
      <c r="AF25" s="653">
        <f t="shared" ca="1" si="10"/>
        <v>100023</v>
      </c>
      <c r="AG25" s="679">
        <f t="shared" ca="1" si="11"/>
        <v>25.545138888888889</v>
      </c>
      <c r="AH25" s="656">
        <f ca="1">IF(AJ25="",99999,'Endrunde 4'!$D25)</f>
        <v>0.54513888888888895</v>
      </c>
      <c r="AI25" s="335">
        <f ca="1">IF(AJ25="","",'Endrunde 4'!$E25)</f>
        <v>1</v>
      </c>
      <c r="AJ25" s="336" t="str">
        <f ca="1">IF($C$24="","",IF('Endrunde 4'!$I25=$C$24,'Endrunde 4'!$K25,IF('Endrunde 4'!$K25=$C$24,'Endrunde 4'!$I25,"")))</f>
        <v>FC Grönlingen</v>
      </c>
      <c r="AK25" s="653">
        <f t="shared" ca="1" si="12"/>
        <v>100023</v>
      </c>
      <c r="AL25" s="679">
        <f t="shared" si="13"/>
        <v>100024</v>
      </c>
      <c r="AM25" s="656">
        <f>IF(AO25="",99999,'Endrunde 4'!$D25)</f>
        <v>99999</v>
      </c>
      <c r="AN25" s="335" t="str">
        <f>IF(AO25="","",'Endrunde 4'!$E25)</f>
        <v/>
      </c>
      <c r="AO25" s="336" t="str">
        <f>IF($C$29="","",IF('Endrunde 4'!$I25=$C$29,'Endrunde 4'!$K25,IF('Endrunde 4'!$K25=$C$29,'Endrunde 4'!$I25,"")))</f>
        <v/>
      </c>
      <c r="AP25" s="653">
        <f t="shared" si="14"/>
        <v>100024</v>
      </c>
      <c r="AQ25" s="679">
        <f t="shared" ca="1" si="15"/>
        <v>100024</v>
      </c>
      <c r="AR25" s="656">
        <f ca="1">IF(AT25="",99999,'Endrunde 4'!$D25)</f>
        <v>99999</v>
      </c>
      <c r="AS25" s="335" t="str">
        <f ca="1">IF(AT25="","",'Endrunde 4'!$E25)</f>
        <v/>
      </c>
      <c r="AT25" s="336" t="str">
        <f ca="1">IF($C$34="","",IF('Endrunde 4'!$I25=$C$34,'Endrunde 4'!$K25,IF('Endrunde 4'!$K25=$C$34,'Endrunde 4'!$I25,"")))</f>
        <v/>
      </c>
      <c r="AU25" s="653">
        <f t="shared" ca="1" si="16"/>
        <v>100023</v>
      </c>
      <c r="AV25" s="679">
        <f t="shared" ca="1" si="17"/>
        <v>100024</v>
      </c>
      <c r="AW25" s="656">
        <f ca="1">IF(AY25="",99999,'Endrunde 4'!$D25)</f>
        <v>99999</v>
      </c>
      <c r="AX25" s="335" t="str">
        <f ca="1">IF(AY25="","",'Endrunde 4'!$E25)</f>
        <v/>
      </c>
      <c r="AY25" s="336" t="str">
        <f ca="1">IF($C$39="","",IF('Endrunde 4'!$I25=$C$39,'Endrunde 4'!$K25,IF('Endrunde 4'!$K25=$C$39,'Endrunde 4'!$I25,"")))</f>
        <v/>
      </c>
      <c r="AZ25" s="653">
        <f t="shared" ca="1" si="18"/>
        <v>100023</v>
      </c>
      <c r="BA25" s="679">
        <f t="shared" ca="1" si="19"/>
        <v>100024</v>
      </c>
      <c r="BB25" s="656">
        <f ca="1">IF(BD25="",99999,'Endrunde 4'!$D25)</f>
        <v>99999</v>
      </c>
      <c r="BC25" s="335" t="str">
        <f ca="1">IF(BD25="","",'Endrunde 4'!$E25)</f>
        <v/>
      </c>
      <c r="BD25" s="336" t="str">
        <f ca="1">IF($C$44="","",IF('Endrunde 4'!$I25=$C$44,'Endrunde 4'!$K25,IF('Endrunde 4'!$K25=$C$44,'Endrunde 4'!$I25,"")))</f>
        <v/>
      </c>
      <c r="BE25" s="653">
        <f t="shared" ca="1" si="20"/>
        <v>100023</v>
      </c>
      <c r="BF25" s="679">
        <f t="shared" ca="1" si="21"/>
        <v>100024</v>
      </c>
      <c r="BG25" s="656">
        <f ca="1">IF(BI25="",99999,'Endrunde 4'!$D25)</f>
        <v>99999</v>
      </c>
      <c r="BH25" s="335" t="str">
        <f ca="1">IF(BI25="","",'Endrunde 4'!$E25)</f>
        <v/>
      </c>
      <c r="BI25" s="336" t="str">
        <f ca="1">IF($C$49="","",IF('Endrunde 4'!$I25=$C$49,'Endrunde 4'!$K25,IF('Endrunde 4'!$K25=$C$49,'Endrunde 4'!$I25,"")))</f>
        <v/>
      </c>
      <c r="BJ25" s="653">
        <f t="shared" ca="1" si="22"/>
        <v>100023</v>
      </c>
      <c r="BK25" s="679">
        <f t="shared" ca="1" si="23"/>
        <v>25.545138888888889</v>
      </c>
      <c r="BL25" s="656">
        <f ca="1">IF(BN25="",99999,'Endrunde 4'!$D25)</f>
        <v>0.54513888888888895</v>
      </c>
      <c r="BM25" s="335">
        <f ca="1">IF(BN25="","",'Endrunde 4'!$E25)</f>
        <v>1</v>
      </c>
      <c r="BN25" s="336" t="str">
        <f ca="1">IF($C$54="","",IF('Endrunde 4'!$I25=$C$54,'Endrunde 4'!$K25,IF('Endrunde 4'!$K25=$C$54,'Endrunde 4'!$I25,"")))</f>
        <v>VFB Essenheim</v>
      </c>
      <c r="BO25" s="653">
        <f t="shared" ca="1" si="24"/>
        <v>100023</v>
      </c>
      <c r="BP25" s="679">
        <f t="shared" si="25"/>
        <v>100024</v>
      </c>
      <c r="BQ25" s="656">
        <f>IF(BS25="",99999,'Endrunde 4'!$D25)</f>
        <v>99999</v>
      </c>
      <c r="BR25" s="335" t="str">
        <f>IF(BS25="","",'Endrunde 4'!$E25)</f>
        <v/>
      </c>
      <c r="BS25" s="336" t="str">
        <f>IF($C$59="","",IF('Endrunde 4'!$I25=$C$59,'Endrunde 4'!$K25,IF('Endrunde 4'!$K25=$C$59,'Endrunde 4'!$I25,"")))</f>
        <v/>
      </c>
      <c r="BT25" s="653">
        <f t="shared" si="26"/>
        <v>100024</v>
      </c>
    </row>
    <row r="26" spans="2:72" ht="15.95" customHeight="1" x14ac:dyDescent="0.2">
      <c r="E26" s="674">
        <f ca="1">IF($AK$13&lt;99999,INDEX($L$12:$L$29,MATCH($AK$13,$AG$12:$AG$29,0)),"")</f>
        <v>25</v>
      </c>
      <c r="F26" s="668">
        <f ca="1">IF($AK$13&lt;99999,VLOOKUP($AK$13,$AG$12:$AJ$29,2,0),"")</f>
        <v>0.52083333333333337</v>
      </c>
      <c r="G26" s="669">
        <f ca="1">IF($AK$13&lt;99999,VLOOKUP($AK$13,$AG$12:$AJ$29,3,0),"")</f>
        <v>1</v>
      </c>
      <c r="H26" s="670" t="str">
        <f ca="1">IF($AK$13&lt;99999,VLOOKUP($AK$13,$AG$12:$AJ$29,4,0),"")</f>
        <v>1. FC Riedwald</v>
      </c>
      <c r="J26" s="649">
        <f t="shared" ca="1" si="27"/>
        <v>0</v>
      </c>
      <c r="K26" s="649" t="str">
        <f t="shared" ref="K26:K27" ca="1" si="30">IF(J26=0,"",$C$24)</f>
        <v/>
      </c>
      <c r="L26" s="168">
        <f ca="1">'Endrunde 4'!$C26</f>
        <v>30</v>
      </c>
      <c r="M26" s="679">
        <f t="shared" ca="1" si="3"/>
        <v>100025</v>
      </c>
      <c r="N26" s="656">
        <f ca="1">IF(P26="",99999,'Endrunde 4'!$D26)</f>
        <v>99999</v>
      </c>
      <c r="O26" s="335" t="str">
        <f ca="1">IF(P26="","",'Endrunde 4'!$E26)</f>
        <v/>
      </c>
      <c r="P26" s="336" t="str">
        <f ca="1">IF($C$4="","",IF('Endrunde 4'!$I26=$C$4,'Endrunde 4'!$K26,IF('Endrunde 4'!$K26=$C$4,'Endrunde 4'!$I26,"")))</f>
        <v/>
      </c>
      <c r="Q26" s="653">
        <f t="shared" ca="1" si="4"/>
        <v>100024</v>
      </c>
      <c r="R26" s="679">
        <f t="shared" ca="1" si="5"/>
        <v>100025</v>
      </c>
      <c r="S26" s="656">
        <f ca="1">IF(U26="",99999,'Endrunde 4'!$D26)</f>
        <v>99999</v>
      </c>
      <c r="T26" s="335" t="str">
        <f ca="1">IF(U26="","",'Endrunde 4'!$E26)</f>
        <v/>
      </c>
      <c r="U26" s="336" t="str">
        <f ca="1">IF($C$9="","",IF('Endrunde 4'!$I26=$C$9,'Endrunde 4'!$K26,IF('Endrunde 4'!$K26=$C$9,'Endrunde 4'!$I26,"")))</f>
        <v/>
      </c>
      <c r="V26" s="653">
        <f t="shared" ca="1" si="6"/>
        <v>100024</v>
      </c>
      <c r="W26" s="679">
        <f t="shared" ca="1" si="7"/>
        <v>26.545138888888889</v>
      </c>
      <c r="X26" s="656">
        <f ca="1">IF(Z26="",99999,'Endrunde 4'!$D26)</f>
        <v>0.54513888888888895</v>
      </c>
      <c r="Y26" s="335">
        <f ca="1">IF(Z26="","",'Endrunde 4'!$E26)</f>
        <v>2</v>
      </c>
      <c r="Z26" s="336" t="str">
        <f ca="1">IF($C$14="","",IF('Endrunde 4'!$I26=$C$14,'Endrunde 4'!$K26,IF('Endrunde 4'!$K26=$C$14,'Endrunde 4'!$I26,"")))</f>
        <v>Inter Mailand</v>
      </c>
      <c r="AA26" s="653">
        <f t="shared" ca="1" si="8"/>
        <v>100024</v>
      </c>
      <c r="AB26" s="679">
        <f t="shared" ca="1" si="9"/>
        <v>100025</v>
      </c>
      <c r="AC26" s="656">
        <f ca="1">IF(AE26="",99999,'Endrunde 4'!$D26)</f>
        <v>99999</v>
      </c>
      <c r="AD26" s="335" t="str">
        <f ca="1">IF(AE26="","",'Endrunde 4'!$E26)</f>
        <v/>
      </c>
      <c r="AE26" s="336" t="str">
        <f ca="1">IF($C$19="","",IF('Endrunde 4'!$I26=$C$19,'Endrunde 4'!$K26,IF('Endrunde 4'!$K26=$C$19,'Endrunde 4'!$I26,"")))</f>
        <v/>
      </c>
      <c r="AF26" s="653">
        <f t="shared" ca="1" si="10"/>
        <v>100024</v>
      </c>
      <c r="AG26" s="679">
        <f t="shared" ca="1" si="11"/>
        <v>100025</v>
      </c>
      <c r="AH26" s="656">
        <f ca="1">IF(AJ26="",99999,'Endrunde 4'!$D26)</f>
        <v>99999</v>
      </c>
      <c r="AI26" s="335" t="str">
        <f ca="1">IF(AJ26="","",'Endrunde 4'!$E26)</f>
        <v/>
      </c>
      <c r="AJ26" s="336" t="str">
        <f ca="1">IF($C$24="","",IF('Endrunde 4'!$I26=$C$24,'Endrunde 4'!$K26,IF('Endrunde 4'!$K26=$C$24,'Endrunde 4'!$I26,"")))</f>
        <v/>
      </c>
      <c r="AK26" s="653">
        <f t="shared" ca="1" si="12"/>
        <v>100025</v>
      </c>
      <c r="AL26" s="679">
        <f t="shared" si="13"/>
        <v>100025</v>
      </c>
      <c r="AM26" s="656">
        <f>IF(AO26="",99999,'Endrunde 4'!$D26)</f>
        <v>99999</v>
      </c>
      <c r="AN26" s="335" t="str">
        <f>IF(AO26="","",'Endrunde 4'!$E26)</f>
        <v/>
      </c>
      <c r="AO26" s="336" t="str">
        <f>IF($C$29="","",IF('Endrunde 4'!$I26=$C$29,'Endrunde 4'!$K26,IF('Endrunde 4'!$K26=$C$29,'Endrunde 4'!$I26,"")))</f>
        <v/>
      </c>
      <c r="AP26" s="653">
        <f t="shared" si="14"/>
        <v>100025</v>
      </c>
      <c r="AQ26" s="679">
        <f t="shared" ca="1" si="15"/>
        <v>100025</v>
      </c>
      <c r="AR26" s="656">
        <f ca="1">IF(AT26="",99999,'Endrunde 4'!$D26)</f>
        <v>99999</v>
      </c>
      <c r="AS26" s="335" t="str">
        <f ca="1">IF(AT26="","",'Endrunde 4'!$E26)</f>
        <v/>
      </c>
      <c r="AT26" s="336" t="str">
        <f ca="1">IF($C$34="","",IF('Endrunde 4'!$I26=$C$34,'Endrunde 4'!$K26,IF('Endrunde 4'!$K26=$C$34,'Endrunde 4'!$I26,"")))</f>
        <v/>
      </c>
      <c r="AU26" s="653">
        <f t="shared" ca="1" si="16"/>
        <v>100024</v>
      </c>
      <c r="AV26" s="679">
        <f t="shared" ca="1" si="17"/>
        <v>26.545138888888889</v>
      </c>
      <c r="AW26" s="656">
        <f ca="1">IF(AY26="",99999,'Endrunde 4'!$D26)</f>
        <v>0.54513888888888895</v>
      </c>
      <c r="AX26" s="335">
        <f ca="1">IF(AY26="","",'Endrunde 4'!$E26)</f>
        <v>2</v>
      </c>
      <c r="AY26" s="336" t="str">
        <f ca="1">IF($C$39="","",IF('Endrunde 4'!$I26=$C$39,'Endrunde 4'!$K26,IF('Endrunde 4'!$K26=$C$39,'Endrunde 4'!$I26,"")))</f>
        <v>Eintracht Frankfurt</v>
      </c>
      <c r="AZ26" s="653">
        <f t="shared" ca="1" si="18"/>
        <v>100024</v>
      </c>
      <c r="BA26" s="679">
        <f t="shared" ca="1" si="19"/>
        <v>100025</v>
      </c>
      <c r="BB26" s="656">
        <f ca="1">IF(BD26="",99999,'Endrunde 4'!$D26)</f>
        <v>99999</v>
      </c>
      <c r="BC26" s="335" t="str">
        <f ca="1">IF(BD26="","",'Endrunde 4'!$E26)</f>
        <v/>
      </c>
      <c r="BD26" s="336" t="str">
        <f ca="1">IF($C$44="","",IF('Endrunde 4'!$I26=$C$44,'Endrunde 4'!$K26,IF('Endrunde 4'!$K26=$C$44,'Endrunde 4'!$I26,"")))</f>
        <v/>
      </c>
      <c r="BE26" s="653">
        <f t="shared" ca="1" si="20"/>
        <v>100024</v>
      </c>
      <c r="BF26" s="679">
        <f t="shared" ca="1" si="21"/>
        <v>100025</v>
      </c>
      <c r="BG26" s="656">
        <f ca="1">IF(BI26="",99999,'Endrunde 4'!$D26)</f>
        <v>99999</v>
      </c>
      <c r="BH26" s="335" t="str">
        <f ca="1">IF(BI26="","",'Endrunde 4'!$E26)</f>
        <v/>
      </c>
      <c r="BI26" s="336" t="str">
        <f ca="1">IF($C$49="","",IF('Endrunde 4'!$I26=$C$49,'Endrunde 4'!$K26,IF('Endrunde 4'!$K26=$C$49,'Endrunde 4'!$I26,"")))</f>
        <v/>
      </c>
      <c r="BJ26" s="653">
        <f t="shared" ca="1" si="22"/>
        <v>100024</v>
      </c>
      <c r="BK26" s="679">
        <f t="shared" ca="1" si="23"/>
        <v>100025</v>
      </c>
      <c r="BL26" s="656">
        <f ca="1">IF(BN26="",99999,'Endrunde 4'!$D26)</f>
        <v>99999</v>
      </c>
      <c r="BM26" s="335" t="str">
        <f ca="1">IF(BN26="","",'Endrunde 4'!$E26)</f>
        <v/>
      </c>
      <c r="BN26" s="336" t="str">
        <f ca="1">IF($C$54="","",IF('Endrunde 4'!$I26=$C$54,'Endrunde 4'!$K26,IF('Endrunde 4'!$K26=$C$54,'Endrunde 4'!$I26,"")))</f>
        <v/>
      </c>
      <c r="BO26" s="653">
        <f t="shared" ca="1" si="24"/>
        <v>100025</v>
      </c>
      <c r="BP26" s="679">
        <f t="shared" si="25"/>
        <v>100025</v>
      </c>
      <c r="BQ26" s="656">
        <f>IF(BS26="",99999,'Endrunde 4'!$D26)</f>
        <v>99999</v>
      </c>
      <c r="BR26" s="335" t="str">
        <f>IF(BS26="","",'Endrunde 4'!$E26)</f>
        <v/>
      </c>
      <c r="BS26" s="336" t="str">
        <f>IF($C$59="","",IF('Endrunde 4'!$I26=$C$59,'Endrunde 4'!$K26,IF('Endrunde 4'!$K26=$C$59,'Endrunde 4'!$I26,"")))</f>
        <v/>
      </c>
      <c r="BT26" s="653">
        <f t="shared" si="26"/>
        <v>100025</v>
      </c>
    </row>
    <row r="27" spans="2:72" ht="15.95" customHeight="1" thickBot="1" x14ac:dyDescent="0.25">
      <c r="E27" s="675">
        <f ca="1">IF($AK$14&lt;99999,INDEX($L$12:$L$29,MATCH($AK$14,$AG$12:$AG$29,0)),"")</f>
        <v>29</v>
      </c>
      <c r="F27" s="671">
        <f ca="1">IF($AK$14&lt;99999,VLOOKUP($AK$14,$AG$12:$AJ$29,2,0),"")</f>
        <v>0.54513888888888895</v>
      </c>
      <c r="G27" s="672">
        <f ca="1">IF($AK$14&lt;99999,VLOOKUP($AK$14,$AG$12:$AJ$29,3,0),"")</f>
        <v>1</v>
      </c>
      <c r="H27" s="673" t="str">
        <f ca="1">IF($AK$14&lt;99999,VLOOKUP($AK$14,$AG$12:$AJ$29,4,0),"")</f>
        <v>FC Grönlingen</v>
      </c>
      <c r="J27" s="649">
        <f t="shared" ca="1" si="27"/>
        <v>0</v>
      </c>
      <c r="K27" s="649" t="str">
        <f t="shared" ca="1" si="30"/>
        <v/>
      </c>
      <c r="L27" s="168">
        <f ca="1">'Endrunde 4'!$C27</f>
        <v>31</v>
      </c>
      <c r="M27" s="679">
        <f t="shared" ca="1" si="3"/>
        <v>100026</v>
      </c>
      <c r="N27" s="656">
        <f ca="1">IF(P27="",99999,'Endrunde 4'!$D27)</f>
        <v>99999</v>
      </c>
      <c r="O27" s="335" t="str">
        <f ca="1">IF(P27="","",'Endrunde 4'!$E27)</f>
        <v/>
      </c>
      <c r="P27" s="336" t="str">
        <f ca="1">IF($C$4="","",IF('Endrunde 4'!$I27=$C$4,'Endrunde 4'!$K27,IF('Endrunde 4'!$K27=$C$4,'Endrunde 4'!$I27,"")))</f>
        <v/>
      </c>
      <c r="Q27" s="653">
        <f t="shared" ca="1" si="4"/>
        <v>100025</v>
      </c>
      <c r="R27" s="679">
        <f t="shared" ca="1" si="5"/>
        <v>100026</v>
      </c>
      <c r="S27" s="656">
        <f ca="1">IF(U27="",99999,'Endrunde 4'!$D27)</f>
        <v>99999</v>
      </c>
      <c r="T27" s="335" t="str">
        <f ca="1">IF(U27="","",'Endrunde 4'!$E27)</f>
        <v/>
      </c>
      <c r="U27" s="336" t="str">
        <f ca="1">IF($C$9="","",IF('Endrunde 4'!$I27=$C$9,'Endrunde 4'!$K27,IF('Endrunde 4'!$K27=$C$9,'Endrunde 4'!$I27,"")))</f>
        <v/>
      </c>
      <c r="V27" s="653">
        <f t="shared" ca="1" si="6"/>
        <v>100025</v>
      </c>
      <c r="W27" s="679">
        <f t="shared" ca="1" si="7"/>
        <v>100026</v>
      </c>
      <c r="X27" s="656">
        <f ca="1">IF(Z27="",99999,'Endrunde 4'!$D27)</f>
        <v>99999</v>
      </c>
      <c r="Y27" s="335" t="str">
        <f ca="1">IF(Z27="","",'Endrunde 4'!$E27)</f>
        <v/>
      </c>
      <c r="Z27" s="336" t="str">
        <f ca="1">IF($C$14="","",IF('Endrunde 4'!$I27=$C$14,'Endrunde 4'!$K27,IF('Endrunde 4'!$K27=$C$14,'Endrunde 4'!$I27,"")))</f>
        <v/>
      </c>
      <c r="AA27" s="653">
        <f t="shared" ca="1" si="8"/>
        <v>100026</v>
      </c>
      <c r="AB27" s="679">
        <f t="shared" ca="1" si="9"/>
        <v>27.545138888888889</v>
      </c>
      <c r="AC27" s="656">
        <f ca="1">IF(AE27="",99999,'Endrunde 4'!$D27)</f>
        <v>0.54513888888888895</v>
      </c>
      <c r="AD27" s="335">
        <f ca="1">IF(AE27="","",'Endrunde 4'!$E27)</f>
        <v>3</v>
      </c>
      <c r="AE27" s="336" t="str">
        <f ca="1">IF($C$19="","",IF('Endrunde 4'!$I27=$C$19,'Endrunde 4'!$K27,IF('Endrunde 4'!$K27=$C$19,'Endrunde 4'!$I27,"")))</f>
        <v>SSV Wildbach</v>
      </c>
      <c r="AF27" s="653">
        <f t="shared" ca="1" si="10"/>
        <v>100025</v>
      </c>
      <c r="AG27" s="679">
        <f t="shared" ca="1" si="11"/>
        <v>100026</v>
      </c>
      <c r="AH27" s="656">
        <f ca="1">IF(AJ27="",99999,'Endrunde 4'!$D27)</f>
        <v>99999</v>
      </c>
      <c r="AI27" s="335" t="str">
        <f ca="1">IF(AJ27="","",'Endrunde 4'!$E27)</f>
        <v/>
      </c>
      <c r="AJ27" s="336" t="str">
        <f ca="1">IF($C$24="","",IF('Endrunde 4'!$I27=$C$24,'Endrunde 4'!$K27,IF('Endrunde 4'!$K27=$C$24,'Endrunde 4'!$I27,"")))</f>
        <v/>
      </c>
      <c r="AK27" s="653">
        <f t="shared" ca="1" si="12"/>
        <v>100026</v>
      </c>
      <c r="AL27" s="679">
        <f t="shared" si="13"/>
        <v>100026</v>
      </c>
      <c r="AM27" s="656">
        <f>IF(AO27="",99999,'Endrunde 4'!$D27)</f>
        <v>99999</v>
      </c>
      <c r="AN27" s="335" t="str">
        <f>IF(AO27="","",'Endrunde 4'!$E27)</f>
        <v/>
      </c>
      <c r="AO27" s="336" t="str">
        <f>IF($C$29="","",IF('Endrunde 4'!$I27=$C$29,'Endrunde 4'!$K27,IF('Endrunde 4'!$K27=$C$29,'Endrunde 4'!$I27,"")))</f>
        <v/>
      </c>
      <c r="AP27" s="653">
        <f t="shared" si="14"/>
        <v>100026</v>
      </c>
      <c r="AQ27" s="679">
        <f t="shared" ca="1" si="15"/>
        <v>100026</v>
      </c>
      <c r="AR27" s="656">
        <f ca="1">IF(AT27="",99999,'Endrunde 4'!$D27)</f>
        <v>99999</v>
      </c>
      <c r="AS27" s="335" t="str">
        <f ca="1">IF(AT27="","",'Endrunde 4'!$E27)</f>
        <v/>
      </c>
      <c r="AT27" s="336" t="str">
        <f ca="1">IF($C$34="","",IF('Endrunde 4'!$I27=$C$34,'Endrunde 4'!$K27,IF('Endrunde 4'!$K27=$C$34,'Endrunde 4'!$I27,"")))</f>
        <v/>
      </c>
      <c r="AU27" s="653">
        <f t="shared" ca="1" si="16"/>
        <v>100025</v>
      </c>
      <c r="AV27" s="679">
        <f t="shared" ca="1" si="17"/>
        <v>100026</v>
      </c>
      <c r="AW27" s="656">
        <f ca="1">IF(AY27="",99999,'Endrunde 4'!$D27)</f>
        <v>99999</v>
      </c>
      <c r="AX27" s="335" t="str">
        <f ca="1">IF(AY27="","",'Endrunde 4'!$E27)</f>
        <v/>
      </c>
      <c r="AY27" s="336" t="str">
        <f ca="1">IF($C$39="","",IF('Endrunde 4'!$I27=$C$39,'Endrunde 4'!$K27,IF('Endrunde 4'!$K27=$C$39,'Endrunde 4'!$I27,"")))</f>
        <v/>
      </c>
      <c r="AZ27" s="653">
        <f t="shared" ca="1" si="18"/>
        <v>100026</v>
      </c>
      <c r="BA27" s="679">
        <f t="shared" ca="1" si="19"/>
        <v>27.545138888888889</v>
      </c>
      <c r="BB27" s="656">
        <f ca="1">IF(BD27="",99999,'Endrunde 4'!$D27)</f>
        <v>0.54513888888888895</v>
      </c>
      <c r="BC27" s="335">
        <f ca="1">IF(BD27="","",'Endrunde 4'!$E27)</f>
        <v>3</v>
      </c>
      <c r="BD27" s="336" t="str">
        <f ca="1">IF($C$44="","",IF('Endrunde 4'!$I27=$C$44,'Endrunde 4'!$K27,IF('Endrunde 4'!$K27=$C$44,'Endrunde 4'!$I27,"")))</f>
        <v>Maibach 1822 eV</v>
      </c>
      <c r="BE27" s="653">
        <f t="shared" ca="1" si="20"/>
        <v>100025</v>
      </c>
      <c r="BF27" s="679">
        <f t="shared" ca="1" si="21"/>
        <v>100026</v>
      </c>
      <c r="BG27" s="656">
        <f ca="1">IF(BI27="",99999,'Endrunde 4'!$D27)</f>
        <v>99999</v>
      </c>
      <c r="BH27" s="335" t="str">
        <f ca="1">IF(BI27="","",'Endrunde 4'!$E27)</f>
        <v/>
      </c>
      <c r="BI27" s="336" t="str">
        <f ca="1">IF($C$49="","",IF('Endrunde 4'!$I27=$C$49,'Endrunde 4'!$K27,IF('Endrunde 4'!$K27=$C$49,'Endrunde 4'!$I27,"")))</f>
        <v/>
      </c>
      <c r="BJ27" s="653">
        <f t="shared" ca="1" si="22"/>
        <v>100025</v>
      </c>
      <c r="BK27" s="679">
        <f t="shared" ca="1" si="23"/>
        <v>100026</v>
      </c>
      <c r="BL27" s="656">
        <f ca="1">IF(BN27="",99999,'Endrunde 4'!$D27)</f>
        <v>99999</v>
      </c>
      <c r="BM27" s="335" t="str">
        <f ca="1">IF(BN27="","",'Endrunde 4'!$E27)</f>
        <v/>
      </c>
      <c r="BN27" s="336" t="str">
        <f ca="1">IF($C$54="","",IF('Endrunde 4'!$I27=$C$54,'Endrunde 4'!$K27,IF('Endrunde 4'!$K27=$C$54,'Endrunde 4'!$I27,"")))</f>
        <v/>
      </c>
      <c r="BO27" s="653">
        <f t="shared" ca="1" si="24"/>
        <v>100026</v>
      </c>
      <c r="BP27" s="679">
        <f t="shared" si="25"/>
        <v>100026</v>
      </c>
      <c r="BQ27" s="656">
        <f>IF(BS27="",99999,'Endrunde 4'!$D27)</f>
        <v>99999</v>
      </c>
      <c r="BR27" s="335" t="str">
        <f>IF(BS27="","",'Endrunde 4'!$E27)</f>
        <v/>
      </c>
      <c r="BS27" s="336" t="str">
        <f>IF($C$59="","",IF('Endrunde 4'!$I27=$C$59,'Endrunde 4'!$K27,IF('Endrunde 4'!$K27=$C$59,'Endrunde 4'!$I27,"")))</f>
        <v/>
      </c>
      <c r="BT27" s="653">
        <f t="shared" si="26"/>
        <v>100026</v>
      </c>
    </row>
    <row r="28" spans="2:72" ht="30" customHeight="1" thickBot="1" x14ac:dyDescent="0.25">
      <c r="J28" s="649">
        <f t="shared" ca="1" si="27"/>
        <v>0</v>
      </c>
      <c r="L28" s="168">
        <f ca="1">'Endrunde 4'!$C28</f>
        <v>32</v>
      </c>
      <c r="M28" s="679">
        <f t="shared" ca="1" si="3"/>
        <v>28.545138888888889</v>
      </c>
      <c r="N28" s="656">
        <f ca="1">IF(P28="",99999,'Endrunde 4'!$D28)</f>
        <v>0.54513888888888895</v>
      </c>
      <c r="O28" s="335">
        <f ca="1">IF(P28="","",'Endrunde 4'!$E28)</f>
        <v>4</v>
      </c>
      <c r="P28" s="336" t="str">
        <f ca="1">IF($C$4="","",IF('Endrunde 4'!$I28=$C$4,'Endrunde 4'!$K28,IF('Endrunde 4'!$K28=$C$4,'Endrunde 4'!$I28,"")))</f>
        <v>Mainz 05</v>
      </c>
      <c r="Q28" s="653">
        <f t="shared" ca="1" si="4"/>
        <v>100026</v>
      </c>
      <c r="R28" s="679">
        <f t="shared" ca="1" si="5"/>
        <v>100027</v>
      </c>
      <c r="S28" s="656">
        <f ca="1">IF(U28="",99999,'Endrunde 4'!$D28)</f>
        <v>99999</v>
      </c>
      <c r="T28" s="335" t="str">
        <f ca="1">IF(U28="","",'Endrunde 4'!$E28)</f>
        <v/>
      </c>
      <c r="U28" s="336" t="str">
        <f ca="1">IF($C$9="","",IF('Endrunde 4'!$I28=$C$9,'Endrunde 4'!$K28,IF('Endrunde 4'!$K28=$C$9,'Endrunde 4'!$I28,"")))</f>
        <v/>
      </c>
      <c r="V28" s="653">
        <f t="shared" ca="1" si="6"/>
        <v>100026</v>
      </c>
      <c r="W28" s="679">
        <f t="shared" ca="1" si="7"/>
        <v>100027</v>
      </c>
      <c r="X28" s="656">
        <f ca="1">IF(Z28="",99999,'Endrunde 4'!$D28)</f>
        <v>99999</v>
      </c>
      <c r="Y28" s="335" t="str">
        <f ca="1">IF(Z28="","",'Endrunde 4'!$E28)</f>
        <v/>
      </c>
      <c r="Z28" s="336" t="str">
        <f ca="1">IF($C$14="","",IF('Endrunde 4'!$I28=$C$14,'Endrunde 4'!$K28,IF('Endrunde 4'!$K28=$C$14,'Endrunde 4'!$I28,"")))</f>
        <v/>
      </c>
      <c r="AA28" s="653">
        <f t="shared" ca="1" si="8"/>
        <v>100027</v>
      </c>
      <c r="AB28" s="679">
        <f t="shared" ca="1" si="9"/>
        <v>100027</v>
      </c>
      <c r="AC28" s="656">
        <f ca="1">IF(AE28="",99999,'Endrunde 4'!$D28)</f>
        <v>99999</v>
      </c>
      <c r="AD28" s="335" t="str">
        <f ca="1">IF(AE28="","",'Endrunde 4'!$E28)</f>
        <v/>
      </c>
      <c r="AE28" s="336" t="str">
        <f ca="1">IF($C$19="","",IF('Endrunde 4'!$I28=$C$19,'Endrunde 4'!$K28,IF('Endrunde 4'!$K28=$C$19,'Endrunde 4'!$I28,"")))</f>
        <v/>
      </c>
      <c r="AF28" s="653">
        <f t="shared" ca="1" si="10"/>
        <v>100027</v>
      </c>
      <c r="AG28" s="679">
        <f t="shared" ca="1" si="11"/>
        <v>100027</v>
      </c>
      <c r="AH28" s="656">
        <f ca="1">IF(AJ28="",99999,'Endrunde 4'!$D28)</f>
        <v>99999</v>
      </c>
      <c r="AI28" s="335" t="str">
        <f ca="1">IF(AJ28="","",'Endrunde 4'!$E28)</f>
        <v/>
      </c>
      <c r="AJ28" s="336" t="str">
        <f ca="1">IF($C$24="","",IF('Endrunde 4'!$I28=$C$24,'Endrunde 4'!$K28,IF('Endrunde 4'!$K28=$C$24,'Endrunde 4'!$I28,"")))</f>
        <v/>
      </c>
      <c r="AK28" s="653">
        <f t="shared" ca="1" si="12"/>
        <v>100027</v>
      </c>
      <c r="AL28" s="679">
        <f t="shared" si="13"/>
        <v>100027</v>
      </c>
      <c r="AM28" s="656">
        <f>IF(AO28="",99999,'Endrunde 4'!$D28)</f>
        <v>99999</v>
      </c>
      <c r="AN28" s="335" t="str">
        <f>IF(AO28="","",'Endrunde 4'!$E28)</f>
        <v/>
      </c>
      <c r="AO28" s="336" t="str">
        <f>IF($C$29="","",IF('Endrunde 4'!$I28=$C$29,'Endrunde 4'!$K28,IF('Endrunde 4'!$K28=$C$29,'Endrunde 4'!$I28,"")))</f>
        <v/>
      </c>
      <c r="AP28" s="653">
        <f t="shared" si="14"/>
        <v>100027</v>
      </c>
      <c r="AQ28" s="679">
        <f t="shared" ca="1" si="15"/>
        <v>28.545138888888889</v>
      </c>
      <c r="AR28" s="656">
        <f ca="1">IF(AT28="",99999,'Endrunde 4'!$D28)</f>
        <v>0.54513888888888895</v>
      </c>
      <c r="AS28" s="335">
        <f ca="1">IF(AT28="","",'Endrunde 4'!$E28)</f>
        <v>4</v>
      </c>
      <c r="AT28" s="336" t="str">
        <f ca="1">IF($C$34="","",IF('Endrunde 4'!$I28=$C$34,'Endrunde 4'!$K28,IF('Endrunde 4'!$K28=$C$34,'Endrunde 4'!$I28,"")))</f>
        <v>1. FC Riedwald</v>
      </c>
      <c r="AU28" s="653">
        <f t="shared" ca="1" si="16"/>
        <v>100026</v>
      </c>
      <c r="AV28" s="679">
        <f t="shared" ca="1" si="17"/>
        <v>100027</v>
      </c>
      <c r="AW28" s="656">
        <f ca="1">IF(AY28="",99999,'Endrunde 4'!$D28)</f>
        <v>99999</v>
      </c>
      <c r="AX28" s="335" t="str">
        <f ca="1">IF(AY28="","",'Endrunde 4'!$E28)</f>
        <v/>
      </c>
      <c r="AY28" s="336" t="str">
        <f ca="1">IF($C$39="","",IF('Endrunde 4'!$I28=$C$39,'Endrunde 4'!$K28,IF('Endrunde 4'!$K28=$C$39,'Endrunde 4'!$I28,"")))</f>
        <v/>
      </c>
      <c r="AZ28" s="653">
        <f t="shared" ca="1" si="18"/>
        <v>100027</v>
      </c>
      <c r="BA28" s="679">
        <f t="shared" ca="1" si="19"/>
        <v>100027</v>
      </c>
      <c r="BB28" s="656">
        <f ca="1">IF(BD28="",99999,'Endrunde 4'!$D28)</f>
        <v>99999</v>
      </c>
      <c r="BC28" s="335" t="str">
        <f ca="1">IF(BD28="","",'Endrunde 4'!$E28)</f>
        <v/>
      </c>
      <c r="BD28" s="336" t="str">
        <f ca="1">IF($C$44="","",IF('Endrunde 4'!$I28=$C$44,'Endrunde 4'!$K28,IF('Endrunde 4'!$K28=$C$44,'Endrunde 4'!$I28,"")))</f>
        <v/>
      </c>
      <c r="BE28" s="653">
        <f t="shared" ca="1" si="20"/>
        <v>100027</v>
      </c>
      <c r="BF28" s="679">
        <f t="shared" ca="1" si="21"/>
        <v>100027</v>
      </c>
      <c r="BG28" s="656">
        <f ca="1">IF(BI28="",99999,'Endrunde 4'!$D28)</f>
        <v>99999</v>
      </c>
      <c r="BH28" s="335" t="str">
        <f ca="1">IF(BI28="","",'Endrunde 4'!$E28)</f>
        <v/>
      </c>
      <c r="BI28" s="336" t="str">
        <f ca="1">IF($C$49="","",IF('Endrunde 4'!$I28=$C$49,'Endrunde 4'!$K28,IF('Endrunde 4'!$K28=$C$49,'Endrunde 4'!$I28,"")))</f>
        <v/>
      </c>
      <c r="BJ28" s="653">
        <f t="shared" ca="1" si="22"/>
        <v>100026</v>
      </c>
      <c r="BK28" s="679">
        <f t="shared" ca="1" si="23"/>
        <v>100027</v>
      </c>
      <c r="BL28" s="656">
        <f ca="1">IF(BN28="",99999,'Endrunde 4'!$D28)</f>
        <v>99999</v>
      </c>
      <c r="BM28" s="335" t="str">
        <f ca="1">IF(BN28="","",'Endrunde 4'!$E28)</f>
        <v/>
      </c>
      <c r="BN28" s="336" t="str">
        <f ca="1">IF($C$54="","",IF('Endrunde 4'!$I28=$C$54,'Endrunde 4'!$K28,IF('Endrunde 4'!$K28=$C$54,'Endrunde 4'!$I28,"")))</f>
        <v/>
      </c>
      <c r="BO28" s="653">
        <f t="shared" ca="1" si="24"/>
        <v>100027</v>
      </c>
      <c r="BP28" s="679">
        <f t="shared" si="25"/>
        <v>100027</v>
      </c>
      <c r="BQ28" s="656">
        <f>IF(BS28="",99999,'Endrunde 4'!$D28)</f>
        <v>99999</v>
      </c>
      <c r="BR28" s="335" t="str">
        <f>IF(BS28="","",'Endrunde 4'!$E28)</f>
        <v/>
      </c>
      <c r="BS28" s="336" t="str">
        <f>IF($C$59="","",IF('Endrunde 4'!$I28=$C$59,'Endrunde 4'!$K28,IF('Endrunde 4'!$K28=$C$59,'Endrunde 4'!$I28,"")))</f>
        <v/>
      </c>
      <c r="BT28" s="653">
        <f t="shared" si="26"/>
        <v>100027</v>
      </c>
    </row>
    <row r="29" spans="2:72" ht="15.95" customHeight="1" x14ac:dyDescent="0.2">
      <c r="B29" s="676" t="s">
        <v>216</v>
      </c>
      <c r="C29" s="677" t="str">
        <f>IF(Planung!$C$17="","",Planung!$C$17)</f>
        <v/>
      </c>
      <c r="E29" s="662" t="str">
        <f>Sprache!$E$60</f>
        <v>Spiel Nr.</v>
      </c>
      <c r="F29" s="660" t="str">
        <f>Sprache!$E$39</f>
        <v>Beginn</v>
      </c>
      <c r="G29" s="663" t="str">
        <f>Sprache!$E$48</f>
        <v>Feld</v>
      </c>
      <c r="H29" s="661" t="str">
        <f>Sprache!$E$46</f>
        <v>Spiel gegen</v>
      </c>
      <c r="J29" s="649">
        <f t="shared" si="27"/>
        <v>0</v>
      </c>
      <c r="L29" s="168">
        <f ca="1">'Endrunde 4'!$C29</f>
        <v>33</v>
      </c>
      <c r="M29" s="680">
        <f t="shared" ca="1" si="3"/>
        <v>100028</v>
      </c>
      <c r="N29" s="657">
        <f ca="1">IF(P29="",99999,'Endrunde 4'!$D29)</f>
        <v>99999</v>
      </c>
      <c r="O29" s="659" t="str">
        <f ca="1">IF(P29="","",'Endrunde 4'!$E29)</f>
        <v/>
      </c>
      <c r="P29" s="651" t="str">
        <f ca="1">IF($C$4="","",IF('Endrunde 4'!$I29=$C$4,'Endrunde 4'!$K29,IF('Endrunde 4'!$K29=$C$4,'Endrunde 4'!$I29,"")))</f>
        <v/>
      </c>
      <c r="Q29" s="654">
        <f t="shared" ca="1" si="4"/>
        <v>100028</v>
      </c>
      <c r="R29" s="680">
        <f t="shared" ca="1" si="5"/>
        <v>29.569444444444443</v>
      </c>
      <c r="S29" s="657">
        <f ca="1">IF(U29="",99999,'Endrunde 4'!$D29)</f>
        <v>0.56944444444444442</v>
      </c>
      <c r="T29" s="659">
        <f ca="1">IF(U29="","",'Endrunde 4'!$E29)</f>
        <v>1</v>
      </c>
      <c r="U29" s="651" t="str">
        <f ca="1">IF($C$9="","",IF('Endrunde 4'!$I29=$C$9,'Endrunde 4'!$K29,IF('Endrunde 4'!$K29=$C$9,'Endrunde 4'!$I29,"")))</f>
        <v>Manchester City</v>
      </c>
      <c r="V29" s="654">
        <f t="shared" ca="1" si="6"/>
        <v>100027</v>
      </c>
      <c r="W29" s="680">
        <f t="shared" ca="1" si="7"/>
        <v>100028</v>
      </c>
      <c r="X29" s="657">
        <f ca="1">IF(Z29="",99999,'Endrunde 4'!$D29)</f>
        <v>99999</v>
      </c>
      <c r="Y29" s="659" t="str">
        <f ca="1">IF(Z29="","",'Endrunde 4'!$E29)</f>
        <v/>
      </c>
      <c r="Z29" s="651" t="str">
        <f ca="1">IF($C$14="","",IF('Endrunde 4'!$I29=$C$14,'Endrunde 4'!$K29,IF('Endrunde 4'!$K29=$C$14,'Endrunde 4'!$I29,"")))</f>
        <v/>
      </c>
      <c r="AA29" s="654">
        <f t="shared" ca="1" si="8"/>
        <v>100028</v>
      </c>
      <c r="AB29" s="680">
        <f t="shared" ca="1" si="9"/>
        <v>100028</v>
      </c>
      <c r="AC29" s="657">
        <f ca="1">IF(AE29="",99999,'Endrunde 4'!$D29)</f>
        <v>99999</v>
      </c>
      <c r="AD29" s="659" t="str">
        <f ca="1">IF(AE29="","",'Endrunde 4'!$E29)</f>
        <v/>
      </c>
      <c r="AE29" s="651" t="str">
        <f ca="1">IF($C$19="","",IF('Endrunde 4'!$I29=$C$19,'Endrunde 4'!$K29,IF('Endrunde 4'!$K29=$C$19,'Endrunde 4'!$I29,"")))</f>
        <v/>
      </c>
      <c r="AF29" s="654">
        <f t="shared" ca="1" si="10"/>
        <v>100028</v>
      </c>
      <c r="AG29" s="680">
        <f t="shared" ca="1" si="11"/>
        <v>100028</v>
      </c>
      <c r="AH29" s="657">
        <f ca="1">IF(AJ29="",99999,'Endrunde 4'!$D29)</f>
        <v>99999</v>
      </c>
      <c r="AI29" s="659" t="str">
        <f ca="1">IF(AJ29="","",'Endrunde 4'!$E29)</f>
        <v/>
      </c>
      <c r="AJ29" s="651" t="str">
        <f ca="1">IF($C$24="","",IF('Endrunde 4'!$I29=$C$24,'Endrunde 4'!$K29,IF('Endrunde 4'!$K29=$C$24,'Endrunde 4'!$I29,"")))</f>
        <v/>
      </c>
      <c r="AK29" s="654">
        <f t="shared" ca="1" si="12"/>
        <v>100028</v>
      </c>
      <c r="AL29" s="680">
        <f t="shared" si="13"/>
        <v>100028</v>
      </c>
      <c r="AM29" s="657">
        <f>IF(AO29="",99999,'Endrunde 4'!$D29)</f>
        <v>99999</v>
      </c>
      <c r="AN29" s="659" t="str">
        <f>IF(AO29="","",'Endrunde 4'!$E29)</f>
        <v/>
      </c>
      <c r="AO29" s="651" t="str">
        <f>IF($C$29="","",IF('Endrunde 4'!$I29=$C$29,'Endrunde 4'!$K29,IF('Endrunde 4'!$K29=$C$29,'Endrunde 4'!$I29,"")))</f>
        <v/>
      </c>
      <c r="AP29" s="654">
        <f t="shared" si="14"/>
        <v>100028</v>
      </c>
      <c r="AQ29" s="680">
        <f t="shared" ca="1" si="15"/>
        <v>100028</v>
      </c>
      <c r="AR29" s="657">
        <f ca="1">IF(AT29="",99999,'Endrunde 4'!$D29)</f>
        <v>99999</v>
      </c>
      <c r="AS29" s="659" t="str">
        <f ca="1">IF(AT29="","",'Endrunde 4'!$E29)</f>
        <v/>
      </c>
      <c r="AT29" s="651" t="str">
        <f ca="1">IF($C$34="","",IF('Endrunde 4'!$I29=$C$34,'Endrunde 4'!$K29,IF('Endrunde 4'!$K29=$C$34,'Endrunde 4'!$I29,"")))</f>
        <v/>
      </c>
      <c r="AU29" s="654">
        <f t="shared" ca="1" si="16"/>
        <v>100028</v>
      </c>
      <c r="AV29" s="680">
        <f t="shared" ca="1" si="17"/>
        <v>100028</v>
      </c>
      <c r="AW29" s="657">
        <f ca="1">IF(AY29="",99999,'Endrunde 4'!$D29)</f>
        <v>99999</v>
      </c>
      <c r="AX29" s="659" t="str">
        <f ca="1">IF(AY29="","",'Endrunde 4'!$E29)</f>
        <v/>
      </c>
      <c r="AY29" s="651" t="str">
        <f ca="1">IF($C$39="","",IF('Endrunde 4'!$I29=$C$39,'Endrunde 4'!$K29,IF('Endrunde 4'!$K29=$C$39,'Endrunde 4'!$I29,"")))</f>
        <v/>
      </c>
      <c r="AZ29" s="654">
        <f t="shared" ca="1" si="18"/>
        <v>100028</v>
      </c>
      <c r="BA29" s="680">
        <f t="shared" ca="1" si="19"/>
        <v>100028</v>
      </c>
      <c r="BB29" s="657">
        <f ca="1">IF(BD29="",99999,'Endrunde 4'!$D29)</f>
        <v>99999</v>
      </c>
      <c r="BC29" s="659" t="str">
        <f ca="1">IF(BD29="","",'Endrunde 4'!$E29)</f>
        <v/>
      </c>
      <c r="BD29" s="651" t="str">
        <f ca="1">IF($C$44="","",IF('Endrunde 4'!$I29=$C$44,'Endrunde 4'!$K29,IF('Endrunde 4'!$K29=$C$44,'Endrunde 4'!$I29,"")))</f>
        <v/>
      </c>
      <c r="BE29" s="654">
        <f t="shared" ca="1" si="20"/>
        <v>100028</v>
      </c>
      <c r="BF29" s="680">
        <f t="shared" ca="1" si="21"/>
        <v>29.569444444444443</v>
      </c>
      <c r="BG29" s="657">
        <f ca="1">IF(BI29="",99999,'Endrunde 4'!$D29)</f>
        <v>0.56944444444444442</v>
      </c>
      <c r="BH29" s="659">
        <f ca="1">IF(BI29="","",'Endrunde 4'!$E29)</f>
        <v>1</v>
      </c>
      <c r="BI29" s="651" t="str">
        <f ca="1">IF($C$49="","",IF('Endrunde 4'!$I29=$C$49,'Endrunde 4'!$K29,IF('Endrunde 4'!$K29=$C$49,'Endrunde 4'!$I29,"")))</f>
        <v>FC Barcelona</v>
      </c>
      <c r="BJ29" s="654">
        <f t="shared" ca="1" si="22"/>
        <v>100027</v>
      </c>
      <c r="BK29" s="680">
        <f t="shared" ca="1" si="23"/>
        <v>100028</v>
      </c>
      <c r="BL29" s="657">
        <f ca="1">IF(BN29="",99999,'Endrunde 4'!$D29)</f>
        <v>99999</v>
      </c>
      <c r="BM29" s="659" t="str">
        <f ca="1">IF(BN29="","",'Endrunde 4'!$E29)</f>
        <v/>
      </c>
      <c r="BN29" s="651" t="str">
        <f ca="1">IF($C$54="","",IF('Endrunde 4'!$I29=$C$54,'Endrunde 4'!$K29,IF('Endrunde 4'!$K29=$C$54,'Endrunde 4'!$I29,"")))</f>
        <v/>
      </c>
      <c r="BO29" s="654">
        <f t="shared" ca="1" si="24"/>
        <v>100028</v>
      </c>
      <c r="BP29" s="680">
        <f t="shared" si="25"/>
        <v>100028</v>
      </c>
      <c r="BQ29" s="657">
        <f>IF(BS29="",99999,'Endrunde 4'!$D29)</f>
        <v>99999</v>
      </c>
      <c r="BR29" s="659" t="str">
        <f>IF(BS29="","",'Endrunde 4'!$E29)</f>
        <v/>
      </c>
      <c r="BS29" s="651" t="str">
        <f>IF($C$59="","",IF('Endrunde 4'!$I29=$C$59,'Endrunde 4'!$K29,IF('Endrunde 4'!$K29=$C$59,'Endrunde 4'!$I29,"")))</f>
        <v/>
      </c>
      <c r="BT29" s="654">
        <f t="shared" si="26"/>
        <v>100028</v>
      </c>
    </row>
    <row r="30" spans="2:72" ht="15.95" customHeight="1" x14ac:dyDescent="0.2">
      <c r="E30" s="674" t="str">
        <f>IF($AP$12&lt;99999,INDEX($L$12:$L$29,MATCH($AP$12,$AL$12:$AL$29,0)),"")</f>
        <v/>
      </c>
      <c r="F30" s="665" t="str">
        <f>IF($AP$12&lt;99999,VLOOKUP($AP$12,$AL$12:$AO$29,2,0),"")</f>
        <v/>
      </c>
      <c r="G30" s="666" t="str">
        <f>IF($AP$12&lt;99999,VLOOKUP($AP$12,$AL$12:$AO$29,3,0),"")</f>
        <v/>
      </c>
      <c r="H30" s="667" t="str">
        <f>IF($AP$12&lt;99999,VLOOKUP($AP$12,$AL$12:$AO$29,4,0),"")</f>
        <v/>
      </c>
      <c r="J30" s="649">
        <f t="shared" si="27"/>
        <v>0</v>
      </c>
      <c r="K30" s="649" t="str">
        <f>IF(J30=0,"",$C$29)</f>
        <v/>
      </c>
    </row>
    <row r="31" spans="2:72" ht="15.95" customHeight="1" x14ac:dyDescent="0.2">
      <c r="E31" s="674" t="str">
        <f>IF($AP$13&lt;99999,INDEX($L$12:$L$29,MATCH($AP$13,$AL$12:$AL$29,0)),"")</f>
        <v/>
      </c>
      <c r="F31" s="668" t="str">
        <f>IF($AP$13&lt;99999,VLOOKUP($AP$13,$AL$12:$AO$29,2,0),"")</f>
        <v/>
      </c>
      <c r="G31" s="669" t="str">
        <f>IF($AP$13&lt;99999,VLOOKUP($AP$13,$AL$12:$AO$29,3,0),"")</f>
        <v/>
      </c>
      <c r="H31" s="670" t="str">
        <f>IF($AP$13&lt;99999,VLOOKUP($AP$13,$AL$12:$AO$29,4,0),"")</f>
        <v/>
      </c>
      <c r="J31" s="649">
        <f t="shared" si="27"/>
        <v>0</v>
      </c>
      <c r="K31" s="649" t="str">
        <f t="shared" ref="K31:K32" si="31">IF(J31=0,"",$C$29)</f>
        <v/>
      </c>
    </row>
    <row r="32" spans="2:72" ht="15.95" customHeight="1" thickBot="1" x14ac:dyDescent="0.25">
      <c r="E32" s="675" t="str">
        <f>IF($AP$14&lt;99999,INDEX($L$12:$L$29,MATCH($AP$14,$AL$12:$AL$29,0)),"")</f>
        <v/>
      </c>
      <c r="F32" s="671" t="str">
        <f>IF($AP$14&lt;99999,VLOOKUP($AP$14,$AL$12:$AO$29,2,0),"")</f>
        <v/>
      </c>
      <c r="G32" s="672" t="str">
        <f>IF($AP$14&lt;99999,VLOOKUP($AP$14,$AL$12:$AO$29,3,0),"")</f>
        <v/>
      </c>
      <c r="H32" s="673" t="str">
        <f>IF($AP$14&lt;99999,VLOOKUP($AP$14,$AL$12:$AO$29,4,0),"")</f>
        <v/>
      </c>
      <c r="J32" s="649">
        <f t="shared" si="27"/>
        <v>0</v>
      </c>
      <c r="K32" s="649" t="str">
        <f t="shared" si="31"/>
        <v/>
      </c>
    </row>
    <row r="33" spans="2:11" ht="30" customHeight="1" thickBot="1" x14ac:dyDescent="0.25">
      <c r="J33" s="649">
        <f t="shared" si="27"/>
        <v>0</v>
      </c>
    </row>
    <row r="34" spans="2:11" ht="15.95" customHeight="1" x14ac:dyDescent="0.2">
      <c r="B34" s="676" t="s">
        <v>209</v>
      </c>
      <c r="C34" s="677" t="str">
        <f>IF(Planung!$C$24="","",Planung!$C$24)</f>
        <v>Mainz 05</v>
      </c>
      <c r="E34" s="662" t="str">
        <f>Sprache!$E$60</f>
        <v>Spiel Nr.</v>
      </c>
      <c r="F34" s="660" t="str">
        <f>Sprache!$E$39</f>
        <v>Beginn</v>
      </c>
      <c r="G34" s="663" t="str">
        <f>Sprache!$E$48</f>
        <v>Feld</v>
      </c>
      <c r="H34" s="661" t="str">
        <f>Sprache!$E$46</f>
        <v>Spiel gegen</v>
      </c>
      <c r="J34" s="649">
        <f t="shared" ca="1" si="27"/>
        <v>0</v>
      </c>
    </row>
    <row r="35" spans="2:11" ht="15.95" customHeight="1" x14ac:dyDescent="0.2">
      <c r="E35" s="674">
        <f ca="1">IF($AU$12&lt;99999,INDEX($L$12:$L$29,MATCH($AU$12,$AQ$12:$AQ$29,0)),"")</f>
        <v>23</v>
      </c>
      <c r="F35" s="665">
        <f ca="1">IF($AU$12&lt;99999,VLOOKUP($AU$12,$AQ$12:$AT$29,2,0),"")</f>
        <v>0.49652777777777779</v>
      </c>
      <c r="G35" s="666">
        <f ca="1">IF($AU$12&lt;99999,VLOOKUP($AU$12,$AQ$12:$AT$29,3,0),"")</f>
        <v>3</v>
      </c>
      <c r="H35" s="667" t="str">
        <f ca="1">IF($AU$12&lt;99999,VLOOKUP($AU$12,$AQ$12:$AT$29,4,0),"")</f>
        <v>VFB Essenheim</v>
      </c>
      <c r="J35" s="649">
        <f t="shared" ca="1" si="27"/>
        <v>0</v>
      </c>
      <c r="K35" s="649" t="str">
        <f ca="1">IF(J35=0,"",$C$34)</f>
        <v/>
      </c>
    </row>
    <row r="36" spans="2:11" ht="15.95" customHeight="1" x14ac:dyDescent="0.2">
      <c r="E36" s="674">
        <f ca="1">IF($AU$13&lt;99999,INDEX($L$12:$L$29,MATCH($AU$13,$AQ$12:$AQ$29,0)),"")</f>
        <v>27</v>
      </c>
      <c r="F36" s="668">
        <f ca="1">IF($AU$13&lt;99999,VLOOKUP($AU$13,$AQ$12:$AT$29,2,0),"")</f>
        <v>0.52083333333333337</v>
      </c>
      <c r="G36" s="669">
        <f ca="1">IF($AU$13&lt;99999,VLOOKUP($AU$13,$AQ$12:$AT$29,3,0),"")</f>
        <v>3</v>
      </c>
      <c r="H36" s="670" t="str">
        <f ca="1">IF($AU$13&lt;99999,VLOOKUP($AU$13,$AQ$12:$AT$29,4,0),"")</f>
        <v>FC Grönlingen</v>
      </c>
      <c r="J36" s="649">
        <f t="shared" ca="1" si="27"/>
        <v>0</v>
      </c>
      <c r="K36" s="649" t="str">
        <f t="shared" ref="K36:K37" ca="1" si="32">IF(J36=0,"",$C$34)</f>
        <v/>
      </c>
    </row>
    <row r="37" spans="2:11" ht="15.95" customHeight="1" thickBot="1" x14ac:dyDescent="0.25">
      <c r="E37" s="675">
        <f ca="1">IF($AU$14&lt;99999,INDEX($L$12:$L$29,MATCH($AU$14,$AQ$12:$AQ$29,0)),"")</f>
        <v>32</v>
      </c>
      <c r="F37" s="671">
        <f ca="1">IF($AU$14&lt;99999,VLOOKUP($AU$14,$AQ$12:$AT$29,2,0),"")</f>
        <v>0.54513888888888895</v>
      </c>
      <c r="G37" s="672">
        <f ca="1">IF($AU$14&lt;99999,VLOOKUP($AU$14,$AQ$12:$AT$29,3,0),"")</f>
        <v>4</v>
      </c>
      <c r="H37" s="673" t="str">
        <f ca="1">IF($AU$14&lt;99999,VLOOKUP($AU$14,$AQ$12:$AT$29,4,0),"")</f>
        <v>1. FC Riedwald</v>
      </c>
      <c r="J37" s="649">
        <f t="shared" ca="1" si="27"/>
        <v>0</v>
      </c>
      <c r="K37" s="649" t="str">
        <f t="shared" ca="1" si="32"/>
        <v/>
      </c>
    </row>
    <row r="38" spans="2:11" ht="30" customHeight="1" thickBot="1" x14ac:dyDescent="0.25">
      <c r="J38" s="649">
        <f t="shared" ca="1" si="27"/>
        <v>0</v>
      </c>
    </row>
    <row r="39" spans="2:11" ht="15.95" customHeight="1" x14ac:dyDescent="0.2">
      <c r="B39" s="676" t="s">
        <v>211</v>
      </c>
      <c r="C39" s="677" t="str">
        <f>IF(Planung!$C$26="","",Planung!$C$26)</f>
        <v>Inter Mailand</v>
      </c>
      <c r="E39" s="662" t="str">
        <f>Sprache!$E$60</f>
        <v>Spiel Nr.</v>
      </c>
      <c r="F39" s="660" t="str">
        <f>Sprache!$E$39</f>
        <v>Beginn</v>
      </c>
      <c r="G39" s="663" t="str">
        <f>Sprache!$E$48</f>
        <v>Feld</v>
      </c>
      <c r="H39" s="661" t="str">
        <f>Sprache!$E$46</f>
        <v>Spiel gegen</v>
      </c>
      <c r="J39" s="649">
        <f t="shared" ca="1" si="27"/>
        <v>0</v>
      </c>
    </row>
    <row r="40" spans="2:11" ht="15.95" customHeight="1" x14ac:dyDescent="0.2">
      <c r="E40" s="674">
        <f ca="1">IF($AZ$12&lt;99999,INDEX($L$12:$L$29,MATCH($AZ$12,$AV$12:$AV$29,0)),"")</f>
        <v>22</v>
      </c>
      <c r="F40" s="665">
        <f ca="1">IF($AZ$12&lt;99999,VLOOKUP($AZ$12,$AV$12:$AY$29,2,0),"")</f>
        <v>0.49652777777777779</v>
      </c>
      <c r="G40" s="666">
        <f ca="1">IF($AZ$12&lt;99999,VLOOKUP($AZ$12,$AV$12:$AY$29,3,0),"")</f>
        <v>2</v>
      </c>
      <c r="H40" s="667" t="str">
        <f ca="1">IF($AZ$12&lt;99999,VLOOKUP($AZ$12,$AV$12:$AY$29,4,0),"")</f>
        <v>FC Barcelona</v>
      </c>
      <c r="J40" s="649">
        <f t="shared" ca="1" si="27"/>
        <v>0</v>
      </c>
      <c r="K40" s="649" t="str">
        <f ca="1">IF(J40=0,"",$C$39)</f>
        <v/>
      </c>
    </row>
    <row r="41" spans="2:11" ht="15.95" customHeight="1" x14ac:dyDescent="0.2">
      <c r="E41" s="674">
        <f ca="1">IF($AZ$13&lt;99999,INDEX($L$12:$L$29,MATCH($AZ$13,$AV$12:$AV$29,0)),"")</f>
        <v>28</v>
      </c>
      <c r="F41" s="668">
        <f ca="1">IF($AZ$13&lt;99999,VLOOKUP($AZ$13,$AV$12:$AY$29,2,0),"")</f>
        <v>0.52083333333333337</v>
      </c>
      <c r="G41" s="669">
        <f ca="1">IF($AZ$13&lt;99999,VLOOKUP($AZ$13,$AV$12:$AY$29,3,0),"")</f>
        <v>4</v>
      </c>
      <c r="H41" s="670" t="str">
        <f ca="1">IF($AZ$13&lt;99999,VLOOKUP($AZ$13,$AV$12:$AY$29,4,0),"")</f>
        <v>Manchester City</v>
      </c>
      <c r="J41" s="649">
        <f t="shared" ca="1" si="27"/>
        <v>0</v>
      </c>
      <c r="K41" s="649" t="str">
        <f t="shared" ref="K41:K42" ca="1" si="33">IF(J41=0,"",$C$39)</f>
        <v/>
      </c>
    </row>
    <row r="42" spans="2:11" ht="15.95" customHeight="1" thickBot="1" x14ac:dyDescent="0.25">
      <c r="E42" s="675">
        <f ca="1">IF($AZ$14&lt;99999,INDEX($L$12:$L$29,MATCH($AZ$14,$AV$12:$AV$29,0)),"")</f>
        <v>30</v>
      </c>
      <c r="F42" s="671">
        <f ca="1">IF($AZ$14&lt;99999,VLOOKUP($AZ$14,$AV$12:$AY$29,2,0),"")</f>
        <v>0.54513888888888895</v>
      </c>
      <c r="G42" s="672">
        <f ca="1">IF($AZ$14&lt;99999,VLOOKUP($AZ$14,$AV$12:$AY$29,3,0),"")</f>
        <v>2</v>
      </c>
      <c r="H42" s="673" t="str">
        <f ca="1">IF($AZ$14&lt;99999,VLOOKUP($AZ$14,$AV$12:$AY$29,4,0),"")</f>
        <v>Eintracht Frankfurt</v>
      </c>
      <c r="J42" s="649">
        <f t="shared" ca="1" si="27"/>
        <v>0</v>
      </c>
      <c r="K42" s="649" t="str">
        <f t="shared" ca="1" si="33"/>
        <v/>
      </c>
    </row>
    <row r="43" spans="2:11" ht="30" customHeight="1" thickBot="1" x14ac:dyDescent="0.25">
      <c r="J43" s="649">
        <f t="shared" ca="1" si="27"/>
        <v>0</v>
      </c>
    </row>
    <row r="44" spans="2:11" ht="15.95" customHeight="1" x14ac:dyDescent="0.2">
      <c r="B44" s="676" t="s">
        <v>207</v>
      </c>
      <c r="C44" s="677" t="str">
        <f>IF(Planung!$C$28="","",Planung!$C$28)</f>
        <v>SSV Wildbach</v>
      </c>
      <c r="E44" s="662" t="str">
        <f>Sprache!$E$60</f>
        <v>Spiel Nr.</v>
      </c>
      <c r="F44" s="660" t="str">
        <f>Sprache!$E$39</f>
        <v>Beginn</v>
      </c>
      <c r="G44" s="663" t="str">
        <f>Sprache!$E$48</f>
        <v>Feld</v>
      </c>
      <c r="H44" s="661" t="str">
        <f>Sprache!$E$46</f>
        <v>Spiel gegen</v>
      </c>
      <c r="J44" s="649">
        <f t="shared" ca="1" si="27"/>
        <v>0</v>
      </c>
    </row>
    <row r="45" spans="2:11" ht="15.95" customHeight="1" x14ac:dyDescent="0.2">
      <c r="E45" s="674">
        <f ca="1">IF($BE$12&lt;99999,INDEX($L$12:$L$29,MATCH($BE$12,$BA$12:$BA$29,0)),"")</f>
        <v>31</v>
      </c>
      <c r="F45" s="665">
        <f ca="1">IF($BE$12&lt;99999,VLOOKUP($BE$12,$BA$12:$BD$29,2,0),"")</f>
        <v>0.54513888888888895</v>
      </c>
      <c r="G45" s="666">
        <f ca="1">IF($BE$12&lt;99999,VLOOKUP($BE$12,$BA$12:$BD$29,3,0),"")</f>
        <v>3</v>
      </c>
      <c r="H45" s="667" t="str">
        <f ca="1">IF($BE$12&lt;99999,VLOOKUP($BE$12,$BA$12:$BD$29,4,0),"")</f>
        <v>Maibach 1822 eV</v>
      </c>
      <c r="J45" s="649">
        <f t="shared" ca="1" si="27"/>
        <v>0</v>
      </c>
      <c r="K45" s="649" t="str">
        <f ca="1">IF(J45=0,"",$C$44)</f>
        <v/>
      </c>
    </row>
    <row r="46" spans="2:11" ht="15.95" customHeight="1" x14ac:dyDescent="0.2">
      <c r="E46" s="674" t="str">
        <f ca="1">IF($BE$13&lt;99999,INDEX($L$12:$L$29,MATCH($BE$13,$BA$12:$BA$29,0)),"")</f>
        <v/>
      </c>
      <c r="F46" s="668" t="str">
        <f ca="1">IF($BE$13&lt;99999,VLOOKUP($BE$13,$BA$12:$BD$29,2,0),"")</f>
        <v/>
      </c>
      <c r="G46" s="669" t="str">
        <f ca="1">IF($BE$13&lt;99999,VLOOKUP($BE$13,$BA$12:$BD$29,3,0),"")</f>
        <v/>
      </c>
      <c r="H46" s="670" t="str">
        <f ca="1">IF($BE$13&lt;99999,VLOOKUP($BE$13,$BA$12:$BD$29,4,0),"")</f>
        <v/>
      </c>
      <c r="J46" s="649">
        <f t="shared" ca="1" si="27"/>
        <v>0</v>
      </c>
      <c r="K46" s="649" t="str">
        <f t="shared" ref="K46:K47" ca="1" si="34">IF(J46=0,"",$C$44)</f>
        <v/>
      </c>
    </row>
    <row r="47" spans="2:11" ht="15.95" customHeight="1" thickBot="1" x14ac:dyDescent="0.25">
      <c r="E47" s="675" t="str">
        <f ca="1">IF($BE$14&lt;99999,INDEX($L$12:$L$29,MATCH($BE$14,$BA$12:$BA$29,0)),"")</f>
        <v/>
      </c>
      <c r="F47" s="671" t="str">
        <f ca="1">IF($BE$14&lt;99999,VLOOKUP($BE$14,$BA$12:$BD$29,2,0),"")</f>
        <v/>
      </c>
      <c r="G47" s="672" t="str">
        <f ca="1">IF($BE$14&lt;99999,VLOOKUP($BE$14,$BA$12:$BD$29,3,0),"")</f>
        <v/>
      </c>
      <c r="H47" s="673" t="str">
        <f ca="1">IF($BE$14&lt;99999,VLOOKUP($BE$14,$BA$12:$BD$29,4,0),"")</f>
        <v/>
      </c>
      <c r="J47" s="649">
        <f t="shared" ca="1" si="27"/>
        <v>0</v>
      </c>
      <c r="K47" s="649" t="str">
        <f t="shared" ca="1" si="34"/>
        <v/>
      </c>
    </row>
    <row r="48" spans="2:11" ht="30" customHeight="1" thickBot="1" x14ac:dyDescent="0.25">
      <c r="J48" s="649">
        <f t="shared" ca="1" si="27"/>
        <v>0</v>
      </c>
    </row>
    <row r="49" spans="2:11" ht="15.95" customHeight="1" x14ac:dyDescent="0.2">
      <c r="B49" s="676" t="s">
        <v>213</v>
      </c>
      <c r="C49" s="677" t="str">
        <f>IF(Planung!$C$30="","",Planung!$C$30)</f>
        <v>Manchester City</v>
      </c>
      <c r="E49" s="662" t="str">
        <f>Sprache!$E$60</f>
        <v>Spiel Nr.</v>
      </c>
      <c r="F49" s="660" t="str">
        <f>Sprache!$E$39</f>
        <v>Beginn</v>
      </c>
      <c r="G49" s="663" t="str">
        <f>Sprache!$E$48</f>
        <v>Feld</v>
      </c>
      <c r="H49" s="661" t="str">
        <f>Sprache!$E$46</f>
        <v>Spiel gegen</v>
      </c>
      <c r="J49" s="649">
        <f t="shared" ca="1" si="27"/>
        <v>0</v>
      </c>
    </row>
    <row r="50" spans="2:11" ht="15.95" customHeight="1" x14ac:dyDescent="0.2">
      <c r="E50" s="674">
        <f ca="1">IF($BJ$12&lt;99999,INDEX($L$12:$L$29,MATCH($BJ$12,$BF$12:$BF$29,0)),"")</f>
        <v>24</v>
      </c>
      <c r="F50" s="665">
        <f ca="1">IF($BJ$12&lt;99999,VLOOKUP($BJ$12,$BF$12:$BI$29,2,0),"")</f>
        <v>0.49652777777777779</v>
      </c>
      <c r="G50" s="666">
        <f ca="1">IF($BJ$12&lt;99999,VLOOKUP($BJ$12,$BF$12:$BI$29,3,0),"")</f>
        <v>4</v>
      </c>
      <c r="H50" s="667" t="str">
        <f ca="1">IF($BJ$12&lt;99999,VLOOKUP($BJ$12,$BF$12:$BI$29,4,0),"")</f>
        <v>Eintracht Frankfurt</v>
      </c>
      <c r="J50" s="649">
        <f t="shared" ca="1" si="27"/>
        <v>0</v>
      </c>
      <c r="K50" s="649" t="str">
        <f ca="1">IF(J50=0,"",$C$49)</f>
        <v/>
      </c>
    </row>
    <row r="51" spans="2:11" ht="15.95" customHeight="1" x14ac:dyDescent="0.2">
      <c r="E51" s="674">
        <f ca="1">IF($BJ$13&lt;99999,INDEX($L$12:$L$29,MATCH($BJ$13,$BF$12:$BF$29,0)),"")</f>
        <v>28</v>
      </c>
      <c r="F51" s="668">
        <f ca="1">IF($BJ$13&lt;99999,VLOOKUP($BJ$13,$BF$12:$BI$29,2,0),"")</f>
        <v>0.52083333333333337</v>
      </c>
      <c r="G51" s="669">
        <f ca="1">IF($BJ$13&lt;99999,VLOOKUP($BJ$13,$BF$12:$BI$29,3,0),"")</f>
        <v>4</v>
      </c>
      <c r="H51" s="670" t="str">
        <f ca="1">IF($BJ$13&lt;99999,VLOOKUP($BJ$13,$BF$12:$BI$29,4,0),"")</f>
        <v>Inter Mailand</v>
      </c>
      <c r="J51" s="649">
        <f t="shared" ca="1" si="27"/>
        <v>0</v>
      </c>
      <c r="K51" s="649" t="str">
        <f t="shared" ref="K51:K52" ca="1" si="35">IF(J51=0,"",$C$49)</f>
        <v/>
      </c>
    </row>
    <row r="52" spans="2:11" ht="15.95" customHeight="1" thickBot="1" x14ac:dyDescent="0.25">
      <c r="E52" s="675">
        <f ca="1">IF($BJ$14&lt;99999,INDEX($L$12:$L$29,MATCH($BJ$14,$BF$12:$BF$29,0)),"")</f>
        <v>33</v>
      </c>
      <c r="F52" s="671">
        <f ca="1">IF($BJ$14&lt;99999,VLOOKUP($BJ$14,$BF$12:$BI$29,2,0),"")</f>
        <v>0.56944444444444442</v>
      </c>
      <c r="G52" s="672">
        <f ca="1">IF($BJ$14&lt;99999,VLOOKUP($BJ$14,$BF$12:$BI$29,3,0),"")</f>
        <v>1</v>
      </c>
      <c r="H52" s="673" t="str">
        <f ca="1">IF($BJ$14&lt;99999,VLOOKUP($BJ$14,$BF$12:$BI$29,4,0),"")</f>
        <v>FC Barcelona</v>
      </c>
      <c r="J52" s="649">
        <f t="shared" ca="1" si="27"/>
        <v>0</v>
      </c>
      <c r="K52" s="649" t="str">
        <f t="shared" ca="1" si="35"/>
        <v/>
      </c>
    </row>
    <row r="53" spans="2:11" ht="30" customHeight="1" thickBot="1" x14ac:dyDescent="0.25">
      <c r="J53" s="649">
        <f t="shared" ca="1" si="27"/>
        <v>0</v>
      </c>
    </row>
    <row r="54" spans="2:11" ht="15.95" customHeight="1" x14ac:dyDescent="0.2">
      <c r="B54" s="676" t="s">
        <v>215</v>
      </c>
      <c r="C54" s="677" t="str">
        <f>IF(Planung!$C$32="","",Planung!$C$32)</f>
        <v>FC Grönlingen</v>
      </c>
      <c r="E54" s="662" t="str">
        <f>Sprache!$E$60</f>
        <v>Spiel Nr.</v>
      </c>
      <c r="F54" s="660" t="str">
        <f>Sprache!$E$39</f>
        <v>Beginn</v>
      </c>
      <c r="G54" s="663" t="str">
        <f>Sprache!$E$48</f>
        <v>Feld</v>
      </c>
      <c r="H54" s="661" t="str">
        <f>Sprache!$E$46</f>
        <v>Spiel gegen</v>
      </c>
      <c r="J54" s="649">
        <f t="shared" ca="1" si="27"/>
        <v>0</v>
      </c>
    </row>
    <row r="55" spans="2:11" ht="15.95" customHeight="1" x14ac:dyDescent="0.2">
      <c r="E55" s="674">
        <f ca="1">IF($BO$12&lt;99999,INDEX($L$12:$L$29,MATCH($BO$12,$BK$12:$BK$29,0)),"")</f>
        <v>21</v>
      </c>
      <c r="F55" s="665">
        <f ca="1">IF($BO$12&lt;99999,VLOOKUP($BO$12,$BK$12:$BN$29,2,0),"")</f>
        <v>0.49652777777777779</v>
      </c>
      <c r="G55" s="666">
        <f ca="1">IF($BO$12&lt;99999,VLOOKUP($BO$12,$BK$12:$BN$29,3,0),"")</f>
        <v>1</v>
      </c>
      <c r="H55" s="667" t="str">
        <f ca="1">IF($BO$12&lt;99999,VLOOKUP($BO$12,$BK$12:$BN$29,4,0),"")</f>
        <v>1. FC Riedwald</v>
      </c>
      <c r="J55" s="649">
        <f t="shared" ca="1" si="27"/>
        <v>0</v>
      </c>
      <c r="K55" s="649" t="str">
        <f ca="1">IF(J55=0,"",$C$54)</f>
        <v/>
      </c>
    </row>
    <row r="56" spans="2:11" ht="15.95" customHeight="1" x14ac:dyDescent="0.2">
      <c r="E56" s="674">
        <f ca="1">IF($BO$13&lt;99999,INDEX($L$12:$L$29,MATCH($BO$13,$BK$12:$BK$29,0)),"")</f>
        <v>27</v>
      </c>
      <c r="F56" s="668">
        <f ca="1">IF($BO$13&lt;99999,VLOOKUP($BO$13,$BK$12:$BN$29,2,0),"")</f>
        <v>0.52083333333333337</v>
      </c>
      <c r="G56" s="669">
        <f ca="1">IF($BO$13&lt;99999,VLOOKUP($BO$13,$BK$12:$BN$29,3,0),"")</f>
        <v>3</v>
      </c>
      <c r="H56" s="670" t="str">
        <f ca="1">IF($BO$13&lt;99999,VLOOKUP($BO$13,$BK$12:$BN$29,4,0),"")</f>
        <v>Mainz 05</v>
      </c>
      <c r="J56" s="649">
        <f t="shared" ca="1" si="27"/>
        <v>0</v>
      </c>
      <c r="K56" s="649" t="str">
        <f t="shared" ref="K56:K57" ca="1" si="36">IF(J56=0,"",$C$54)</f>
        <v/>
      </c>
    </row>
    <row r="57" spans="2:11" ht="15.95" customHeight="1" thickBot="1" x14ac:dyDescent="0.25">
      <c r="E57" s="675">
        <f ca="1">IF($BO$14&lt;99999,INDEX($L$12:$L$29,MATCH($BO$14,$BK$12:$BK$29,0)),"")</f>
        <v>29</v>
      </c>
      <c r="F57" s="671">
        <f ca="1">IF($BO$14&lt;99999,VLOOKUP($BO$14,$BK$12:$BN$29,2,0),"")</f>
        <v>0.54513888888888895</v>
      </c>
      <c r="G57" s="672">
        <f ca="1">IF($BO$14&lt;99999,VLOOKUP($BO$14,$BK$12:$BN$29,3,0),"")</f>
        <v>1</v>
      </c>
      <c r="H57" s="673" t="str">
        <f ca="1">IF($BO$14&lt;99999,VLOOKUP($BO$14,$BK$12:$BN$29,4,0),"")</f>
        <v>VFB Essenheim</v>
      </c>
      <c r="J57" s="649">
        <f t="shared" ca="1" si="27"/>
        <v>0</v>
      </c>
      <c r="K57" s="649" t="str">
        <f t="shared" ca="1" si="36"/>
        <v/>
      </c>
    </row>
    <row r="58" spans="2:11" ht="30" customHeight="1" thickBot="1" x14ac:dyDescent="0.25">
      <c r="J58" s="649">
        <f t="shared" ca="1" si="27"/>
        <v>0</v>
      </c>
    </row>
    <row r="59" spans="2:11" ht="15.95" customHeight="1" x14ac:dyDescent="0.2">
      <c r="B59" s="676" t="s">
        <v>217</v>
      </c>
      <c r="C59" s="677" t="str">
        <f>IF(Planung!$C$34="","",Planung!$C$34)</f>
        <v/>
      </c>
      <c r="E59" s="662" t="str">
        <f>Sprache!$E$60</f>
        <v>Spiel Nr.</v>
      </c>
      <c r="F59" s="660" t="str">
        <f>Sprache!$E$39</f>
        <v>Beginn</v>
      </c>
      <c r="G59" s="663" t="str">
        <f>Sprache!$E$48</f>
        <v>Feld</v>
      </c>
      <c r="H59" s="661" t="str">
        <f>Sprache!$E$46</f>
        <v>Spiel gegen</v>
      </c>
      <c r="J59" s="649">
        <f t="shared" si="27"/>
        <v>0</v>
      </c>
    </row>
    <row r="60" spans="2:11" ht="15.95" customHeight="1" x14ac:dyDescent="0.2">
      <c r="E60" s="674" t="str">
        <f>IF($BT$12&lt;99999,INDEX($L$12:$L$29,MATCH($BT$12,$BP$12:$BP$29,0)),"")</f>
        <v/>
      </c>
      <c r="F60" s="665" t="str">
        <f>IF($BT$12&lt;99999,VLOOKUP($BT$12,$BP$12:$BS$29,2,0),"")</f>
        <v/>
      </c>
      <c r="G60" s="666" t="str">
        <f>IF($BT$12&lt;99999,VLOOKUP($BT$12,$BP$12:$BS$29,3,0),"")</f>
        <v/>
      </c>
      <c r="H60" s="667" t="str">
        <f>IF($BT$12&lt;99999,VLOOKUP($BT$12,$BP$12:$BS$29,4,0),"")</f>
        <v/>
      </c>
      <c r="J60" s="649">
        <f t="shared" si="27"/>
        <v>0</v>
      </c>
      <c r="K60" s="649" t="str">
        <f>IF(J60=0,"",$C$59)</f>
        <v/>
      </c>
    </row>
    <row r="61" spans="2:11" ht="15.95" customHeight="1" x14ac:dyDescent="0.2">
      <c r="E61" s="674" t="str">
        <f>IF($BT$13&lt;99999,INDEX($L$12:$L$29,MATCH($BT$13,$BP$12:$BP$29,0)),"")</f>
        <v/>
      </c>
      <c r="F61" s="668" t="str">
        <f>IF($BT$13&lt;99999,VLOOKUP($BT$13,$BP$12:$BS$29,2,0),"")</f>
        <v/>
      </c>
      <c r="G61" s="669" t="str">
        <f>IF($BT$13&lt;99999,VLOOKUP($BT$13,$BP$12:$BS$29,3,0),"")</f>
        <v/>
      </c>
      <c r="H61" s="670" t="str">
        <f>IF($BT$13&lt;99999,VLOOKUP($BT$13,$BP$12:$BS$29,4,0),"")</f>
        <v/>
      </c>
      <c r="J61" s="649">
        <f t="shared" si="27"/>
        <v>0</v>
      </c>
      <c r="K61" s="649" t="str">
        <f t="shared" ref="K61:K62" si="37">IF(J61=0,"",$C$59)</f>
        <v/>
      </c>
    </row>
    <row r="62" spans="2:11" ht="15.95" customHeight="1" thickBot="1" x14ac:dyDescent="0.25">
      <c r="E62" s="675" t="str">
        <f>IF($BT$14&lt;99999,INDEX($L$12:$L$29,MATCH($BT$14,$BP$12:$BP$29,0)),"")</f>
        <v/>
      </c>
      <c r="F62" s="671" t="str">
        <f>IF($BT$14&lt;99999,VLOOKUP($BT$14,$BP$12:$BS$29,2,0),"")</f>
        <v/>
      </c>
      <c r="G62" s="672" t="str">
        <f>IF($BT$14&lt;99999,VLOOKUP($BT$14,$BP$12:$BS$29,3,0),"")</f>
        <v/>
      </c>
      <c r="H62" s="673" t="str">
        <f>IF($BT$14&lt;99999,VLOOKUP($BT$14,$BP$12:$BS$29,4,0),"")</f>
        <v/>
      </c>
      <c r="J62" s="649">
        <f t="shared" si="27"/>
        <v>0</v>
      </c>
      <c r="K62" s="649" t="str">
        <f t="shared" si="37"/>
        <v/>
      </c>
    </row>
    <row r="63" spans="2:11" ht="15.95" customHeight="1" x14ac:dyDescent="0.2"/>
    <row r="64" spans="2:11" x14ac:dyDescent="0.2"/>
  </sheetData>
  <sheetProtection sheet="1" objects="1" scenarios="1" selectLockedCells="1"/>
  <mergeCells count="1">
    <mergeCell ref="B1:H1"/>
  </mergeCells>
  <conditionalFormatting sqref="E5:F62">
    <cfRule type="expression" dxfId="10" priority="1">
      <formula>AND($F5&lt;&gt;"",OR($F5=$F4,$F5=$F6))</formula>
    </cfRule>
  </conditionalFormatting>
  <pageMargins left="0.70866141732283472" right="0.31496062992125984" top="0.39370078740157483" bottom="0.39370078740157483" header="0.31496062992125984" footer="0.31496062992125984"/>
  <pageSetup paperSize="9" scale="72"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99"/>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707" t="str">
        <f>$E$35</f>
        <v>Sprache wählen</v>
      </c>
      <c r="G1" s="707"/>
      <c r="H1" s="707"/>
      <c r="I1" s="107"/>
      <c r="J1" s="109" t="s">
        <v>152</v>
      </c>
      <c r="K1" s="176" t="str">
        <f>_xlfn.UNICHAR(8592)</f>
        <v>←</v>
      </c>
      <c r="L1" s="175" t="str">
        <f>$E$67</f>
        <v>Hier klicken und Sprache wählen</v>
      </c>
    </row>
    <row r="2" spans="2:12" ht="11.25" customHeight="1" thickBot="1" x14ac:dyDescent="0.25">
      <c r="F2" s="826"/>
      <c r="G2" s="826"/>
      <c r="I2" s="72"/>
      <c r="J2" s="73"/>
    </row>
    <row r="3" spans="2:12" ht="13.5" thickTop="1" x14ac:dyDescent="0.2">
      <c r="B3" s="74" t="s">
        <v>116</v>
      </c>
      <c r="C3" s="75">
        <f>IF(AND($J$1&lt;&gt;B4,$J$1&lt;&gt;B5),1,0)</f>
        <v>0</v>
      </c>
      <c r="D3" s="827"/>
      <c r="E3" s="829"/>
      <c r="F3" s="830" t="s">
        <v>116</v>
      </c>
      <c r="G3" s="832" t="s">
        <v>152</v>
      </c>
      <c r="H3" s="824" t="s">
        <v>115</v>
      </c>
      <c r="I3" s="76"/>
    </row>
    <row r="4" spans="2:12" ht="13.5" thickBot="1" x14ac:dyDescent="0.25">
      <c r="B4" s="74" t="s">
        <v>152</v>
      </c>
      <c r="C4" s="75">
        <f>IF($J$1=B4,1,0)</f>
        <v>1</v>
      </c>
      <c r="D4" s="828"/>
      <c r="E4" s="829"/>
      <c r="F4" s="831"/>
      <c r="G4" s="833"/>
      <c r="H4" s="825"/>
      <c r="I4" s="77"/>
      <c r="J4" s="78"/>
    </row>
    <row r="5" spans="2:12" ht="29.25" thickTop="1" x14ac:dyDescent="0.45">
      <c r="B5" s="74" t="s">
        <v>115</v>
      </c>
      <c r="C5" s="75">
        <f>IF($J$1=B5,1,0)</f>
        <v>0</v>
      </c>
      <c r="E5" s="74"/>
      <c r="F5" s="82" t="str">
        <f>$E$36</f>
        <v>Überschriften</v>
      </c>
      <c r="G5" s="83"/>
      <c r="H5" s="84"/>
      <c r="I5" s="77"/>
      <c r="J5" s="78"/>
    </row>
    <row r="6" spans="2:12" x14ac:dyDescent="0.2">
      <c r="E6" s="74" t="str">
        <f>IF($C$3,F6,IF($C$4,G6,IF($H6&lt;&gt;"",$H6,$F6)))</f>
        <v>Tie Break Vorrunde</v>
      </c>
      <c r="F6" s="81" t="s">
        <v>226</v>
      </c>
      <c r="G6" s="79" t="s">
        <v>225</v>
      </c>
      <c r="H6" s="102"/>
    </row>
    <row r="7" spans="2:12" x14ac:dyDescent="0.2">
      <c r="E7" s="74" t="str">
        <f t="shared" ref="E7:E94" si="0">IF($C$3,F7,IF($C$4,G7,IF($H7&lt;&gt;"",$H7,$F7)))</f>
        <v>Direkte Vergleiche</v>
      </c>
      <c r="F7" s="81" t="s">
        <v>117</v>
      </c>
      <c r="G7" s="79" t="s">
        <v>13</v>
      </c>
      <c r="H7" s="80"/>
    </row>
    <row r="8" spans="2:12" x14ac:dyDescent="0.2">
      <c r="E8" s="74" t="str">
        <f t="shared" si="0"/>
        <v>Dein Datum</v>
      </c>
      <c r="F8" s="100" t="s">
        <v>147</v>
      </c>
      <c r="G8" s="99" t="s">
        <v>146</v>
      </c>
      <c r="H8" s="80"/>
    </row>
    <row r="9" spans="2:12" ht="15" customHeight="1" x14ac:dyDescent="0.45">
      <c r="E9" s="74" t="str">
        <f t="shared" si="0"/>
        <v>Nr.</v>
      </c>
      <c r="F9" s="97" t="s">
        <v>120</v>
      </c>
      <c r="G9" s="96" t="s">
        <v>0</v>
      </c>
      <c r="H9" s="80"/>
      <c r="I9" s="88"/>
    </row>
    <row r="10" spans="2:12" ht="15" customHeight="1" x14ac:dyDescent="0.45">
      <c r="E10" s="74" t="str">
        <f t="shared" si="0"/>
        <v>Teilnehmer bzw. Mannschaft</v>
      </c>
      <c r="F10" s="97" t="s">
        <v>121</v>
      </c>
      <c r="G10" s="96" t="s">
        <v>22</v>
      </c>
      <c r="H10" s="80"/>
      <c r="I10" s="88"/>
    </row>
    <row r="11" spans="2:12" ht="15" customHeight="1" x14ac:dyDescent="0.45">
      <c r="E11" s="74" t="str">
        <f t="shared" si="0"/>
        <v>Ergebnisse</v>
      </c>
      <c r="F11" s="97" t="s">
        <v>122</v>
      </c>
      <c r="G11" s="96" t="s">
        <v>23</v>
      </c>
      <c r="H11" s="80"/>
      <c r="I11" s="88"/>
    </row>
    <row r="12" spans="2:12" ht="15" customHeight="1" x14ac:dyDescent="0.45">
      <c r="E12" s="74" t="str">
        <f t="shared" si="0"/>
        <v>Tabelle</v>
      </c>
      <c r="F12" s="97" t="s">
        <v>123</v>
      </c>
      <c r="G12" s="96" t="s">
        <v>14</v>
      </c>
      <c r="H12" s="80"/>
      <c r="I12" s="88"/>
    </row>
    <row r="13" spans="2:12" ht="15" customHeight="1" x14ac:dyDescent="0.45">
      <c r="E13" s="74" t="str">
        <f t="shared" si="0"/>
        <v>Tabelle (Kopie)</v>
      </c>
      <c r="F13" s="97" t="s">
        <v>124</v>
      </c>
      <c r="G13" s="96" t="s">
        <v>53</v>
      </c>
      <c r="H13" s="80"/>
      <c r="I13" s="88"/>
    </row>
    <row r="14" spans="2:12" ht="15" customHeight="1" x14ac:dyDescent="0.45">
      <c r="E14" s="74" t="str">
        <f t="shared" si="0"/>
        <v>Spielpaarung</v>
      </c>
      <c r="F14" s="97" t="s">
        <v>127</v>
      </c>
      <c r="G14" s="96" t="s">
        <v>1</v>
      </c>
      <c r="H14" s="80"/>
      <c r="I14" s="88"/>
    </row>
    <row r="15" spans="2:12" ht="15" customHeight="1" x14ac:dyDescent="0.45">
      <c r="E15" s="74" t="str">
        <f t="shared" si="0"/>
        <v>Ergebnis</v>
      </c>
      <c r="F15" s="97" t="s">
        <v>128</v>
      </c>
      <c r="G15" s="96" t="s">
        <v>2</v>
      </c>
      <c r="H15" s="80"/>
      <c r="I15" s="88"/>
    </row>
    <row r="16" spans="2:12" ht="15" customHeight="1" x14ac:dyDescent="0.45">
      <c r="E16" s="74" t="str">
        <f t="shared" si="0"/>
        <v>Gruppe</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Vorrunde</v>
      </c>
      <c r="F18" s="97" t="s">
        <v>220</v>
      </c>
      <c r="G18" s="96" t="s">
        <v>218</v>
      </c>
      <c r="H18" s="80"/>
      <c r="I18" s="88"/>
    </row>
    <row r="19" spans="5:13" ht="15" customHeight="1" x14ac:dyDescent="0.45">
      <c r="E19" s="74" t="str">
        <f t="shared" si="0"/>
        <v>Endrunde</v>
      </c>
      <c r="F19" s="97" t="s">
        <v>221</v>
      </c>
      <c r="G19" s="96" t="s">
        <v>219</v>
      </c>
      <c r="H19" s="80"/>
      <c r="I19" s="88"/>
    </row>
    <row r="20" spans="5:13" ht="15" x14ac:dyDescent="0.25">
      <c r="E20" s="74" t="str">
        <f t="shared" si="0"/>
        <v>Zusätzl. Pause (min)</v>
      </c>
      <c r="F20" s="100" t="s">
        <v>235</v>
      </c>
      <c r="G20" s="99" t="s">
        <v>234</v>
      </c>
      <c r="H20" s="80"/>
      <c r="I20" s="89"/>
      <c r="J20" s="89"/>
      <c r="K20" s="89"/>
      <c r="L20" s="89"/>
      <c r="M20" s="89"/>
    </row>
    <row r="21" spans="5:13" ht="15" x14ac:dyDescent="0.25">
      <c r="E21" s="74" t="str">
        <f t="shared" si="0"/>
        <v>SP</v>
      </c>
      <c r="F21" s="100" t="s">
        <v>105</v>
      </c>
      <c r="G21" s="99" t="s">
        <v>129</v>
      </c>
      <c r="H21" s="80"/>
      <c r="I21" s="89"/>
      <c r="J21" s="89"/>
      <c r="K21" s="89"/>
      <c r="L21" s="89"/>
      <c r="M21" s="89"/>
    </row>
    <row r="22" spans="5:13" ht="15" x14ac:dyDescent="0.25">
      <c r="E22" s="74" t="str">
        <f t="shared" si="0"/>
        <v>G</v>
      </c>
      <c r="F22" s="100" t="s">
        <v>106</v>
      </c>
      <c r="G22" s="99" t="s">
        <v>130</v>
      </c>
      <c r="H22" s="80"/>
      <c r="I22" s="89"/>
      <c r="J22" s="89"/>
      <c r="K22" s="89"/>
      <c r="L22" s="89"/>
      <c r="M22" s="89"/>
    </row>
    <row r="23" spans="5:13" ht="15" x14ac:dyDescent="0.25">
      <c r="E23" s="74" t="str">
        <f t="shared" si="0"/>
        <v>U</v>
      </c>
      <c r="F23" s="100" t="s">
        <v>107</v>
      </c>
      <c r="G23" s="99" t="s">
        <v>131</v>
      </c>
      <c r="H23" s="80"/>
      <c r="I23" s="89"/>
      <c r="J23" s="89"/>
      <c r="K23" s="89"/>
      <c r="L23" s="89"/>
      <c r="M23" s="89"/>
    </row>
    <row r="24" spans="5:13" ht="15" x14ac:dyDescent="0.25">
      <c r="E24" s="74" t="str">
        <f t="shared" si="0"/>
        <v>V</v>
      </c>
      <c r="F24" s="100" t="s">
        <v>108</v>
      </c>
      <c r="G24" s="99" t="s">
        <v>132</v>
      </c>
      <c r="H24" s="80"/>
      <c r="I24" s="89"/>
      <c r="J24" s="89"/>
      <c r="K24" s="89"/>
      <c r="L24" s="89"/>
      <c r="M24" s="89"/>
    </row>
    <row r="25" spans="5:13" ht="15" x14ac:dyDescent="0.25">
      <c r="E25" s="74" t="str">
        <f t="shared" si="0"/>
        <v>Tore</v>
      </c>
      <c r="F25" s="100" t="s">
        <v>96</v>
      </c>
      <c r="G25" s="99" t="s">
        <v>3</v>
      </c>
      <c r="H25" s="80"/>
      <c r="I25" s="89"/>
      <c r="J25" s="89"/>
      <c r="K25" s="89"/>
      <c r="L25" s="89"/>
      <c r="M25" s="89"/>
    </row>
    <row r="26" spans="5:13" ht="15" x14ac:dyDescent="0.25">
      <c r="E26" s="74" t="str">
        <f t="shared" si="0"/>
        <v>Diff.</v>
      </c>
      <c r="F26" s="100" t="s">
        <v>111</v>
      </c>
      <c r="G26" s="99" t="s">
        <v>4</v>
      </c>
      <c r="H26" s="80"/>
      <c r="I26" s="89"/>
      <c r="J26" s="89"/>
      <c r="K26" s="89"/>
      <c r="L26" s="89"/>
      <c r="M26" s="89"/>
    </row>
    <row r="27" spans="5:13" ht="15" x14ac:dyDescent="0.25">
      <c r="E27" s="74" t="str">
        <f t="shared" si="0"/>
        <v>Pkt</v>
      </c>
      <c r="F27" s="100" t="s">
        <v>112</v>
      </c>
      <c r="G27" s="99" t="s">
        <v>133</v>
      </c>
      <c r="H27" s="80"/>
      <c r="I27" s="89"/>
      <c r="J27" s="89"/>
      <c r="K27" s="89"/>
      <c r="L27" s="89"/>
      <c r="M27" s="89"/>
    </row>
    <row r="28" spans="5:13" ht="15" x14ac:dyDescent="0.25">
      <c r="E28" s="74" t="str">
        <f t="shared" si="0"/>
        <v>erz. Tore</v>
      </c>
      <c r="F28" s="100" t="s">
        <v>109</v>
      </c>
      <c r="G28" s="99" t="s">
        <v>156</v>
      </c>
      <c r="H28" s="80"/>
      <c r="I28" s="89"/>
      <c r="J28" s="89"/>
      <c r="K28" s="89"/>
      <c r="L28" s="89"/>
      <c r="M28" s="89"/>
    </row>
    <row r="29" spans="5:13" x14ac:dyDescent="0.2">
      <c r="E29" s="74" t="str">
        <f t="shared" si="0"/>
        <v>Turnierende:</v>
      </c>
      <c r="F29" s="100" t="s">
        <v>237</v>
      </c>
      <c r="G29" s="99" t="s">
        <v>236</v>
      </c>
      <c r="H29" s="80"/>
    </row>
    <row r="30" spans="5:13" x14ac:dyDescent="0.2">
      <c r="E30" s="74" t="str">
        <f t="shared" si="0"/>
        <v>Teilnehmer und Ablaufplan</v>
      </c>
      <c r="F30" s="100" t="s">
        <v>134</v>
      </c>
      <c r="G30" s="99" t="s">
        <v>20</v>
      </c>
      <c r="H30" s="80"/>
    </row>
    <row r="31" spans="5:13" x14ac:dyDescent="0.2">
      <c r="E31" s="74" t="str">
        <f t="shared" si="0"/>
        <v>Teilnehmer</v>
      </c>
      <c r="F31" s="101" t="s">
        <v>135</v>
      </c>
      <c r="G31" s="99" t="s">
        <v>21</v>
      </c>
      <c r="H31" s="80"/>
    </row>
    <row r="32" spans="5:13" x14ac:dyDescent="0.2">
      <c r="E32" s="74" t="str">
        <f t="shared" si="0"/>
        <v>Ablaufplan</v>
      </c>
      <c r="F32" s="101" t="s">
        <v>136</v>
      </c>
      <c r="G32" s="99" t="s">
        <v>24</v>
      </c>
      <c r="H32" s="80"/>
    </row>
    <row r="33" spans="5:8" x14ac:dyDescent="0.2">
      <c r="E33" s="74" t="str">
        <f t="shared" si="0"/>
        <v>Spiel-Nr.</v>
      </c>
      <c r="F33" s="101" t="s">
        <v>137</v>
      </c>
      <c r="G33" s="99" t="s">
        <v>52</v>
      </c>
      <c r="H33" s="80"/>
    </row>
    <row r="34" spans="5:8" x14ac:dyDescent="0.2">
      <c r="E34" s="74" t="str">
        <f t="shared" si="0"/>
        <v>Paarungen</v>
      </c>
      <c r="F34" s="101" t="s">
        <v>140</v>
      </c>
      <c r="G34" s="99" t="s">
        <v>54</v>
      </c>
      <c r="H34" s="80"/>
    </row>
    <row r="35" spans="5:8" x14ac:dyDescent="0.2">
      <c r="E35" s="74" t="str">
        <f t="shared" si="0"/>
        <v>Sprache wählen</v>
      </c>
      <c r="F35" s="100" t="s">
        <v>114</v>
      </c>
      <c r="G35" s="99" t="s">
        <v>145</v>
      </c>
      <c r="H35" s="80"/>
    </row>
    <row r="36" spans="5:8" x14ac:dyDescent="0.2">
      <c r="E36" s="74" t="str">
        <f t="shared" si="0"/>
        <v>Überschriften</v>
      </c>
      <c r="F36" s="100" t="s">
        <v>118</v>
      </c>
      <c r="G36" s="99" t="s">
        <v>142</v>
      </c>
      <c r="H36" s="80"/>
    </row>
    <row r="37" spans="5:8" x14ac:dyDescent="0.2">
      <c r="E37" s="74" t="str">
        <f t="shared" si="0"/>
        <v>Meldungen</v>
      </c>
      <c r="F37" s="100" t="s">
        <v>143</v>
      </c>
      <c r="G37" s="99" t="s">
        <v>144</v>
      </c>
      <c r="H37" s="80"/>
    </row>
    <row r="38" spans="5:8" x14ac:dyDescent="0.2">
      <c r="E38" s="74" t="str">
        <f t="shared" si="0"/>
        <v>Deine Überschriften</v>
      </c>
      <c r="F38" s="100" t="s">
        <v>150</v>
      </c>
      <c r="G38" s="99" t="s">
        <v>149</v>
      </c>
      <c r="H38" s="80"/>
    </row>
    <row r="39" spans="5:8" x14ac:dyDescent="0.2">
      <c r="E39" s="74" t="str">
        <f t="shared" si="0"/>
        <v>Beginn</v>
      </c>
      <c r="F39" s="100" t="s">
        <v>314</v>
      </c>
      <c r="G39" s="99" t="s">
        <v>315</v>
      </c>
      <c r="H39" s="80"/>
    </row>
    <row r="40" spans="5:8" x14ac:dyDescent="0.2">
      <c r="E40" s="74" t="str">
        <f t="shared" si="0"/>
        <v>Ende der Vorrunde:</v>
      </c>
      <c r="F40" s="100" t="s">
        <v>240</v>
      </c>
      <c r="G40" s="99" t="s">
        <v>241</v>
      </c>
      <c r="H40" s="80"/>
    </row>
    <row r="41" spans="5:8" x14ac:dyDescent="0.2">
      <c r="E41" s="74" t="str">
        <f t="shared" si="0"/>
        <v>Spielzeiten</v>
      </c>
      <c r="F41" s="100" t="s">
        <v>175</v>
      </c>
      <c r="G41" s="99" t="s">
        <v>174</v>
      </c>
      <c r="H41" s="80"/>
    </row>
    <row r="42" spans="5:8" x14ac:dyDescent="0.2">
      <c r="E42" s="74" t="str">
        <f t="shared" si="0"/>
        <v>Spielzeit pro Spiel:</v>
      </c>
      <c r="F42" s="100" t="s">
        <v>242</v>
      </c>
      <c r="G42" s="99" t="s">
        <v>243</v>
      </c>
      <c r="H42" s="80"/>
    </row>
    <row r="43" spans="5:8" x14ac:dyDescent="0.2">
      <c r="E43" s="74" t="str">
        <f t="shared" si="0"/>
        <v>Wechselzeit:</v>
      </c>
      <c r="F43" s="100" t="s">
        <v>244</v>
      </c>
      <c r="G43" s="99" t="s">
        <v>245</v>
      </c>
      <c r="H43" s="80"/>
    </row>
    <row r="44" spans="5:8" x14ac:dyDescent="0.2">
      <c r="E44" s="74" t="str">
        <f t="shared" si="0"/>
        <v>Anzahl der Spielfelder:</v>
      </c>
      <c r="F44" s="100" t="s">
        <v>312</v>
      </c>
      <c r="G44" s="99" t="s">
        <v>311</v>
      </c>
      <c r="H44" s="80"/>
    </row>
    <row r="45" spans="5:8" x14ac:dyDescent="0.2">
      <c r="E45" s="74" t="str">
        <f t="shared" si="0"/>
        <v>Uhr</v>
      </c>
      <c r="F45" s="100" t="s">
        <v>167</v>
      </c>
      <c r="G45" s="99" t="s">
        <v>166</v>
      </c>
      <c r="H45" s="80"/>
    </row>
    <row r="46" spans="5:8" x14ac:dyDescent="0.2">
      <c r="E46" s="74" t="str">
        <f t="shared" si="0"/>
        <v>Spiel gegen</v>
      </c>
      <c r="F46" s="100" t="s">
        <v>171</v>
      </c>
      <c r="G46" s="99" t="s">
        <v>170</v>
      </c>
      <c r="H46" s="80"/>
    </row>
    <row r="47" spans="5:8" x14ac:dyDescent="0.2">
      <c r="E47" s="74" t="str">
        <f t="shared" si="0"/>
        <v>Anmerkung</v>
      </c>
      <c r="F47" s="100" t="s">
        <v>172</v>
      </c>
      <c r="G47" s="99" t="s">
        <v>173</v>
      </c>
      <c r="H47" s="80"/>
    </row>
    <row r="48" spans="5:8" x14ac:dyDescent="0.2">
      <c r="E48" s="74" t="str">
        <f t="shared" si="0"/>
        <v>Feld</v>
      </c>
      <c r="F48" s="100" t="s">
        <v>246</v>
      </c>
      <c r="G48" s="99" t="s">
        <v>313</v>
      </c>
      <c r="H48" s="80"/>
    </row>
    <row r="49" spans="5:8" x14ac:dyDescent="0.2">
      <c r="E49" s="74" t="str">
        <f t="shared" si="0"/>
        <v>Bonus</v>
      </c>
      <c r="F49" s="81" t="s">
        <v>119</v>
      </c>
      <c r="G49" s="79" t="s">
        <v>59</v>
      </c>
      <c r="H49" s="80"/>
    </row>
    <row r="50" spans="5:8" x14ac:dyDescent="0.2">
      <c r="E50" s="74" t="str">
        <f t="shared" si="0"/>
        <v>Spielpaarungen</v>
      </c>
      <c r="F50" s="97" t="s">
        <v>181</v>
      </c>
      <c r="G50" s="96" t="s">
        <v>182</v>
      </c>
      <c r="H50" s="241"/>
    </row>
    <row r="51" spans="5:8" x14ac:dyDescent="0.2">
      <c r="E51" s="74" t="str">
        <f t="shared" si="0"/>
        <v>Einstellungen</v>
      </c>
      <c r="F51" s="97" t="s">
        <v>184</v>
      </c>
      <c r="G51" s="96" t="s">
        <v>183</v>
      </c>
      <c r="H51" s="241"/>
    </row>
    <row r="52" spans="5:8" x14ac:dyDescent="0.2">
      <c r="E52" s="74" t="str">
        <f t="shared" si="0"/>
        <v>Anzahl der Punkte für einen Sieg:</v>
      </c>
      <c r="F52" s="97" t="s">
        <v>186</v>
      </c>
      <c r="G52" s="96" t="s">
        <v>185</v>
      </c>
      <c r="H52" s="241"/>
    </row>
    <row r="53" spans="5:8" x14ac:dyDescent="0.2">
      <c r="E53" s="74" t="str">
        <f t="shared" si="0"/>
        <v>Halbfinale</v>
      </c>
      <c r="F53" s="97" t="s">
        <v>260</v>
      </c>
      <c r="G53" s="96" t="s">
        <v>257</v>
      </c>
      <c r="H53" s="241"/>
    </row>
    <row r="54" spans="5:8" x14ac:dyDescent="0.2">
      <c r="E54" s="74" t="str">
        <f t="shared" si="0"/>
        <v>Endspiele</v>
      </c>
      <c r="F54" s="97" t="s">
        <v>259</v>
      </c>
      <c r="G54" s="96" t="s">
        <v>258</v>
      </c>
      <c r="H54" s="241"/>
    </row>
    <row r="55" spans="5:8" x14ac:dyDescent="0.2">
      <c r="E55" s="74" t="str">
        <f t="shared" si="0"/>
        <v xml:space="preserve">Spiele um die Plätze </v>
      </c>
      <c r="F55" s="97" t="s">
        <v>262</v>
      </c>
      <c r="G55" s="96" t="s">
        <v>261</v>
      </c>
      <c r="H55" s="241"/>
    </row>
    <row r="56" spans="5:8" x14ac:dyDescent="0.2">
      <c r="E56" s="74" t="str">
        <f t="shared" si="0"/>
        <v>Vorrunde Gruppe</v>
      </c>
      <c r="F56" s="97" t="s">
        <v>264</v>
      </c>
      <c r="G56" s="96" t="s">
        <v>263</v>
      </c>
      <c r="H56" s="241"/>
    </row>
    <row r="57" spans="5:8" x14ac:dyDescent="0.2">
      <c r="E57" s="74" t="str">
        <f t="shared" si="0"/>
        <v>Gruppenerste und -zweite</v>
      </c>
      <c r="F57" s="97" t="s">
        <v>321</v>
      </c>
      <c r="G57" s="96" t="s">
        <v>322</v>
      </c>
      <c r="H57" s="241"/>
    </row>
    <row r="58" spans="5:8" x14ac:dyDescent="0.2">
      <c r="E58" s="74" t="str">
        <f t="shared" si="0"/>
        <v>Gruppendritte und -vierte</v>
      </c>
      <c r="F58" s="97" t="s">
        <v>323</v>
      </c>
      <c r="G58" s="96" t="s">
        <v>324</v>
      </c>
      <c r="H58" s="241"/>
    </row>
    <row r="59" spans="5:8" x14ac:dyDescent="0.2">
      <c r="E59" s="74" t="str">
        <f t="shared" si="0"/>
        <v>Gruppenfünfte und -sechste</v>
      </c>
      <c r="F59" s="97" t="s">
        <v>325</v>
      </c>
      <c r="G59" s="96" t="s">
        <v>326</v>
      </c>
      <c r="H59" s="241"/>
    </row>
    <row r="60" spans="5:8" x14ac:dyDescent="0.2">
      <c r="E60" s="74" t="str">
        <f t="shared" si="0"/>
        <v>Spiel Nr.</v>
      </c>
      <c r="F60" s="97" t="s">
        <v>347</v>
      </c>
      <c r="G60" s="96" t="s">
        <v>346</v>
      </c>
      <c r="H60" s="241"/>
    </row>
    <row r="61" spans="5:8" x14ac:dyDescent="0.2">
      <c r="E61" s="74" t="str">
        <f t="shared" si="0"/>
        <v>Elfmeter</v>
      </c>
      <c r="F61" s="81" t="s">
        <v>239</v>
      </c>
      <c r="G61" s="79" t="s">
        <v>238</v>
      </c>
      <c r="H61" s="241"/>
    </row>
    <row r="62" spans="5:8" ht="28.5" x14ac:dyDescent="0.45">
      <c r="E62" s="74"/>
      <c r="F62" s="85" t="str">
        <f>$E$37</f>
        <v>Meldungen</v>
      </c>
      <c r="G62" s="86"/>
      <c r="H62" s="87"/>
    </row>
    <row r="63" spans="5:8" ht="79.5" customHeight="1" x14ac:dyDescent="0.2">
      <c r="E63" s="74" t="str">
        <f t="shared" si="0"/>
        <v>Sind zwei oder mehr Mannschaften nicht unterscheidbar und wird eine Entscheidung z.B. durch Elfmeterschießen oder Los getroffen, genügt es, für die bevorzugte Mannschaft einen Bonuspunkt einzutragen.</v>
      </c>
      <c r="F63" s="91" t="s">
        <v>250</v>
      </c>
      <c r="G63" s="92" t="s">
        <v>249</v>
      </c>
      <c r="H63" s="93"/>
    </row>
    <row r="64" spans="5:8" ht="51.75" customHeight="1" x14ac:dyDescent="0.2">
      <c r="E64" s="74" t="str">
        <f t="shared" si="0"/>
        <v>Doppelte Spielpaarungen und Spiele gegen sich selbst
führen in der Gesamttabelle zu falschen Werten!</v>
      </c>
      <c r="F64" s="98" t="s">
        <v>159</v>
      </c>
      <c r="G64" s="141" t="s">
        <v>56</v>
      </c>
      <c r="H64" s="93"/>
    </row>
    <row r="65" spans="5:8" ht="51.75" customHeight="1" x14ac:dyDescent="0.2">
      <c r="E65" s="74" t="str">
        <f t="shared" si="0"/>
        <v>Änderung der Spielpaarungen nur auf dem Blatt 'Planung'!   Hier nur die Ergebnisse eintragen!</v>
      </c>
      <c r="F65" s="98" t="s">
        <v>126</v>
      </c>
      <c r="G65" s="92" t="s">
        <v>125</v>
      </c>
      <c r="H65" s="93"/>
    </row>
    <row r="66" spans="5:8" ht="16.5" customHeight="1" x14ac:dyDescent="0.2">
      <c r="E66" s="74" t="str">
        <f t="shared" si="0"/>
        <v>Kann gelöscht werden   →</v>
      </c>
      <c r="F66" s="104" t="s">
        <v>151</v>
      </c>
      <c r="G66" s="103" t="s">
        <v>148</v>
      </c>
      <c r="H66" s="94"/>
    </row>
    <row r="67" spans="5:8" ht="20.25" customHeight="1" x14ac:dyDescent="0.2">
      <c r="E67" s="74" t="str">
        <f t="shared" si="0"/>
        <v>Hier klicken und Sprache wählen</v>
      </c>
      <c r="F67" s="110" t="s">
        <v>154</v>
      </c>
      <c r="G67" s="108" t="s">
        <v>153</v>
      </c>
      <c r="H67" s="95"/>
    </row>
    <row r="68" spans="5:8" ht="32.25" customHeight="1" x14ac:dyDescent="0.2">
      <c r="E68" s="74" t="str">
        <f t="shared" si="0"/>
        <v>Doppelte Namen führen zu
falschen Tabellenwerten</v>
      </c>
      <c r="F68" s="167" t="s">
        <v>164</v>
      </c>
      <c r="G68" s="166" t="s">
        <v>55</v>
      </c>
      <c r="H68" s="95"/>
    </row>
    <row r="69" spans="5:8" ht="51.75" customHeight="1" x14ac:dyDescent="0.2">
      <c r="E69" s="74" t="str">
        <f t="shared" si="0"/>
        <v>Rote Schrift bedeutet, dass die Rangfolge auch mit dem direkten Vergleich nicht geklärt ist. Fair Play oder Los muss hier entscheiden.</v>
      </c>
      <c r="F69" s="256" t="s">
        <v>158</v>
      </c>
      <c r="G69" s="257" t="s">
        <v>157</v>
      </c>
      <c r="H69" s="94"/>
    </row>
    <row r="70" spans="5:8" ht="17.25" customHeight="1" x14ac:dyDescent="0.2">
      <c r="E70" s="74" t="str">
        <f t="shared" si="0"/>
        <v>Zeitkonflikt</v>
      </c>
      <c r="F70" s="258" t="s">
        <v>169</v>
      </c>
      <c r="G70" s="259" t="s">
        <v>168</v>
      </c>
      <c r="H70" s="260"/>
    </row>
    <row r="71" spans="5:8" ht="16.5" customHeight="1" x14ac:dyDescent="0.2">
      <c r="E71" s="74" t="str">
        <f t="shared" si="0"/>
        <v>:</v>
      </c>
      <c r="F71" s="261" t="s">
        <v>5</v>
      </c>
      <c r="G71" s="278" t="s">
        <v>233</v>
      </c>
      <c r="H71" s="260"/>
    </row>
    <row r="72" spans="5:8" ht="33" customHeight="1" x14ac:dyDescent="0.2">
      <c r="E72" s="74" t="str">
        <f t="shared" si="0"/>
        <v>Direkte Vergleiche bei Gleichstand in Punkten, Tordifferenz und erzielten Toren (FIFA-Modus)</v>
      </c>
      <c r="F72" s="266" t="s">
        <v>194</v>
      </c>
      <c r="G72" s="267" t="s">
        <v>191</v>
      </c>
      <c r="H72" s="263"/>
    </row>
    <row r="73" spans="5:8" ht="32.25" customHeight="1" x14ac:dyDescent="0.2">
      <c r="E73" s="74" t="str">
        <f t="shared" si="0"/>
        <v>Direkte Vergleiche bei Gleichstand in Punkten (UEFA-Modus)</v>
      </c>
      <c r="F73" s="266" t="s">
        <v>192</v>
      </c>
      <c r="G73" s="267" t="s">
        <v>193</v>
      </c>
      <c r="H73" s="263"/>
    </row>
    <row r="74" spans="5:8" ht="18" customHeight="1" x14ac:dyDescent="0.2">
      <c r="E74" s="74" t="str">
        <f t="shared" si="0"/>
        <v>Modus für direkte Vergleiche:</v>
      </c>
      <c r="F74" s="269" t="s">
        <v>196</v>
      </c>
      <c r="G74" s="270" t="s">
        <v>195</v>
      </c>
      <c r="H74" s="271"/>
    </row>
    <row r="75" spans="5:8" ht="18" customHeight="1" x14ac:dyDescent="0.2">
      <c r="E75" s="74" t="str">
        <f t="shared" si="0"/>
        <v>Modus 1</v>
      </c>
      <c r="F75" s="269" t="s">
        <v>199</v>
      </c>
      <c r="G75" s="270" t="s">
        <v>197</v>
      </c>
      <c r="H75" s="271"/>
    </row>
    <row r="76" spans="5:8" ht="20.25" customHeight="1" x14ac:dyDescent="0.2">
      <c r="E76" s="74" t="str">
        <f t="shared" si="0"/>
        <v>Modus 2</v>
      </c>
      <c r="F76" s="269" t="s">
        <v>200</v>
      </c>
      <c r="G76" s="270" t="s">
        <v>198</v>
      </c>
      <c r="H76" s="271"/>
    </row>
    <row r="77" spans="5:8" ht="18" customHeight="1" x14ac:dyDescent="0.2">
      <c r="E77" s="74" t="str">
        <f t="shared" si="0"/>
        <v>Abkürzungen der Mannschaftsnamen:</v>
      </c>
      <c r="F77" s="269" t="s">
        <v>283</v>
      </c>
      <c r="G77" s="270" t="s">
        <v>284</v>
      </c>
      <c r="H77" s="271"/>
    </row>
    <row r="78" spans="5:8" ht="17.25" customHeight="1" x14ac:dyDescent="0.2">
      <c r="E78" s="74" t="str">
        <f t="shared" si="0"/>
        <v>Buchstaben</v>
      </c>
      <c r="F78" s="269" t="s">
        <v>202</v>
      </c>
      <c r="G78" s="270" t="s">
        <v>201</v>
      </c>
      <c r="H78" s="271"/>
    </row>
    <row r="79" spans="5:8" ht="18" customHeight="1" x14ac:dyDescent="0.2">
      <c r="E79" s="74" t="str">
        <f t="shared" si="0"/>
        <v>Rang</v>
      </c>
      <c r="F79" s="269" t="s">
        <v>248</v>
      </c>
      <c r="G79" s="270" t="s">
        <v>247</v>
      </c>
      <c r="H79" s="271"/>
    </row>
    <row r="80" spans="5:8" ht="16.5" customHeight="1" x14ac:dyDescent="0.2">
      <c r="E80" s="74" t="str">
        <f t="shared" si="0"/>
        <v>3. Platz</v>
      </c>
      <c r="F80" s="269" t="s">
        <v>256</v>
      </c>
      <c r="G80" s="270" t="s">
        <v>253</v>
      </c>
      <c r="H80" s="271"/>
    </row>
    <row r="81" spans="5:8" ht="17.25" customHeight="1" x14ac:dyDescent="0.2">
      <c r="E81" s="74" t="str">
        <f t="shared" si="0"/>
        <v>Finale</v>
      </c>
      <c r="F81" s="269" t="s">
        <v>255</v>
      </c>
      <c r="G81" s="270" t="s">
        <v>254</v>
      </c>
      <c r="H81" s="271"/>
    </row>
    <row r="82" spans="5:8" ht="30.75" customHeight="1" x14ac:dyDescent="0.2">
      <c r="E82" s="74" t="str">
        <f t="shared" si="0"/>
        <v xml:space="preserve">Wegen zeitlicher Konflikte kann nur auf maximal </v>
      </c>
      <c r="F82" s="266" t="s">
        <v>280</v>
      </c>
      <c r="G82" s="267" t="s">
        <v>281</v>
      </c>
      <c r="H82" s="271"/>
    </row>
    <row r="83" spans="5:8" ht="17.25" customHeight="1" x14ac:dyDescent="0.2">
      <c r="E83" s="74" t="str">
        <f t="shared" si="0"/>
        <v xml:space="preserve"> Spielplätzen gleichzeitig gespielt werden.</v>
      </c>
      <c r="F83" s="266" t="s">
        <v>291</v>
      </c>
      <c r="G83" s="267" t="s">
        <v>282</v>
      </c>
      <c r="H83" s="271"/>
    </row>
    <row r="84" spans="5:8" ht="17.25" customHeight="1" x14ac:dyDescent="0.2">
      <c r="E84" s="74" t="str">
        <f t="shared" si="0"/>
        <v>Turnierende (Endrunde 1):</v>
      </c>
      <c r="F84" s="269" t="s">
        <v>285</v>
      </c>
      <c r="G84" s="270" t="s">
        <v>286</v>
      </c>
      <c r="H84" s="271"/>
    </row>
    <row r="85" spans="5:8" ht="17.25" customHeight="1" x14ac:dyDescent="0.2">
      <c r="E85" s="74" t="str">
        <f t="shared" si="0"/>
        <v>Turnierende (Endrunde 2):</v>
      </c>
      <c r="F85" s="269" t="s">
        <v>287</v>
      </c>
      <c r="G85" s="270" t="s">
        <v>288</v>
      </c>
      <c r="H85" s="271"/>
    </row>
    <row r="86" spans="5:8" ht="17.25" customHeight="1" x14ac:dyDescent="0.2">
      <c r="E86" s="74" t="str">
        <f t="shared" si="0"/>
        <v>Turnierende (Endrunde 3):</v>
      </c>
      <c r="F86" s="269" t="s">
        <v>316</v>
      </c>
      <c r="G86" s="270" t="s">
        <v>317</v>
      </c>
      <c r="H86" s="271"/>
    </row>
    <row r="87" spans="5:8" ht="17.25" customHeight="1" x14ac:dyDescent="0.2">
      <c r="E87" s="74" t="str">
        <f t="shared" si="0"/>
        <v>Turnierende (Endrunde 4):</v>
      </c>
      <c r="F87" s="269" t="s">
        <v>337</v>
      </c>
      <c r="G87" s="270" t="s">
        <v>338</v>
      </c>
      <c r="H87" s="271"/>
    </row>
    <row r="88" spans="5:8" ht="17.25" customHeight="1" x14ac:dyDescent="0.2">
      <c r="E88" s="74">
        <f t="shared" si="0"/>
        <v>0</v>
      </c>
      <c r="F88" s="269"/>
      <c r="G88" s="270"/>
      <c r="H88" s="271"/>
    </row>
    <row r="89" spans="5:8" ht="17.25" customHeight="1" x14ac:dyDescent="0.2">
      <c r="E89" s="74" t="str">
        <f t="shared" si="0"/>
        <v xml:space="preserve">ZEITKONFLIKT für Team </v>
      </c>
      <c r="F89" s="269" t="s">
        <v>296</v>
      </c>
      <c r="G89" s="270" t="s">
        <v>297</v>
      </c>
      <c r="H89" s="271"/>
    </row>
    <row r="90" spans="5:8" ht="17.25" customHeight="1" x14ac:dyDescent="0.2">
      <c r="E90" s="74" t="str">
        <f t="shared" si="0"/>
        <v xml:space="preserve">in den Spielen </v>
      </c>
      <c r="F90" s="269" t="s">
        <v>298</v>
      </c>
      <c r="G90" s="270" t="s">
        <v>299</v>
      </c>
      <c r="H90" s="271"/>
    </row>
    <row r="91" spans="5:8" ht="17.25" customHeight="1" x14ac:dyDescent="0.2">
      <c r="E91" s="74" t="str">
        <f t="shared" si="0"/>
        <v xml:space="preserve"> und </v>
      </c>
      <c r="F91" s="269" t="s">
        <v>300</v>
      </c>
      <c r="G91" s="270" t="s">
        <v>301</v>
      </c>
      <c r="H91" s="271"/>
    </row>
    <row r="92" spans="5:8" ht="31.5" customHeight="1" x14ac:dyDescent="0.2">
      <c r="E92" s="74" t="str">
        <f t="shared" si="0"/>
        <v>ZEITKONFLIKT
Zu viele Spielplätze!</v>
      </c>
      <c r="F92" s="269" t="s">
        <v>289</v>
      </c>
      <c r="G92" s="270" t="s">
        <v>290</v>
      </c>
      <c r="H92" s="271"/>
    </row>
    <row r="93" spans="5:8" ht="17.25" customHeight="1" x14ac:dyDescent="0.2">
      <c r="E93" s="74" t="str">
        <f t="shared" si="0"/>
        <v>Anstoßzeiten Endrunde 4</v>
      </c>
      <c r="F93" s="269" t="s">
        <v>349</v>
      </c>
      <c r="G93" s="270" t="s">
        <v>350</v>
      </c>
      <c r="H93" s="271"/>
    </row>
    <row r="94" spans="5:8" ht="18.75" customHeight="1" thickBot="1" x14ac:dyDescent="0.25">
      <c r="E94" s="74">
        <f t="shared" si="0"/>
        <v>0</v>
      </c>
      <c r="F94" s="264"/>
      <c r="G94" s="262"/>
      <c r="H94" s="265"/>
    </row>
    <row r="95" spans="5:8" ht="13.5" thickTop="1" x14ac:dyDescent="0.2"/>
    <row r="96" spans="5:8" x14ac:dyDescent="0.2"/>
    <row r="97" spans="9:9" x14ac:dyDescent="0.2"/>
    <row r="98" spans="9:9" x14ac:dyDescent="0.2"/>
    <row r="99" spans="9:9" hidden="1" x14ac:dyDescent="0.2">
      <c r="I99" s="105"/>
    </row>
  </sheetData>
  <sheetProtection sheet="1" selectLockedCells="1"/>
  <mergeCells count="7">
    <mergeCell ref="F1:H1"/>
    <mergeCell ref="H3:H4"/>
    <mergeCell ref="F2:G2"/>
    <mergeCell ref="D3:D4"/>
    <mergeCell ref="E3:E4"/>
    <mergeCell ref="F3:F4"/>
    <mergeCell ref="G3:G4"/>
  </mergeCells>
  <conditionalFormatting sqref="F3:F4">
    <cfRule type="expression" dxfId="9" priority="7">
      <formula>C3</formula>
    </cfRule>
  </conditionalFormatting>
  <conditionalFormatting sqref="G3:G4">
    <cfRule type="expression" dxfId="8" priority="3">
      <formula>C4</formula>
    </cfRule>
  </conditionalFormatting>
  <conditionalFormatting sqref="D3:D4">
    <cfRule type="expression" dxfId="7" priority="84">
      <formula>#REF!</formula>
    </cfRule>
  </conditionalFormatting>
  <conditionalFormatting sqref="H3:H4">
    <cfRule type="expression" dxfId="6"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72" customWidth="1"/>
    <col min="2" max="2" width="37.140625" customWidth="1"/>
    <col min="3" max="3" width="7.28515625" customWidth="1"/>
    <col min="4" max="4" width="15" customWidth="1"/>
    <col min="5" max="5" width="11.42578125" customWidth="1"/>
    <col min="6" max="16384" width="11.42578125" hidden="1"/>
  </cols>
  <sheetData>
    <row r="1" spans="1:4" ht="26.25" x14ac:dyDescent="0.4">
      <c r="B1" s="243" t="str">
        <f>Sprache!$E$51</f>
        <v>Einstellungen</v>
      </c>
    </row>
    <row r="2" spans="1:4" x14ac:dyDescent="0.2"/>
    <row r="3" spans="1:4" x14ac:dyDescent="0.2"/>
    <row r="4" spans="1:4" x14ac:dyDescent="0.2">
      <c r="A4" s="276" t="s">
        <v>7</v>
      </c>
      <c r="B4" s="274" t="str">
        <f>Sprache!$E$52</f>
        <v>Anzahl der Punkte für einen Sieg:</v>
      </c>
      <c r="C4" s="244">
        <v>3</v>
      </c>
    </row>
    <row r="5" spans="1:4" x14ac:dyDescent="0.2"/>
    <row r="6" spans="1:4" x14ac:dyDescent="0.2"/>
    <row r="7" spans="1:4" x14ac:dyDescent="0.2">
      <c r="A7" s="276" t="s">
        <v>8</v>
      </c>
      <c r="B7" s="275" t="str">
        <f>Sprache!E74</f>
        <v>Modus für direkte Vergleiche:</v>
      </c>
      <c r="C7" s="268"/>
    </row>
    <row r="8" spans="1:4" x14ac:dyDescent="0.2">
      <c r="B8" s="268"/>
      <c r="C8" s="268"/>
    </row>
    <row r="9" spans="1:4" ht="21.75" customHeight="1" x14ac:dyDescent="0.2">
      <c r="B9" s="273" t="s">
        <v>197</v>
      </c>
      <c r="C9" s="268"/>
    </row>
    <row r="10" spans="1:4" x14ac:dyDescent="0.2"/>
    <row r="11" spans="1:4" x14ac:dyDescent="0.2">
      <c r="B11" s="277" t="str">
        <f>Sprache!E75</f>
        <v>Modus 1</v>
      </c>
    </row>
    <row r="12" spans="1:4" ht="27.75" customHeight="1" x14ac:dyDescent="0.2">
      <c r="B12" s="834" t="str">
        <f>Sprache!E72</f>
        <v>Direkte Vergleiche bei Gleichstand in Punkten, Tordifferenz und erzielten Toren (FIFA-Modus)</v>
      </c>
      <c r="C12" s="834"/>
      <c r="D12" s="834"/>
    </row>
    <row r="13" spans="1:4" x14ac:dyDescent="0.2"/>
    <row r="14" spans="1:4" x14ac:dyDescent="0.2">
      <c r="B14" s="277" t="str">
        <f>Sprache!E76</f>
        <v>Modus 2</v>
      </c>
    </row>
    <row r="15" spans="1:4" ht="28.5" customHeight="1" x14ac:dyDescent="0.2">
      <c r="B15" s="834" t="str">
        <f>Sprache!E73</f>
        <v>Direkte Vergleiche bei Gleichstand in Punkten (UEFA-Modus)</v>
      </c>
      <c r="C15" s="834"/>
      <c r="D15" s="834"/>
    </row>
    <row r="16" spans="1:4" x14ac:dyDescent="0.2"/>
    <row r="17" spans="1:4" x14ac:dyDescent="0.2">
      <c r="A17" s="276" t="s">
        <v>9</v>
      </c>
      <c r="B17" s="274" t="str">
        <f>Sprache!$E$77</f>
        <v>Abkürzungen der Mannschaftsnamen:</v>
      </c>
      <c r="C17" s="244">
        <v>7</v>
      </c>
      <c r="D17" t="str">
        <f>" "&amp;Sprache!$E$78</f>
        <v xml:space="preserve"> Buchstaben</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Sprache!$E$75:$E$76</xm:f>
          </x14:formula1>
          <xm:sqref>B9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dimension ref="A1:W107"/>
  <sheetViews>
    <sheetView showGridLines="0" showRowColHeaders="0" topLeftCell="A22" workbookViewId="0"/>
  </sheetViews>
  <sheetFormatPr baseColWidth="10" defaultColWidth="0" defaultRowHeight="12.75" zeroHeight="1" x14ac:dyDescent="0.2"/>
  <cols>
    <col min="1" max="11" width="11.42578125" customWidth="1"/>
    <col min="12" max="12" width="5.85546875" customWidth="1"/>
    <col min="13" max="23" width="11.42578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3" x14ac:dyDescent="0.2"/>
    <row r="82" spans="2:3" x14ac:dyDescent="0.2"/>
    <row r="83" spans="2:3" x14ac:dyDescent="0.2"/>
    <row r="84" spans="2:3" x14ac:dyDescent="0.2"/>
    <row r="85" spans="2:3" x14ac:dyDescent="0.2"/>
    <row r="86" spans="2:3" x14ac:dyDescent="0.2"/>
    <row r="87" spans="2:3" x14ac:dyDescent="0.2"/>
    <row r="88" spans="2:3" x14ac:dyDescent="0.2">
      <c r="B88" s="462"/>
      <c r="C88" s="462"/>
    </row>
    <row r="89" spans="2:3" x14ac:dyDescent="0.2">
      <c r="B89" s="463"/>
      <c r="C89" s="464"/>
    </row>
    <row r="90" spans="2:3" x14ac:dyDescent="0.2">
      <c r="B90" s="463"/>
      <c r="C90" s="464"/>
    </row>
    <row r="91" spans="2:3" x14ac:dyDescent="0.2">
      <c r="B91" s="463"/>
      <c r="C91" s="464"/>
    </row>
    <row r="92" spans="2:3" x14ac:dyDescent="0.2">
      <c r="B92" s="463"/>
      <c r="C92" s="464"/>
    </row>
    <row r="93" spans="2:3" x14ac:dyDescent="0.2">
      <c r="B93" s="463"/>
      <c r="C93" s="464"/>
    </row>
    <row r="94" spans="2:3" x14ac:dyDescent="0.2">
      <c r="B94" s="463"/>
      <c r="C94" s="464"/>
    </row>
    <row r="95" spans="2:3" x14ac:dyDescent="0.2">
      <c r="B95" s="463"/>
      <c r="C95" s="464"/>
    </row>
    <row r="96" spans="2:3" x14ac:dyDescent="0.2">
      <c r="B96" s="463"/>
      <c r="C96" s="464"/>
    </row>
    <row r="97" spans="2:20" x14ac:dyDescent="0.2">
      <c r="B97" s="463"/>
      <c r="C97" s="464"/>
    </row>
    <row r="98" spans="2:20" x14ac:dyDescent="0.2">
      <c r="B98" s="648"/>
      <c r="C98" s="648"/>
    </row>
    <row r="99" spans="2:20" x14ac:dyDescent="0.2">
      <c r="B99" s="462"/>
      <c r="C99" s="462"/>
      <c r="D99" s="462"/>
      <c r="E99" s="462"/>
      <c r="F99" s="462"/>
      <c r="G99" s="462"/>
      <c r="H99" s="462"/>
    </row>
    <row r="100" spans="2:20" x14ac:dyDescent="0.2">
      <c r="D100" s="835"/>
      <c r="E100" s="836"/>
      <c r="F100" s="836"/>
      <c r="G100" s="836"/>
      <c r="H100" s="836"/>
      <c r="I100" s="837"/>
      <c r="O100" s="835"/>
      <c r="P100" s="836"/>
      <c r="Q100" s="836"/>
      <c r="R100" s="836"/>
      <c r="S100" s="836"/>
      <c r="T100" s="837"/>
    </row>
    <row r="101" spans="2:20" x14ac:dyDescent="0.2">
      <c r="D101" s="838" t="s">
        <v>141</v>
      </c>
      <c r="E101" s="839"/>
      <c r="F101" s="839"/>
      <c r="G101" s="839"/>
      <c r="H101" s="839"/>
      <c r="I101" s="840"/>
      <c r="O101" s="838" t="s">
        <v>58</v>
      </c>
      <c r="P101" s="839"/>
      <c r="Q101" s="839"/>
      <c r="R101" s="839"/>
      <c r="S101" s="839"/>
      <c r="T101" s="840"/>
    </row>
    <row r="102" spans="2:20" x14ac:dyDescent="0.2">
      <c r="D102" s="841" t="s">
        <v>57</v>
      </c>
      <c r="E102" s="842"/>
      <c r="F102" s="842"/>
      <c r="G102" s="842"/>
      <c r="H102" s="842"/>
      <c r="I102" s="843"/>
      <c r="O102" s="841" t="s">
        <v>57</v>
      </c>
      <c r="P102" s="842"/>
      <c r="Q102" s="842"/>
      <c r="R102" s="842"/>
      <c r="S102" s="842"/>
      <c r="T102" s="843"/>
    </row>
    <row r="103" spans="2:20" x14ac:dyDescent="0.2">
      <c r="D103" s="844"/>
      <c r="E103" s="845"/>
      <c r="F103" s="845"/>
      <c r="G103" s="845"/>
      <c r="H103" s="845"/>
      <c r="I103" s="846"/>
      <c r="O103" s="844"/>
      <c r="P103" s="845"/>
      <c r="Q103" s="845"/>
      <c r="R103" s="845"/>
      <c r="S103" s="845"/>
      <c r="T103" s="846"/>
    </row>
    <row r="104" spans="2:20" x14ac:dyDescent="0.2"/>
    <row r="105" spans="2:20" x14ac:dyDescent="0.2"/>
    <row r="106" spans="2:20" x14ac:dyDescent="0.2"/>
    <row r="107" spans="2:20" x14ac:dyDescent="0.2"/>
  </sheetData>
  <sheetProtection sheet="1" selectLockedCells="1"/>
  <mergeCells count="8">
    <mergeCell ref="D100:I100"/>
    <mergeCell ref="D101:I101"/>
    <mergeCell ref="D102:I102"/>
    <mergeCell ref="D103:I103"/>
    <mergeCell ref="O100:T100"/>
    <mergeCell ref="O101:T101"/>
    <mergeCell ref="O102:T102"/>
    <mergeCell ref="O103:T103"/>
  </mergeCells>
  <hyperlinks>
    <hyperlink ref="O102" r:id="rId1" xr:uid="{1894EF0F-8820-4282-9C88-BB1689CEEEE1}"/>
    <hyperlink ref="D102" r:id="rId2" xr:uid="{45E865A1-33AF-4597-AC24-0425812DEE03}"/>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election activeCell="B14" sqref="B14"/>
    </sheetView>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48">
        <f ca="1">IF($O$4&lt;10,$O$4,0)</f>
        <v>0</v>
      </c>
      <c r="X3" s="849"/>
      <c r="Y3" s="849"/>
      <c r="Z3" s="849"/>
      <c r="AA3" s="849"/>
      <c r="AB3" s="848">
        <f ca="1">IF($P$4&lt;10,$P$4,0)</f>
        <v>0</v>
      </c>
      <c r="AC3" s="849"/>
      <c r="AD3" s="849"/>
      <c r="AE3" s="849"/>
      <c r="AF3" s="849"/>
      <c r="AG3" s="848">
        <f ca="1">IF($Q$4&lt;10,$Q$4,0)</f>
        <v>0</v>
      </c>
      <c r="AH3" s="849"/>
      <c r="AI3" s="849"/>
      <c r="AJ3" s="849"/>
      <c r="AK3" s="849"/>
      <c r="AL3" s="848">
        <f ca="1">IF($R$4&lt;10,$R$4,0)</f>
        <v>0</v>
      </c>
      <c r="AM3" s="849"/>
      <c r="AN3" s="849"/>
      <c r="AO3" s="849"/>
      <c r="AP3" s="849"/>
    </row>
    <row r="4" spans="1:42" s="2" customFormat="1" ht="12.75" thickTop="1" x14ac:dyDescent="0.2">
      <c r="A4" s="242"/>
      <c r="B4" s="1">
        <v>1</v>
      </c>
      <c r="C4" s="21">
        <f ca="1">RANK(D4,$D$4:$D$12,1)</f>
        <v>3</v>
      </c>
      <c r="D4" s="3">
        <f ca="1">E4+ROW()/1000+(F4="")*10</f>
        <v>3.004</v>
      </c>
      <c r="E4" s="255">
        <f ca="1">IF($AI$15,RANK(AH17,AH$17:AH$25,1),RANK(X17,X$17:X$25,1))</f>
        <v>3</v>
      </c>
      <c r="F4" s="1" t="str">
        <f>$Q64</f>
        <v>1. FC Riedwald</v>
      </c>
      <c r="G4" s="1">
        <f t="shared" ref="G4:G12" ca="1" si="1">SUMIFS($X$64:$X$135,$V$64:$V$135,$F4)+SUMIFS($Y$64:$Y$135,$W$64:$W$135,$F4)</f>
        <v>7</v>
      </c>
      <c r="H4" s="1">
        <f t="shared" ref="H4:H12" ca="1" si="2">SUMIFS($Y$64:$Y$135,$V$64:$V$135,$F4)+SUMIFS($X$64:$X$135,$W$64:$W$135,$F4)</f>
        <v>9</v>
      </c>
      <c r="I4" s="3">
        <f t="shared" ref="I4:I12" ca="1" si="3">G4-H4</f>
        <v>-2</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10" t="str">
        <f ca="1">IFERROR(INDEX($O$17:$V$25,ROW(A1),$W$3),"")</f>
        <v/>
      </c>
      <c r="X4" s="611" t="str">
        <f ca="1">INDEX($W$4:$W$12,MATCH(ROW(A1),$AA$4:$AA$12,0))</f>
        <v/>
      </c>
      <c r="Y4" s="612">
        <f ca="1">IF($W4="",99999,VLOOKUP($W4,$C$17:$Z$25,24,0))</f>
        <v>99999</v>
      </c>
      <c r="Z4" s="613">
        <f ca="1">RANK(Y4,Y$4:Y$12,1)+INDEX($E$4:$E$12,MATCH(W4,$F$4:$F$12,0))/100+ROW()/10000</f>
        <v>1.0504</v>
      </c>
      <c r="AA4" s="614">
        <f ca="1">RANK($Z4,$Z$4:$Z$12,1)</f>
        <v>1</v>
      </c>
      <c r="AB4" s="615" t="str">
        <f t="shared" ref="AB4:AB12" ca="1" si="8">IFERROR(INDEX($O$17:$V$25,ROW(A1),$AB$3),"")</f>
        <v/>
      </c>
      <c r="AC4" s="616" t="str">
        <f ca="1">INDEX($AB$4:$AB$12,MATCH(ROW(A1),$AF$4:$AF$12,0))</f>
        <v/>
      </c>
      <c r="AD4" s="617">
        <f ca="1">IF($AB4="",99999,VLOOKUP($AB4,$C$17:$Z$25,24,0))</f>
        <v>99999</v>
      </c>
      <c r="AE4" s="613">
        <f ca="1">RANK(AD4,AD$4:AD$12,1)+INDEX($E$4:$E$12,MATCH(AB4,$F$4:$F$12,0))/100+ROW()/10000</f>
        <v>1.0504</v>
      </c>
      <c r="AF4" s="613">
        <f ca="1">RANK($AE4,$AE$4:$AE$12,1)</f>
        <v>1</v>
      </c>
      <c r="AG4" s="615" t="str">
        <f t="shared" ref="AG4:AG12" ca="1" si="9">IFERROR(INDEX($O$17:$V$25,ROW(C1),$AG$3),"")</f>
        <v/>
      </c>
      <c r="AH4" s="616" t="str">
        <f ca="1">INDEX($AG$4:$AG$12,MATCH(ROW(A1),$AK$4:$AK$12,0))</f>
        <v/>
      </c>
      <c r="AI4" s="617">
        <f ca="1">IF($AG4="",99999,VLOOKUP($AG4,$C$17:$Z$25,24,0))</f>
        <v>99999</v>
      </c>
      <c r="AJ4" s="613">
        <f ca="1">RANK(AI4,AI$4:AI$12,1)+INDEX($E$4:$E$12,MATCH(AG4,$F$4:$F$12,0))/100+ROW()/10000</f>
        <v>1.0504</v>
      </c>
      <c r="AK4" s="618">
        <f ca="1">RANK($AJ4,$AJ$4:$AJ$12,1)</f>
        <v>1</v>
      </c>
      <c r="AL4" s="616" t="str">
        <f t="shared" ref="AL4:AL12" ca="1" si="10">IFERROR(INDEX($O$17:$V$25,ROW(E1),$AL$3),"")</f>
        <v/>
      </c>
      <c r="AM4" s="616" t="str">
        <f ca="1">INDEX($AL$4:$AL$12,MATCH(ROW(A1),$AP$4:$AP$12,0))</f>
        <v/>
      </c>
      <c r="AN4" s="617">
        <f ca="1">IF($AL4="",99999,VLOOKUP($AL4,$C$17:$Z$25,24,0))</f>
        <v>99999</v>
      </c>
      <c r="AO4" s="613">
        <f ca="1">RANK(AN4,AN$4:AN$12,1)+INDEX($E$4:$E$12,MATCH(AL4,$F$4:$F$12,0))/100+ROW()/10000</f>
        <v>1.0504</v>
      </c>
      <c r="AP4" s="618">
        <f ca="1">RANK($AO4,$AO$4:$AO$12,1)</f>
        <v>1</v>
      </c>
    </row>
    <row r="5" spans="1:42" s="2" customFormat="1" x14ac:dyDescent="0.2">
      <c r="A5" s="242"/>
      <c r="B5" s="1">
        <v>2</v>
      </c>
      <c r="C5" s="22">
        <f t="shared" ref="C5:C12" ca="1" si="11">RANK(D5,$D$4:$D$12,1)</f>
        <v>1</v>
      </c>
      <c r="D5" s="13">
        <f t="shared" ref="D5:D12" ca="1" si="12">E5+ROW()/1000+(F5="")*10</f>
        <v>1.0049999999999999</v>
      </c>
      <c r="E5" s="255">
        <f t="shared" ref="E5:E12" ca="1" si="13">IF($AI$15,RANK(AH18,AH$17:AH$25,1),RANK(X18,X$17:X$25,1))</f>
        <v>1</v>
      </c>
      <c r="F5" s="1" t="str">
        <f t="shared" ref="F5:F12" si="14">$Q65</f>
        <v>FC Barcelona</v>
      </c>
      <c r="G5" s="1">
        <f t="shared" ca="1" si="1"/>
        <v>17</v>
      </c>
      <c r="H5" s="1">
        <f t="shared" ca="1" si="2"/>
        <v>3</v>
      </c>
      <c r="I5" s="3">
        <f t="shared" ca="1" si="3"/>
        <v>14</v>
      </c>
      <c r="J5" s="1">
        <f t="shared" ref="J5:J12" ca="1" si="15">SUMIF($V$64:$V$135,F5,$AE$64:$AE$135)+SUMIF($W$64:$W$135,F5,$AF$64:$AF$135)</f>
        <v>12</v>
      </c>
      <c r="K5" s="1">
        <f t="shared" ca="1" si="4"/>
        <v>4</v>
      </c>
      <c r="L5" s="1">
        <f t="shared" ca="1" si="5"/>
        <v>4</v>
      </c>
      <c r="M5" s="1">
        <f t="shared" ca="1" si="6"/>
        <v>0</v>
      </c>
      <c r="N5" s="1">
        <f t="shared" ca="1" si="7"/>
        <v>0</v>
      </c>
      <c r="O5" s="24"/>
      <c r="P5" s="25"/>
      <c r="V5" s="1"/>
      <c r="W5" s="615" t="str">
        <f t="shared" ref="W5:W12" ca="1" si="16">IFERROR(INDEX($O$17:$V$25,ROW(A2),$W$3),"")</f>
        <v/>
      </c>
      <c r="X5" s="616" t="str">
        <f t="shared" ref="X5:X12" ca="1" si="17">INDEX($W$4:$W$12,MATCH(ROW(A2),$AA$4:$AA$12,0))</f>
        <v/>
      </c>
      <c r="Y5" s="613">
        <f t="shared" ref="Y5:Y12" ca="1" si="18">IF($W5="",99999,VLOOKUP($W5,$C$17:$Z$25,24,0))</f>
        <v>99999</v>
      </c>
      <c r="Z5" s="613">
        <f ca="1">RANK(Y5,Y$4:Y$12,1)+INDEX($E$4:$E$12,MATCH(W5,$F$4:$F$12,0))/100+ROW()/10000</f>
        <v>1.0505</v>
      </c>
      <c r="AA5" s="618">
        <f t="shared" ref="AA5:AA12" ca="1" si="19">RANK($Z5,$Z$4:$Z$12,1)</f>
        <v>2</v>
      </c>
      <c r="AB5" s="615" t="str">
        <f t="shared" ca="1" si="8"/>
        <v/>
      </c>
      <c r="AC5" s="616" t="str">
        <f t="shared" ref="AC5:AC12" ca="1" si="20">INDEX($AB$4:$AB$12,MATCH(ROW(A2),$AF$4:$AF$12,0))</f>
        <v/>
      </c>
      <c r="AD5" s="617">
        <f t="shared" ref="AD5:AD12" ca="1" si="21">IF($AB5="",99999,VLOOKUP($AB5,$C$17:$Z$25,24,0))</f>
        <v>99999</v>
      </c>
      <c r="AE5" s="613">
        <f ca="1">RANK(AD5,AD$4:AD$12,1)+INDEX($E$4:$E$12,MATCH(AB5,$F$4:$F$12,0))/100+ROW()/10000</f>
        <v>1.0505</v>
      </c>
      <c r="AF5" s="613">
        <f t="shared" ref="AF5:AF12" ca="1" si="22">RANK($AE5,$AE$4:$AE$12,1)</f>
        <v>2</v>
      </c>
      <c r="AG5" s="615" t="str">
        <f t="shared" ca="1" si="9"/>
        <v/>
      </c>
      <c r="AH5" s="616" t="str">
        <f t="shared" ref="AH5:AH12" ca="1" si="23">INDEX($AG$4:$AG$12,MATCH(ROW(A2),$AK$4:$AK$12,0))</f>
        <v/>
      </c>
      <c r="AI5" s="617">
        <f t="shared" ref="AI5:AI12" ca="1" si="24">IF($AG5="",99999,VLOOKUP($AG5,$C$17:$Z$25,24,0))</f>
        <v>99999</v>
      </c>
      <c r="AJ5" s="613">
        <f ca="1">RANK(AI5,AI$4:AI$12,1)+INDEX($E$4:$E$12,MATCH(AG5,$F$4:$F$12,0))/100+ROW()/10000</f>
        <v>1.0505</v>
      </c>
      <c r="AK5" s="618">
        <f t="shared" ref="AK5:AK12" ca="1" si="25">RANK($AJ5,$AJ$4:$AJ$12,1)</f>
        <v>2</v>
      </c>
      <c r="AL5" s="616" t="str">
        <f t="shared" ca="1" si="10"/>
        <v/>
      </c>
      <c r="AM5" s="616" t="str">
        <f t="shared" ref="AM5:AM12" ca="1" si="26">INDEX($AL$4:$AL$12,MATCH(ROW(A2),$AP$4:$AP$12,0))</f>
        <v/>
      </c>
      <c r="AN5" s="617">
        <f t="shared" ref="AN5:AN12" ca="1" si="27">IF($AL5="",99999,VLOOKUP($AL5,$C$17:$Z$25,24,0))</f>
        <v>99999</v>
      </c>
      <c r="AO5" s="613">
        <f ca="1">RANK(AN5,AN$4:AN$12,1)+INDEX($E$4:$E$12,MATCH(AL5,$F$4:$F$12,0))/100+ROW()/10000</f>
        <v>1.0505</v>
      </c>
      <c r="AP5" s="618">
        <f t="shared" ref="AP5:AP12" ca="1" si="28">RANK($AO5,$AO$4:$AO$12,1)</f>
        <v>2</v>
      </c>
    </row>
    <row r="6" spans="1:42" s="2" customFormat="1" x14ac:dyDescent="0.2">
      <c r="A6" s="242"/>
      <c r="B6" s="1">
        <v>3</v>
      </c>
      <c r="C6" s="22">
        <f t="shared" ca="1" si="11"/>
        <v>2</v>
      </c>
      <c r="D6" s="13">
        <f t="shared" ca="1" si="12"/>
        <v>2.0059999999999998</v>
      </c>
      <c r="E6" s="255">
        <f t="shared" ca="1" si="13"/>
        <v>2</v>
      </c>
      <c r="F6" s="1" t="str">
        <f t="shared" si="14"/>
        <v>Eintracht Frankfurt</v>
      </c>
      <c r="G6" s="1">
        <f t="shared" ca="1" si="1"/>
        <v>12</v>
      </c>
      <c r="H6" s="1">
        <f t="shared" ca="1" si="2"/>
        <v>8</v>
      </c>
      <c r="I6" s="3">
        <f t="shared" ca="1" si="3"/>
        <v>4</v>
      </c>
      <c r="J6" s="1">
        <f t="shared" ca="1" si="15"/>
        <v>9</v>
      </c>
      <c r="K6" s="1">
        <f t="shared" ca="1" si="4"/>
        <v>4</v>
      </c>
      <c r="L6" s="1">
        <f t="shared" ca="1" si="5"/>
        <v>3</v>
      </c>
      <c r="M6" s="1">
        <f t="shared" ca="1" si="6"/>
        <v>0</v>
      </c>
      <c r="N6" s="1">
        <f t="shared" ca="1" si="7"/>
        <v>1</v>
      </c>
      <c r="O6" s="24"/>
      <c r="P6" s="25"/>
      <c r="V6" s="1"/>
      <c r="W6" s="615" t="str">
        <f t="shared" ca="1" si="16"/>
        <v/>
      </c>
      <c r="X6" s="616" t="str">
        <f t="shared" ca="1" si="17"/>
        <v/>
      </c>
      <c r="Y6" s="613">
        <f t="shared" ca="1" si="18"/>
        <v>99999</v>
      </c>
      <c r="Z6" s="613">
        <f ca="1">RANK(Y6,Y$4:Y$12,1)+INDEX($E$4:$E$12,MATCH(W6,$F$4:$F$12,0))/100+ROW()/10000</f>
        <v>1.0506</v>
      </c>
      <c r="AA6" s="618">
        <f t="shared" ca="1" si="19"/>
        <v>3</v>
      </c>
      <c r="AB6" s="615" t="str">
        <f t="shared" ca="1" si="8"/>
        <v/>
      </c>
      <c r="AC6" s="616" t="str">
        <f t="shared" ca="1" si="20"/>
        <v/>
      </c>
      <c r="AD6" s="617">
        <f t="shared" ca="1" si="21"/>
        <v>99999</v>
      </c>
      <c r="AE6" s="613">
        <f ca="1">RANK(AD6,AD$4:AD$12,1)+INDEX($E$4:$E$12,MATCH(AB6,$F$4:$F$12,0))/100+ROW()/10000</f>
        <v>1.0506</v>
      </c>
      <c r="AF6" s="613">
        <f t="shared" ca="1" si="22"/>
        <v>3</v>
      </c>
      <c r="AG6" s="615" t="str">
        <f t="shared" ca="1" si="9"/>
        <v/>
      </c>
      <c r="AH6" s="616" t="str">
        <f t="shared" ca="1" si="23"/>
        <v/>
      </c>
      <c r="AI6" s="617">
        <f t="shared" ca="1" si="24"/>
        <v>99999</v>
      </c>
      <c r="AJ6" s="613">
        <f ca="1">RANK(AI6,AI$4:AI$12,1)+INDEX($E$4:$E$12,MATCH(AG6,$F$4:$F$12,0))/100+ROW()/10000</f>
        <v>1.0506</v>
      </c>
      <c r="AK6" s="618">
        <f t="shared" ca="1" si="25"/>
        <v>3</v>
      </c>
      <c r="AL6" s="616" t="str">
        <f t="shared" ca="1" si="10"/>
        <v/>
      </c>
      <c r="AM6" s="616" t="str">
        <f t="shared" ca="1" si="26"/>
        <v/>
      </c>
      <c r="AN6" s="617">
        <f t="shared" ca="1" si="27"/>
        <v>99999</v>
      </c>
      <c r="AO6" s="613">
        <f ca="1">RANK(AN6,AN$4:AN$12,1)+INDEX($E$4:$E$12,MATCH(AL6,$F$4:$F$12,0))/100+ROW()/10000</f>
        <v>1.0506</v>
      </c>
      <c r="AP6" s="618">
        <f t="shared" ca="1" si="28"/>
        <v>3</v>
      </c>
    </row>
    <row r="7" spans="1:42" s="2" customFormat="1" x14ac:dyDescent="0.2">
      <c r="A7" s="242"/>
      <c r="B7" s="1">
        <v>4</v>
      </c>
      <c r="C7" s="22">
        <f t="shared" ca="1" si="11"/>
        <v>5</v>
      </c>
      <c r="D7" s="13">
        <f t="shared" ca="1" si="12"/>
        <v>9.0069999999999997</v>
      </c>
      <c r="E7" s="255">
        <f t="shared" ca="1" si="13"/>
        <v>9</v>
      </c>
      <c r="F7" s="1" t="str">
        <f t="shared" si="14"/>
        <v>Maibach 1822 eV</v>
      </c>
      <c r="G7" s="1">
        <f t="shared" ca="1" si="1"/>
        <v>3</v>
      </c>
      <c r="H7" s="1">
        <f t="shared" ca="1" si="2"/>
        <v>16</v>
      </c>
      <c r="I7" s="3">
        <f t="shared" ca="1" si="3"/>
        <v>-13</v>
      </c>
      <c r="J7" s="1">
        <f t="shared" ca="1" si="15"/>
        <v>0</v>
      </c>
      <c r="K7" s="1">
        <f t="shared" ca="1" si="4"/>
        <v>4</v>
      </c>
      <c r="L7" s="1">
        <f t="shared" ca="1" si="5"/>
        <v>0</v>
      </c>
      <c r="M7" s="1">
        <f t="shared" ca="1" si="6"/>
        <v>0</v>
      </c>
      <c r="N7" s="1">
        <f t="shared" ca="1" si="7"/>
        <v>4</v>
      </c>
      <c r="O7" s="24"/>
      <c r="P7" s="25"/>
      <c r="V7" s="1"/>
      <c r="W7" s="615" t="str">
        <f t="shared" ca="1" si="16"/>
        <v/>
      </c>
      <c r="X7" s="616" t="str">
        <f t="shared" ca="1" si="17"/>
        <v/>
      </c>
      <c r="Y7" s="613">
        <f t="shared" ca="1" si="18"/>
        <v>99999</v>
      </c>
      <c r="Z7" s="613">
        <f ca="1">RANK(Y7,Y$4:Y$12,1)+INDEX($E$4:$E$12,MATCH(W7,$F$4:$F$12,0))/100+ROW()/10000</f>
        <v>1.0507</v>
      </c>
      <c r="AA7" s="618">
        <f t="shared" ca="1" si="19"/>
        <v>4</v>
      </c>
      <c r="AB7" s="615" t="str">
        <f t="shared" ca="1" si="8"/>
        <v/>
      </c>
      <c r="AC7" s="616" t="str">
        <f t="shared" ca="1" si="20"/>
        <v/>
      </c>
      <c r="AD7" s="617">
        <f t="shared" ca="1" si="21"/>
        <v>99999</v>
      </c>
      <c r="AE7" s="613">
        <f ca="1">RANK(AD7,AD$4:AD$12,1)+INDEX($E$4:$E$12,MATCH(AB7,$F$4:$F$12,0))/100+ROW()/10000</f>
        <v>1.0507</v>
      </c>
      <c r="AF7" s="613">
        <f t="shared" ca="1" si="22"/>
        <v>4</v>
      </c>
      <c r="AG7" s="615" t="str">
        <f t="shared" ca="1" si="9"/>
        <v/>
      </c>
      <c r="AH7" s="616" t="str">
        <f t="shared" ca="1" si="23"/>
        <v/>
      </c>
      <c r="AI7" s="617">
        <f t="shared" ca="1" si="24"/>
        <v>99999</v>
      </c>
      <c r="AJ7" s="613">
        <f ca="1">RANK(AI7,AI$4:AI$12,1)+INDEX($E$4:$E$12,MATCH(AG7,$F$4:$F$12,0))/100+ROW()/10000</f>
        <v>1.0507</v>
      </c>
      <c r="AK7" s="618">
        <f t="shared" ca="1" si="25"/>
        <v>4</v>
      </c>
      <c r="AL7" s="616" t="str">
        <f t="shared" ca="1" si="10"/>
        <v/>
      </c>
      <c r="AM7" s="616" t="str">
        <f t="shared" ca="1" si="26"/>
        <v/>
      </c>
      <c r="AN7" s="617">
        <f t="shared" ca="1" si="27"/>
        <v>99999</v>
      </c>
      <c r="AO7" s="613">
        <f ca="1">RANK(AN7,AN$4:AN$12,1)+INDEX($E$4:$E$12,MATCH(AL7,$F$4:$F$12,0))/100+ROW()/10000</f>
        <v>1.0507</v>
      </c>
      <c r="AP7" s="618">
        <f t="shared" ca="1" si="28"/>
        <v>4</v>
      </c>
    </row>
    <row r="8" spans="1:42" s="2" customFormat="1" x14ac:dyDescent="0.2">
      <c r="A8" s="242"/>
      <c r="B8" s="1">
        <v>5</v>
      </c>
      <c r="C8" s="22">
        <f t="shared" ca="1" si="11"/>
        <v>4</v>
      </c>
      <c r="D8" s="13">
        <f t="shared" ca="1" si="12"/>
        <v>4.008</v>
      </c>
      <c r="E8" s="255">
        <f t="shared" ca="1" si="13"/>
        <v>4</v>
      </c>
      <c r="F8" s="1" t="str">
        <f t="shared" si="14"/>
        <v>VFB Essenheim</v>
      </c>
      <c r="G8" s="1">
        <f t="shared" ca="1" si="1"/>
        <v>10</v>
      </c>
      <c r="H8" s="1">
        <f t="shared" ca="1" si="2"/>
        <v>13</v>
      </c>
      <c r="I8" s="3">
        <f t="shared" ca="1" si="3"/>
        <v>-3</v>
      </c>
      <c r="J8" s="1">
        <f t="shared" ca="1" si="15"/>
        <v>4</v>
      </c>
      <c r="K8" s="1">
        <f t="shared" ca="1" si="4"/>
        <v>4</v>
      </c>
      <c r="L8" s="1">
        <f t="shared" ca="1" si="5"/>
        <v>1</v>
      </c>
      <c r="M8" s="1">
        <f t="shared" ca="1" si="6"/>
        <v>1</v>
      </c>
      <c r="N8" s="1">
        <f t="shared" ca="1" si="7"/>
        <v>2</v>
      </c>
      <c r="P8" s="25"/>
      <c r="W8" s="615" t="str">
        <f t="shared" ca="1" si="16"/>
        <v/>
      </c>
      <c r="X8" s="616" t="str">
        <f t="shared" ca="1" si="17"/>
        <v/>
      </c>
      <c r="Y8" s="613">
        <f t="shared" ca="1" si="18"/>
        <v>99999</v>
      </c>
      <c r="Z8" s="613">
        <f t="shared" ref="Z8:Z12" ca="1" si="29">RANK(Y8,Y$4:Y$12,1)+INDEX($E$4:$E$12,MATCH(W8,$F$4:$F$12,0))/100+ROW()/10000</f>
        <v>1.0508</v>
      </c>
      <c r="AA8" s="618">
        <f t="shared" ca="1" si="19"/>
        <v>5</v>
      </c>
      <c r="AB8" s="615" t="str">
        <f t="shared" ca="1" si="8"/>
        <v/>
      </c>
      <c r="AC8" s="616" t="str">
        <f t="shared" ca="1" si="20"/>
        <v/>
      </c>
      <c r="AD8" s="617">
        <f t="shared" ca="1" si="21"/>
        <v>99999</v>
      </c>
      <c r="AE8" s="613">
        <f t="shared" ref="AE8:AE12" ca="1" si="30">RANK(AD8,AD$4:AD$12,1)+INDEX($E$4:$E$12,MATCH(AB8,$F$4:$F$12,0))/100+ROW()/10000</f>
        <v>1.0508</v>
      </c>
      <c r="AF8" s="613">
        <f t="shared" ca="1" si="22"/>
        <v>5</v>
      </c>
      <c r="AG8" s="615" t="str">
        <f t="shared" ca="1" si="9"/>
        <v/>
      </c>
      <c r="AH8" s="616" t="str">
        <f t="shared" ca="1" si="23"/>
        <v/>
      </c>
      <c r="AI8" s="617">
        <f t="shared" ca="1" si="24"/>
        <v>99999</v>
      </c>
      <c r="AJ8" s="613">
        <f t="shared" ref="AJ8:AJ12" ca="1" si="31">RANK(AI8,AI$4:AI$12,1)+INDEX($E$4:$E$12,MATCH(AG8,$F$4:$F$12,0))/100+ROW()/10000</f>
        <v>1.0508</v>
      </c>
      <c r="AK8" s="618">
        <f t="shared" ca="1" si="25"/>
        <v>5</v>
      </c>
      <c r="AL8" s="616" t="str">
        <f t="shared" ca="1" si="10"/>
        <v/>
      </c>
      <c r="AM8" s="616" t="str">
        <f t="shared" ca="1" si="26"/>
        <v/>
      </c>
      <c r="AN8" s="617">
        <f t="shared" ca="1" si="27"/>
        <v>99999</v>
      </c>
      <c r="AO8" s="613">
        <f t="shared" ref="AO8:AO12" ca="1" si="32">RANK(AN8,AN$4:AN$12,1)+INDEX($E$4:$E$12,MATCH(AL8,$F$4:$F$12,0))/100+ROW()/10000</f>
        <v>1.0508</v>
      </c>
      <c r="AP8" s="618">
        <f t="shared" ca="1" si="28"/>
        <v>5</v>
      </c>
    </row>
    <row r="9" spans="1:42" s="2" customFormat="1" x14ac:dyDescent="0.2">
      <c r="A9" s="242"/>
      <c r="B9" s="1">
        <v>6</v>
      </c>
      <c r="C9" s="22">
        <f t="shared" ca="1" si="11"/>
        <v>6</v>
      </c>
      <c r="D9" s="13">
        <f t="shared" ca="1" si="12"/>
        <v>15.009</v>
      </c>
      <c r="E9" s="255">
        <f t="shared" ca="1" si="13"/>
        <v>5</v>
      </c>
      <c r="F9" s="1" t="str">
        <f t="shared" si="14"/>
        <v/>
      </c>
      <c r="G9" s="1">
        <f t="shared" ca="1" si="1"/>
        <v>0</v>
      </c>
      <c r="H9" s="1">
        <f t="shared" ca="1" si="2"/>
        <v>0</v>
      </c>
      <c r="I9" s="3">
        <f t="shared" ca="1" si="3"/>
        <v>0</v>
      </c>
      <c r="J9" s="1">
        <f t="shared" ca="1" si="15"/>
        <v>0</v>
      </c>
      <c r="K9" s="1">
        <f t="shared" ca="1" si="4"/>
        <v>0</v>
      </c>
      <c r="L9" s="1">
        <f t="shared" ca="1" si="5"/>
        <v>0</v>
      </c>
      <c r="M9" s="1">
        <f t="shared" ca="1" si="6"/>
        <v>0</v>
      </c>
      <c r="N9" s="1">
        <f t="shared" ca="1" si="7"/>
        <v>0</v>
      </c>
      <c r="P9" s="25"/>
      <c r="W9" s="615" t="str">
        <f t="shared" ca="1" si="16"/>
        <v/>
      </c>
      <c r="X9" s="616" t="str">
        <f t="shared" ca="1" si="17"/>
        <v/>
      </c>
      <c r="Y9" s="613">
        <f t="shared" ca="1" si="18"/>
        <v>99999</v>
      </c>
      <c r="Z9" s="613">
        <f t="shared" ca="1" si="29"/>
        <v>1.0508999999999999</v>
      </c>
      <c r="AA9" s="618">
        <f t="shared" ca="1" si="19"/>
        <v>6</v>
      </c>
      <c r="AB9" s="615" t="str">
        <f t="shared" ca="1" si="8"/>
        <v/>
      </c>
      <c r="AC9" s="616" t="str">
        <f t="shared" ca="1" si="20"/>
        <v/>
      </c>
      <c r="AD9" s="617">
        <f t="shared" ca="1" si="21"/>
        <v>99999</v>
      </c>
      <c r="AE9" s="613">
        <f t="shared" ca="1" si="30"/>
        <v>1.0508999999999999</v>
      </c>
      <c r="AF9" s="613">
        <f t="shared" ca="1" si="22"/>
        <v>6</v>
      </c>
      <c r="AG9" s="615" t="str">
        <f t="shared" ca="1" si="9"/>
        <v/>
      </c>
      <c r="AH9" s="616" t="str">
        <f t="shared" ca="1" si="23"/>
        <v/>
      </c>
      <c r="AI9" s="617">
        <f t="shared" ca="1" si="24"/>
        <v>99999</v>
      </c>
      <c r="AJ9" s="613">
        <f t="shared" ca="1" si="31"/>
        <v>1.0508999999999999</v>
      </c>
      <c r="AK9" s="618">
        <f t="shared" ca="1" si="25"/>
        <v>6</v>
      </c>
      <c r="AL9" s="616" t="str">
        <f t="shared" ca="1" si="10"/>
        <v/>
      </c>
      <c r="AM9" s="616" t="str">
        <f t="shared" ca="1" si="26"/>
        <v/>
      </c>
      <c r="AN9" s="617">
        <f t="shared" ca="1" si="27"/>
        <v>99999</v>
      </c>
      <c r="AO9" s="613">
        <f t="shared" ca="1" si="32"/>
        <v>1.0508999999999999</v>
      </c>
      <c r="AP9" s="618">
        <f t="shared" ca="1" si="28"/>
        <v>6</v>
      </c>
    </row>
    <row r="10" spans="1:42" s="2" customFormat="1" x14ac:dyDescent="0.2">
      <c r="A10" s="242"/>
      <c r="B10" s="1">
        <v>7</v>
      </c>
      <c r="C10" s="22">
        <f t="shared" ca="1" si="11"/>
        <v>7</v>
      </c>
      <c r="D10" s="13">
        <f t="shared" ca="1" si="12"/>
        <v>16.009999999999998</v>
      </c>
      <c r="E10" s="255">
        <f t="shared" ca="1" si="13"/>
        <v>6</v>
      </c>
      <c r="F10" s="1" t="str">
        <f t="shared" si="14"/>
        <v/>
      </c>
      <c r="G10" s="1">
        <f t="shared" ca="1" si="1"/>
        <v>0</v>
      </c>
      <c r="H10" s="1">
        <f t="shared" ca="1" si="2"/>
        <v>0</v>
      </c>
      <c r="I10" s="3">
        <f t="shared" ca="1" si="3"/>
        <v>0</v>
      </c>
      <c r="J10" s="1">
        <f t="shared" ca="1" si="15"/>
        <v>0</v>
      </c>
      <c r="K10" s="1">
        <f t="shared" ca="1" si="4"/>
        <v>0</v>
      </c>
      <c r="L10" s="1">
        <f t="shared" ca="1" si="5"/>
        <v>0</v>
      </c>
      <c r="M10" s="1">
        <f t="shared" ca="1" si="6"/>
        <v>0</v>
      </c>
      <c r="N10" s="1">
        <f t="shared" ca="1" si="7"/>
        <v>0</v>
      </c>
      <c r="P10" s="25"/>
      <c r="W10" s="615" t="str">
        <f t="shared" ca="1" si="16"/>
        <v/>
      </c>
      <c r="X10" s="616" t="str">
        <f t="shared" ca="1" si="17"/>
        <v/>
      </c>
      <c r="Y10" s="613">
        <f t="shared" ca="1" si="18"/>
        <v>99999</v>
      </c>
      <c r="Z10" s="613">
        <f t="shared" ca="1" si="29"/>
        <v>1.0509999999999999</v>
      </c>
      <c r="AA10" s="618">
        <f t="shared" ca="1" si="19"/>
        <v>7</v>
      </c>
      <c r="AB10" s="615" t="str">
        <f t="shared" ca="1" si="8"/>
        <v/>
      </c>
      <c r="AC10" s="616" t="str">
        <f t="shared" ca="1" si="20"/>
        <v/>
      </c>
      <c r="AD10" s="617">
        <f t="shared" ca="1" si="21"/>
        <v>99999</v>
      </c>
      <c r="AE10" s="613">
        <f t="shared" ca="1" si="30"/>
        <v>1.0509999999999999</v>
      </c>
      <c r="AF10" s="613">
        <f t="shared" ca="1" si="22"/>
        <v>7</v>
      </c>
      <c r="AG10" s="615" t="str">
        <f t="shared" ca="1" si="9"/>
        <v/>
      </c>
      <c r="AH10" s="616" t="str">
        <f t="shared" ca="1" si="23"/>
        <v/>
      </c>
      <c r="AI10" s="617">
        <f t="shared" ca="1" si="24"/>
        <v>99999</v>
      </c>
      <c r="AJ10" s="613">
        <f t="shared" ca="1" si="31"/>
        <v>1.0509999999999999</v>
      </c>
      <c r="AK10" s="618">
        <f t="shared" ca="1" si="25"/>
        <v>7</v>
      </c>
      <c r="AL10" s="616" t="str">
        <f t="shared" ca="1" si="10"/>
        <v/>
      </c>
      <c r="AM10" s="616" t="str">
        <f t="shared" ca="1" si="26"/>
        <v/>
      </c>
      <c r="AN10" s="617">
        <f t="shared" ca="1" si="27"/>
        <v>99999</v>
      </c>
      <c r="AO10" s="613">
        <f t="shared" ca="1" si="32"/>
        <v>1.0509999999999999</v>
      </c>
      <c r="AP10" s="618">
        <f t="shared" ca="1" si="28"/>
        <v>7</v>
      </c>
    </row>
    <row r="11" spans="1:42" s="2" customFormat="1" x14ac:dyDescent="0.2">
      <c r="A11" s="242"/>
      <c r="B11" s="1">
        <v>8</v>
      </c>
      <c r="C11" s="22">
        <f t="shared" ca="1" si="11"/>
        <v>8</v>
      </c>
      <c r="D11" s="13">
        <f t="shared" ca="1" si="12"/>
        <v>16.010999999999999</v>
      </c>
      <c r="E11" s="255">
        <f t="shared" ca="1" si="13"/>
        <v>6</v>
      </c>
      <c r="F11" s="1" t="str">
        <f t="shared" si="14"/>
        <v/>
      </c>
      <c r="G11" s="1">
        <f t="shared" ca="1" si="1"/>
        <v>0</v>
      </c>
      <c r="H11" s="1">
        <f t="shared" ca="1" si="2"/>
        <v>0</v>
      </c>
      <c r="I11" s="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5" t="str">
        <f t="shared" ca="1" si="16"/>
        <v/>
      </c>
      <c r="X11" s="616" t="str">
        <f t="shared" ca="1" si="17"/>
        <v/>
      </c>
      <c r="Y11" s="613">
        <f t="shared" ca="1" si="18"/>
        <v>99999</v>
      </c>
      <c r="Z11" s="613">
        <f t="shared" ca="1" si="29"/>
        <v>1.0511000000000001</v>
      </c>
      <c r="AA11" s="618">
        <f t="shared" ca="1" si="19"/>
        <v>8</v>
      </c>
      <c r="AB11" s="615" t="str">
        <f t="shared" ca="1" si="8"/>
        <v/>
      </c>
      <c r="AC11" s="616" t="str">
        <f t="shared" ca="1" si="20"/>
        <v/>
      </c>
      <c r="AD11" s="617">
        <f t="shared" ca="1" si="21"/>
        <v>99999</v>
      </c>
      <c r="AE11" s="613">
        <f t="shared" ca="1" si="30"/>
        <v>1.0511000000000001</v>
      </c>
      <c r="AF11" s="613">
        <f t="shared" ca="1" si="22"/>
        <v>8</v>
      </c>
      <c r="AG11" s="615" t="str">
        <f t="shared" ca="1" si="9"/>
        <v/>
      </c>
      <c r="AH11" s="616" t="str">
        <f t="shared" ca="1" si="23"/>
        <v/>
      </c>
      <c r="AI11" s="617">
        <f t="shared" ca="1" si="24"/>
        <v>99999</v>
      </c>
      <c r="AJ11" s="613">
        <f t="shared" ca="1" si="31"/>
        <v>1.0511000000000001</v>
      </c>
      <c r="AK11" s="618">
        <f t="shared" ca="1" si="25"/>
        <v>8</v>
      </c>
      <c r="AL11" s="616" t="str">
        <f t="shared" ca="1" si="10"/>
        <v/>
      </c>
      <c r="AM11" s="616" t="str">
        <f t="shared" ca="1" si="26"/>
        <v/>
      </c>
      <c r="AN11" s="617">
        <f t="shared" ca="1" si="27"/>
        <v>99999</v>
      </c>
      <c r="AO11" s="613">
        <f t="shared" ca="1" si="32"/>
        <v>1.0511000000000001</v>
      </c>
      <c r="AP11" s="618">
        <f t="shared" ca="1" si="28"/>
        <v>8</v>
      </c>
    </row>
    <row r="12" spans="1:42" s="2" customFormat="1" ht="12.75" thickBot="1" x14ac:dyDescent="0.25">
      <c r="A12" s="242"/>
      <c r="B12" s="1">
        <v>9</v>
      </c>
      <c r="C12" s="23">
        <f t="shared" ca="1" si="11"/>
        <v>9</v>
      </c>
      <c r="D12" s="13">
        <f t="shared" ca="1" si="12"/>
        <v>16.012</v>
      </c>
      <c r="E12" s="255">
        <f t="shared" ca="1" si="13"/>
        <v>6</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19" t="str">
        <f t="shared" ca="1" si="16"/>
        <v/>
      </c>
      <c r="X12" s="620" t="str">
        <f t="shared" ca="1" si="17"/>
        <v/>
      </c>
      <c r="Y12" s="621">
        <f t="shared" ca="1" si="18"/>
        <v>99999</v>
      </c>
      <c r="Z12" s="621">
        <f t="shared" ca="1" si="29"/>
        <v>1.0512000000000001</v>
      </c>
      <c r="AA12" s="622">
        <f t="shared" ca="1" si="19"/>
        <v>9</v>
      </c>
      <c r="AB12" s="619" t="str">
        <f t="shared" ca="1" si="8"/>
        <v/>
      </c>
      <c r="AC12" s="620" t="str">
        <f t="shared" ca="1" si="20"/>
        <v/>
      </c>
      <c r="AD12" s="623">
        <f t="shared" ca="1" si="21"/>
        <v>99999</v>
      </c>
      <c r="AE12" s="621">
        <f t="shared" ca="1" si="30"/>
        <v>1.0512000000000001</v>
      </c>
      <c r="AF12" s="621">
        <f t="shared" ca="1" si="22"/>
        <v>9</v>
      </c>
      <c r="AG12" s="619" t="str">
        <f t="shared" ca="1" si="9"/>
        <v/>
      </c>
      <c r="AH12" s="620" t="str">
        <f t="shared" ca="1" si="23"/>
        <v/>
      </c>
      <c r="AI12" s="623">
        <f t="shared" ca="1" si="24"/>
        <v>99999</v>
      </c>
      <c r="AJ12" s="621">
        <f t="shared" ca="1" si="31"/>
        <v>1.0512000000000001</v>
      </c>
      <c r="AK12" s="622">
        <f t="shared" ca="1" si="25"/>
        <v>9</v>
      </c>
      <c r="AL12" s="620" t="str">
        <f t="shared" ca="1" si="10"/>
        <v/>
      </c>
      <c r="AM12" s="620" t="str">
        <f t="shared" ca="1" si="26"/>
        <v/>
      </c>
      <c r="AN12" s="623">
        <f t="shared" ca="1" si="27"/>
        <v>99999</v>
      </c>
      <c r="AO12" s="621">
        <f t="shared" ca="1" si="32"/>
        <v>1.0512000000000001</v>
      </c>
      <c r="AP12" s="622">
        <f t="shared" ca="1" si="28"/>
        <v>9</v>
      </c>
    </row>
    <row r="13" spans="1:42"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42" s="2" customFormat="1" x14ac:dyDescent="0.2">
      <c r="B14" s="14">
        <f>MAX($B$13,Calc2!$B$13)</f>
        <v>20</v>
      </c>
      <c r="D14" s="1" t="s">
        <v>222</v>
      </c>
      <c r="F14" s="14">
        <f>MAX($F$13,Calc2!$F$13)</f>
        <v>5</v>
      </c>
      <c r="O14" s="1"/>
      <c r="P14" s="1"/>
      <c r="Q14" s="1"/>
      <c r="R14" s="1"/>
      <c r="S14" s="1"/>
      <c r="T14" s="1"/>
      <c r="U14" s="1"/>
      <c r="V14" s="1"/>
      <c r="W14" s="1"/>
      <c r="Y14" s="1"/>
      <c r="Z14" s="1"/>
    </row>
    <row r="15" spans="1:42" s="2" customFormat="1" x14ac:dyDescent="0.2">
      <c r="O15" s="12"/>
      <c r="AD15" s="850" t="s">
        <v>190</v>
      </c>
      <c r="AE15" s="851"/>
      <c r="AF15" s="851"/>
      <c r="AG15" s="851"/>
      <c r="AH15" s="852"/>
      <c r="AI15" s="2" t="b">
        <f>(Einstellungen!$B$9=Sprache!$E$76)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$Q64</f>
        <v>1. FC Riedwald</v>
      </c>
      <c r="D17" s="1">
        <f t="shared" ref="D17:D25" ca="1" si="33">K4</f>
        <v>4</v>
      </c>
      <c r="E17" s="1">
        <f t="shared" ref="E17:E25" ca="1" si="34">L4</f>
        <v>1</v>
      </c>
      <c r="F17" s="1">
        <f t="shared" ref="F17:F25" ca="1" si="35">M4</f>
        <v>1</v>
      </c>
      <c r="G17" s="1">
        <f t="shared" ref="G17:G25" ca="1" si="36">N4</f>
        <v>2</v>
      </c>
      <c r="H17" s="1">
        <f t="shared" ref="H17:J23" ca="1" si="37">G4</f>
        <v>7</v>
      </c>
      <c r="I17" s="1">
        <f t="shared" ca="1" si="37"/>
        <v>9</v>
      </c>
      <c r="J17" s="13">
        <f t="shared" ca="1" si="37"/>
        <v>-2</v>
      </c>
      <c r="K17" s="1">
        <f t="shared" ref="K17:K25" ca="1" si="38">J4</f>
        <v>4</v>
      </c>
      <c r="L17" s="30">
        <f t="shared" ref="L17:L25" ca="1" si="39">K17*$F$64+(J17+$H$65)*$F$65+H17*$F$66</f>
        <v>4498007</v>
      </c>
      <c r="M17" s="14">
        <f ca="1">IF($AI$15,COUNTIF($K$17:$K$25,K17),COUNTIF($L$17:$L$25,L17))</f>
        <v>1</v>
      </c>
      <c r="N17" s="14">
        <f t="array" aca="1" ref="N17" ca="1">IF($AI$15,SUM(($K$17:$K$25&gt;=K17)/COUNTIF($K$17:$K$25,$K$17:$K$25)),SUM(($L$17:$L$25&gt;=L17)/COUNTIF($L$17:$L$25,$L$17:$L$25)))</f>
        <v>3</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2" ca="1" si="48">AA17*$F$64+(AB17+$H$65)*$F$65+AC17*$F$66</f>
        <v>500000</v>
      </c>
      <c r="X17" s="21">
        <f ca="1">RANK($L17,$L$17:$L$25)+RANK($W17,$W$17:$W$25)/100+(9-$Y17)/10000</f>
        <v>3.0108999999999999</v>
      </c>
      <c r="Y17" s="13">
        <f>Vorrunde!$AI12</f>
        <v>0</v>
      </c>
      <c r="Z17" s="1">
        <f ca="1">RANK($W17,$W$17:$W$25)+(9-$Y17)/10</f>
        <v>1.9</v>
      </c>
      <c r="AA17" s="1">
        <f ca="1">SUM(E30:BP30)</f>
        <v>0</v>
      </c>
      <c r="AB17" s="1">
        <f ca="1">SUM(E41:BP41)</f>
        <v>0</v>
      </c>
      <c r="AC17" s="1">
        <f ca="1">SUM(E52:BP52)</f>
        <v>0</v>
      </c>
      <c r="AD17" s="249">
        <f ca="1">RANK($K17,$K$17:$K$25)</f>
        <v>3</v>
      </c>
      <c r="AE17" s="30">
        <f t="shared" ref="AE17:AE22" ca="1" si="49">(J17+$H$65)*$F$65+H17*$F$66</f>
        <v>498007</v>
      </c>
      <c r="AF17" s="1">
        <f ca="1">RANK($AE17,$AE$17:$AE$25)</f>
        <v>4</v>
      </c>
      <c r="AG17" s="1">
        <f ca="1">RANK($W17,$W$17:$W$25)</f>
        <v>1</v>
      </c>
      <c r="AH17" s="251">
        <f ca="1">AD17+AG17/100+AF17/10000+(10-Y17)/1000000</f>
        <v>3.0104099999999998</v>
      </c>
      <c r="AI17" s="1"/>
    </row>
    <row r="18" spans="2:80" s="2" customFormat="1" x14ac:dyDescent="0.2">
      <c r="C18" s="2" t="str">
        <f t="shared" ref="C18:C25" si="50">$Q65</f>
        <v>FC Barcelona</v>
      </c>
      <c r="D18" s="1">
        <f t="shared" ca="1" si="33"/>
        <v>4</v>
      </c>
      <c r="E18" s="1">
        <f t="shared" ca="1" si="34"/>
        <v>4</v>
      </c>
      <c r="F18" s="1">
        <f t="shared" ca="1" si="35"/>
        <v>0</v>
      </c>
      <c r="G18" s="1">
        <f t="shared" ca="1" si="36"/>
        <v>0</v>
      </c>
      <c r="H18" s="1">
        <f t="shared" ca="1" si="37"/>
        <v>17</v>
      </c>
      <c r="I18" s="1">
        <f t="shared" ca="1" si="37"/>
        <v>3</v>
      </c>
      <c r="J18" s="13">
        <f t="shared" ca="1" si="37"/>
        <v>14</v>
      </c>
      <c r="K18" s="1">
        <f t="shared" ca="1" si="38"/>
        <v>12</v>
      </c>
      <c r="L18" s="30">
        <f t="shared" ca="1" si="39"/>
        <v>12514017</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t="shared" ref="X18:X25" ca="1" si="52">RANK($L18,$L$17:$L$25)+RANK($W18,$W$17:$W$25)/100+(9-$Y18)/10000</f>
        <v>1.0108999999999999</v>
      </c>
      <c r="Y18" s="13">
        <f>Vorrunde!$AI13</f>
        <v>0</v>
      </c>
      <c r="Z18" s="1">
        <f t="shared" ref="Z18:Z25" ca="1" si="53">RANK($W18,$W$17:$W$25)+(9-$Y18)/10</f>
        <v>1.9</v>
      </c>
      <c r="AA18" s="1">
        <f t="shared" ref="AA18:AA25" ca="1" si="54">SUM(E31:BP31)</f>
        <v>0</v>
      </c>
      <c r="AB18" s="1">
        <f t="shared" ref="AB18:AB25" ca="1" si="55">SUM(E42:BP42)</f>
        <v>0</v>
      </c>
      <c r="AC18" s="1">
        <f t="shared" ref="AC18:AC25" ca="1" si="56">SUM(E53:BP53)</f>
        <v>0</v>
      </c>
      <c r="AD18" s="249">
        <f t="shared" ref="AD18:AD25" ca="1" si="57">RANK($K18,$K$17:$K$25)</f>
        <v>1</v>
      </c>
      <c r="AE18" s="30">
        <f t="shared" ca="1" si="49"/>
        <v>514017</v>
      </c>
      <c r="AF18" s="1">
        <f t="shared" ref="AF18:AF25" ca="1" si="58">RANK($AE18,$AE$17:$AE$25)</f>
        <v>1</v>
      </c>
      <c r="AG18" s="1">
        <f t="shared" ref="AG18:AG25" ca="1" si="59">RANK($W18,$W$17:$W$25)</f>
        <v>1</v>
      </c>
      <c r="AH18" s="252">
        <f t="shared" ref="AH18:AH25" ca="1" si="60">AD18+AG18/100+AF18/10000+(10-Y18)/1000000</f>
        <v>1.0101100000000001</v>
      </c>
      <c r="AI18" s="1"/>
    </row>
    <row r="19" spans="2:80" s="2" customFormat="1" x14ac:dyDescent="0.2">
      <c r="C19" s="2" t="str">
        <f t="shared" si="50"/>
        <v>Eintracht Frankfurt</v>
      </c>
      <c r="D19" s="1">
        <f t="shared" ca="1" si="33"/>
        <v>4</v>
      </c>
      <c r="E19" s="1">
        <f t="shared" ca="1" si="34"/>
        <v>3</v>
      </c>
      <c r="F19" s="1">
        <f t="shared" ca="1" si="35"/>
        <v>0</v>
      </c>
      <c r="G19" s="1">
        <f t="shared" ca="1" si="36"/>
        <v>1</v>
      </c>
      <c r="H19" s="1">
        <f t="shared" ca="1" si="37"/>
        <v>12</v>
      </c>
      <c r="I19" s="1">
        <f t="shared" ca="1" si="37"/>
        <v>8</v>
      </c>
      <c r="J19" s="13">
        <f t="shared" ca="1" si="37"/>
        <v>4</v>
      </c>
      <c r="K19" s="1">
        <f t="shared" ca="1" si="38"/>
        <v>9</v>
      </c>
      <c r="L19" s="30">
        <f t="shared" ca="1" si="39"/>
        <v>9504012</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ca="1" si="52"/>
        <v>2.0108999999999999</v>
      </c>
      <c r="Y19" s="13">
        <f>Vorrunde!$AI14</f>
        <v>0</v>
      </c>
      <c r="Z19" s="1">
        <f t="shared" ca="1" si="53"/>
        <v>1.9</v>
      </c>
      <c r="AA19" s="1">
        <f t="shared" ca="1" si="54"/>
        <v>0</v>
      </c>
      <c r="AB19" s="1">
        <f t="shared" ca="1" si="55"/>
        <v>0</v>
      </c>
      <c r="AC19" s="1">
        <f t="shared" ca="1" si="56"/>
        <v>0</v>
      </c>
      <c r="AD19" s="249">
        <f t="shared" ca="1" si="57"/>
        <v>2</v>
      </c>
      <c r="AE19" s="30">
        <f t="shared" ca="1" si="49"/>
        <v>504012</v>
      </c>
      <c r="AF19" s="1">
        <f t="shared" ca="1" si="58"/>
        <v>2</v>
      </c>
      <c r="AG19" s="1">
        <f t="shared" ca="1" si="59"/>
        <v>1</v>
      </c>
      <c r="AH19" s="252">
        <f t="shared" ca="1" si="60"/>
        <v>2.0102099999999998</v>
      </c>
      <c r="AI19" s="1"/>
    </row>
    <row r="20" spans="2:80" s="2" customFormat="1" x14ac:dyDescent="0.2">
      <c r="C20" s="2" t="str">
        <f t="shared" si="50"/>
        <v>Maibach 1822 eV</v>
      </c>
      <c r="D20" s="1">
        <f t="shared" ca="1" si="33"/>
        <v>4</v>
      </c>
      <c r="E20" s="1">
        <f t="shared" ca="1" si="34"/>
        <v>0</v>
      </c>
      <c r="F20" s="1">
        <f t="shared" ca="1" si="35"/>
        <v>0</v>
      </c>
      <c r="G20" s="1">
        <f t="shared" ca="1" si="36"/>
        <v>4</v>
      </c>
      <c r="H20" s="1">
        <f t="shared" ca="1" si="37"/>
        <v>3</v>
      </c>
      <c r="I20" s="1">
        <f t="shared" ca="1" si="37"/>
        <v>16</v>
      </c>
      <c r="J20" s="13">
        <f t="shared" ca="1" si="37"/>
        <v>-13</v>
      </c>
      <c r="K20" s="1">
        <f t="shared" ca="1" si="38"/>
        <v>0</v>
      </c>
      <c r="L20" s="30">
        <f t="shared" ca="1" si="39"/>
        <v>487003</v>
      </c>
      <c r="M20" s="14">
        <f t="shared" ca="1" si="51"/>
        <v>1</v>
      </c>
      <c r="N20" s="14">
        <f t="array" aca="1" ref="N20" ca="1">IF($AI$15,SUM(($K$17:$K$25&gt;=K20)/COUNTIF($K$17:$K$25,$K$17:$K$25)),SUM(($L$17:$L$25&gt;=L20)/COUNTIF($L$17:$L$25,$L$17:$L$25)))</f>
        <v>6</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2"/>
        <v>9.0108999999999995</v>
      </c>
      <c r="Y20" s="13">
        <f>Vorrunde!$AI15</f>
        <v>0</v>
      </c>
      <c r="Z20" s="1">
        <f t="shared" ca="1" si="53"/>
        <v>1.9</v>
      </c>
      <c r="AA20" s="1">
        <f t="shared" ca="1" si="54"/>
        <v>0</v>
      </c>
      <c r="AB20" s="1">
        <f t="shared" ca="1" si="55"/>
        <v>0</v>
      </c>
      <c r="AC20" s="1">
        <f t="shared" ca="1" si="56"/>
        <v>0</v>
      </c>
      <c r="AD20" s="249">
        <f t="shared" ca="1" si="57"/>
        <v>5</v>
      </c>
      <c r="AE20" s="30">
        <f t="shared" ca="1" si="49"/>
        <v>487003</v>
      </c>
      <c r="AF20" s="1">
        <f t="shared" ca="1" si="58"/>
        <v>6</v>
      </c>
      <c r="AG20" s="1">
        <f t="shared" ca="1" si="59"/>
        <v>1</v>
      </c>
      <c r="AH20" s="252">
        <f t="shared" ca="1" si="60"/>
        <v>5.0106099999999998</v>
      </c>
      <c r="AI20" s="1"/>
    </row>
    <row r="21" spans="2:80" s="2" customFormat="1" x14ac:dyDescent="0.2">
      <c r="C21" s="2" t="str">
        <f t="shared" si="50"/>
        <v>VFB Essenheim</v>
      </c>
      <c r="D21" s="1">
        <f t="shared" ca="1" si="33"/>
        <v>4</v>
      </c>
      <c r="E21" s="1">
        <f t="shared" ca="1" si="34"/>
        <v>1</v>
      </c>
      <c r="F21" s="1">
        <f t="shared" ca="1" si="35"/>
        <v>1</v>
      </c>
      <c r="G21" s="1">
        <f t="shared" ca="1" si="36"/>
        <v>2</v>
      </c>
      <c r="H21" s="1">
        <f t="shared" ca="1" si="37"/>
        <v>10</v>
      </c>
      <c r="I21" s="1">
        <f t="shared" ca="1" si="37"/>
        <v>13</v>
      </c>
      <c r="J21" s="13">
        <f t="shared" ca="1" si="37"/>
        <v>-3</v>
      </c>
      <c r="K21" s="1">
        <f t="shared" ca="1" si="38"/>
        <v>4</v>
      </c>
      <c r="L21" s="30">
        <f t="shared" ca="1" si="39"/>
        <v>4497010</v>
      </c>
      <c r="M21" s="14">
        <f t="shared" ca="1" si="51"/>
        <v>1</v>
      </c>
      <c r="N21" s="14">
        <f t="array" aca="1" ref="N21" ca="1">IF($AI$15,SUM(($K$17:$K$25&gt;=K21)/COUNTIF($K$17:$K$25,$K$17:$K$25)),SUM(($L$17:$L$25&gt;=L21)/COUNTIF($L$17:$L$25,$L$17:$L$25)))</f>
        <v>4</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2"/>
        <v>4.0108999999999995</v>
      </c>
      <c r="Y21" s="13">
        <f>Vorrunde!$AI16</f>
        <v>0</v>
      </c>
      <c r="Z21" s="1">
        <f t="shared" ca="1" si="53"/>
        <v>1.9</v>
      </c>
      <c r="AA21" s="1">
        <f t="shared" ca="1" si="54"/>
        <v>0</v>
      </c>
      <c r="AB21" s="1">
        <f t="shared" ca="1" si="55"/>
        <v>0</v>
      </c>
      <c r="AC21" s="1">
        <f t="shared" ca="1" si="56"/>
        <v>0</v>
      </c>
      <c r="AD21" s="249">
        <f t="shared" ca="1" si="57"/>
        <v>3</v>
      </c>
      <c r="AE21" s="30">
        <f t="shared" ca="1" si="49"/>
        <v>497010</v>
      </c>
      <c r="AF21" s="1">
        <f t="shared" ca="1" si="58"/>
        <v>5</v>
      </c>
      <c r="AG21" s="1">
        <f t="shared" ca="1" si="59"/>
        <v>1</v>
      </c>
      <c r="AH21" s="252">
        <f t="shared" ca="1" si="60"/>
        <v>3.01051</v>
      </c>
      <c r="AI21" s="1"/>
    </row>
    <row r="22" spans="2:80" s="2" customFormat="1" x14ac:dyDescent="0.2">
      <c r="C22" s="2" t="str">
        <f t="shared" si="50"/>
        <v/>
      </c>
      <c r="D22" s="1">
        <f t="shared" ca="1" si="33"/>
        <v>0</v>
      </c>
      <c r="E22" s="1">
        <f t="shared" ca="1" si="34"/>
        <v>0</v>
      </c>
      <c r="F22" s="1">
        <f t="shared" ca="1" si="35"/>
        <v>0</v>
      </c>
      <c r="G22" s="1">
        <f t="shared" ca="1" si="36"/>
        <v>0</v>
      </c>
      <c r="H22" s="1">
        <f t="shared" ca="1" si="37"/>
        <v>0</v>
      </c>
      <c r="I22" s="1">
        <f t="shared" ca="1" si="37"/>
        <v>0</v>
      </c>
      <c r="J22" s="13">
        <f t="shared" ca="1" si="37"/>
        <v>0</v>
      </c>
      <c r="K22" s="1">
        <f t="shared" ca="1" si="38"/>
        <v>0</v>
      </c>
      <c r="L22" s="30">
        <f t="shared" ca="1" si="39"/>
        <v>500000</v>
      </c>
      <c r="M22" s="14">
        <f t="shared" ca="1" si="51"/>
        <v>4</v>
      </c>
      <c r="N22" s="14">
        <f t="array" aca="1" ref="N22" ca="1">IF($AI$15,SUM(($K$17:$K$25&gt;=K22)/COUNTIF($K$17:$K$25,$K$17:$K$25)),SUM(($L$17:$L$25&gt;=L22)/COUNTIF($L$17:$L$25,$L$17:$L$25)))</f>
        <v>5</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2"/>
        <v>5.0108999999999995</v>
      </c>
      <c r="Y22" s="13">
        <f>Vorrunde!$AI17</f>
        <v>0</v>
      </c>
      <c r="Z22" s="1">
        <f t="shared" ca="1" si="53"/>
        <v>1.9</v>
      </c>
      <c r="AA22" s="1">
        <f t="shared" ca="1" si="54"/>
        <v>0</v>
      </c>
      <c r="AB22" s="1">
        <f t="shared" ca="1" si="55"/>
        <v>0</v>
      </c>
      <c r="AC22" s="1">
        <f t="shared" ca="1" si="56"/>
        <v>0</v>
      </c>
      <c r="AD22" s="249">
        <f t="shared" ca="1" si="57"/>
        <v>5</v>
      </c>
      <c r="AE22" s="30">
        <f t="shared" ca="1" si="49"/>
        <v>500000</v>
      </c>
      <c r="AF22" s="1">
        <f t="shared" ca="1" si="58"/>
        <v>3</v>
      </c>
      <c r="AG22" s="1">
        <f t="shared" ca="1" si="59"/>
        <v>1</v>
      </c>
      <c r="AH22" s="252">
        <f t="shared" ca="1" si="60"/>
        <v>5.0103099999999996</v>
      </c>
      <c r="AI22" s="1"/>
    </row>
    <row r="23" spans="2:80" s="2" customFormat="1" x14ac:dyDescent="0.2">
      <c r="C23" s="2" t="str">
        <f t="shared" si="50"/>
        <v/>
      </c>
      <c r="D23" s="1">
        <f t="shared" ca="1" si="33"/>
        <v>0</v>
      </c>
      <c r="E23" s="1">
        <f t="shared" ca="1" si="34"/>
        <v>0</v>
      </c>
      <c r="F23" s="1">
        <f t="shared" ca="1" si="35"/>
        <v>0</v>
      </c>
      <c r="G23" s="1">
        <f t="shared" ca="1" si="36"/>
        <v>0</v>
      </c>
      <c r="H23" s="1">
        <f t="shared" ca="1" si="37"/>
        <v>0</v>
      </c>
      <c r="I23" s="1">
        <f t="shared" ca="1" si="37"/>
        <v>0</v>
      </c>
      <c r="J23" s="13">
        <f t="shared" ca="1" si="37"/>
        <v>0</v>
      </c>
      <c r="K23" s="1">
        <f t="shared" ca="1" si="38"/>
        <v>0</v>
      </c>
      <c r="L23" s="30">
        <f t="shared" ca="1" si="39"/>
        <v>500000</v>
      </c>
      <c r="M23" s="14">
        <f t="shared" ca="1" si="51"/>
        <v>4</v>
      </c>
      <c r="N23" s="14">
        <f t="array" aca="1" ref="N23" ca="1">IF($AI$15,SUM(($K$17:$K$25&gt;=K23)/COUNTIF($K$17:$K$25,$K$17:$K$25)),SUM(($L$17:$L$25&gt;=L23)/COUNTIF($L$17:$L$25,$L$17:$L$25)))</f>
        <v>5</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v>0</v>
      </c>
      <c r="X23" s="22">
        <f t="shared" ca="1" si="52"/>
        <v>5.0709</v>
      </c>
      <c r="Y23" s="13">
        <v>0</v>
      </c>
      <c r="Z23" s="1">
        <f t="shared" ca="1" si="53"/>
        <v>7.9</v>
      </c>
      <c r="AA23" s="1">
        <f t="shared" ca="1" si="54"/>
        <v>0</v>
      </c>
      <c r="AB23" s="1">
        <f t="shared" ca="1" si="55"/>
        <v>0</v>
      </c>
      <c r="AC23" s="1">
        <f t="shared" ca="1" si="56"/>
        <v>0</v>
      </c>
      <c r="AD23" s="249">
        <f t="shared" ca="1" si="57"/>
        <v>5</v>
      </c>
      <c r="AE23" s="30">
        <v>0</v>
      </c>
      <c r="AF23" s="1">
        <f t="shared" ca="1" si="58"/>
        <v>7</v>
      </c>
      <c r="AG23" s="1">
        <f t="shared" ca="1" si="59"/>
        <v>7</v>
      </c>
      <c r="AH23" s="252">
        <f t="shared" ca="1" si="60"/>
        <v>5.0707100000000001</v>
      </c>
      <c r="AI23" s="1"/>
    </row>
    <row r="24" spans="2:80" s="2" customFormat="1" x14ac:dyDescent="0.2">
      <c r="C24" s="2" t="str">
        <f t="shared" si="50"/>
        <v/>
      </c>
      <c r="D24" s="1">
        <f t="shared" ca="1" si="33"/>
        <v>0</v>
      </c>
      <c r="E24" s="1">
        <f t="shared" ca="1" si="34"/>
        <v>0</v>
      </c>
      <c r="F24" s="1">
        <f t="shared" ca="1" si="35"/>
        <v>0</v>
      </c>
      <c r="G24" s="1">
        <f t="shared" ca="1" si="36"/>
        <v>0</v>
      </c>
      <c r="H24" s="1">
        <f t="shared" ref="H24:J24" ca="1" si="61">G11</f>
        <v>0</v>
      </c>
      <c r="I24" s="1">
        <f t="shared" ca="1" si="61"/>
        <v>0</v>
      </c>
      <c r="J24" s="13">
        <f t="shared" ca="1" si="61"/>
        <v>0</v>
      </c>
      <c r="K24" s="1">
        <f t="shared" ca="1" si="38"/>
        <v>0</v>
      </c>
      <c r="L24" s="30">
        <f t="shared" ca="1" si="39"/>
        <v>500000</v>
      </c>
      <c r="M24" s="14">
        <f t="shared" ca="1" si="51"/>
        <v>4</v>
      </c>
      <c r="N24" s="14">
        <f t="array" aca="1" ref="N24" ca="1">IF($AI$15,SUM(($K$17:$K$25&gt;=K24)/COUNTIF($K$17:$K$25,$K$17:$K$25)),SUM(($L$17:$L$25&gt;=L24)/COUNTIF($L$17:$L$25,$L$17:$L$25)))</f>
        <v>5</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v>0</v>
      </c>
      <c r="X24" s="22">
        <f t="shared" ca="1" si="52"/>
        <v>5.0709</v>
      </c>
      <c r="Y24" s="13">
        <v>0</v>
      </c>
      <c r="Z24" s="1">
        <f t="shared" ca="1" si="53"/>
        <v>7.9</v>
      </c>
      <c r="AA24" s="1">
        <f t="shared" ca="1" si="54"/>
        <v>0</v>
      </c>
      <c r="AB24" s="1">
        <f t="shared" ca="1" si="55"/>
        <v>0</v>
      </c>
      <c r="AC24" s="1">
        <f t="shared" ca="1" si="56"/>
        <v>0</v>
      </c>
      <c r="AD24" s="249">
        <f t="shared" ca="1" si="57"/>
        <v>5</v>
      </c>
      <c r="AE24" s="30">
        <v>0</v>
      </c>
      <c r="AF24" s="1">
        <f t="shared" ca="1" si="58"/>
        <v>7</v>
      </c>
      <c r="AG24" s="1">
        <f t="shared" ca="1" si="59"/>
        <v>7</v>
      </c>
      <c r="AH24" s="252">
        <f t="shared" ca="1" si="60"/>
        <v>5.0707100000000001</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4</v>
      </c>
      <c r="N25" s="14">
        <f t="array" aca="1" ref="N25" ca="1">IF($AI$15,SUM(($K$17:$K$25&gt;=K25)/COUNTIF($K$17:$K$25,$K$17:$K$25)),SUM(($L$17:$L$25&gt;=L25)/COUNTIF($L$17:$L$25,$L$17:$L$25)))</f>
        <v>5</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v>0</v>
      </c>
      <c r="X25" s="23">
        <f t="shared" ca="1" si="52"/>
        <v>5.0709</v>
      </c>
      <c r="Y25" s="13">
        <v>0</v>
      </c>
      <c r="Z25" s="1">
        <f t="shared" ca="1" si="53"/>
        <v>7.9</v>
      </c>
      <c r="AA25" s="1">
        <f t="shared" ca="1" si="54"/>
        <v>0</v>
      </c>
      <c r="AB25" s="1">
        <f t="shared" ca="1" si="55"/>
        <v>0</v>
      </c>
      <c r="AC25" s="1">
        <f t="shared" ca="1" si="56"/>
        <v>0</v>
      </c>
      <c r="AD25" s="249">
        <f t="shared" ca="1" si="57"/>
        <v>5</v>
      </c>
      <c r="AE25" s="30">
        <v>0</v>
      </c>
      <c r="AF25" s="1">
        <f t="shared" ca="1" si="58"/>
        <v>7</v>
      </c>
      <c r="AG25" s="1">
        <f t="shared" ca="1" si="59"/>
        <v>7</v>
      </c>
      <c r="AH25" s="253">
        <f t="shared" ca="1" si="60"/>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7">
        <v>1</v>
      </c>
      <c r="F29" s="854"/>
      <c r="G29" s="854"/>
      <c r="H29" s="854"/>
      <c r="I29" s="854"/>
      <c r="J29" s="854"/>
      <c r="K29" s="854"/>
      <c r="L29" s="856"/>
      <c r="M29" s="853">
        <v>2</v>
      </c>
      <c r="N29" s="854"/>
      <c r="O29" s="854"/>
      <c r="P29" s="854"/>
      <c r="Q29" s="854"/>
      <c r="R29" s="854"/>
      <c r="S29" s="854"/>
      <c r="T29" s="856"/>
      <c r="U29" s="853">
        <v>3</v>
      </c>
      <c r="V29" s="854"/>
      <c r="W29" s="854"/>
      <c r="X29" s="854"/>
      <c r="Y29" s="854"/>
      <c r="Z29" s="854"/>
      <c r="AA29" s="854"/>
      <c r="AB29" s="856"/>
      <c r="AC29" s="853">
        <v>4</v>
      </c>
      <c r="AD29" s="854"/>
      <c r="AE29" s="854"/>
      <c r="AF29" s="854"/>
      <c r="AG29" s="854"/>
      <c r="AH29" s="854"/>
      <c r="AI29" s="854"/>
      <c r="AJ29" s="856"/>
      <c r="AK29" s="853">
        <v>5</v>
      </c>
      <c r="AL29" s="854"/>
      <c r="AM29" s="854"/>
      <c r="AN29" s="854"/>
      <c r="AO29" s="854"/>
      <c r="AP29" s="854"/>
      <c r="AQ29" s="854"/>
      <c r="AR29" s="856"/>
      <c r="AS29" s="853">
        <v>6</v>
      </c>
      <c r="AT29" s="854"/>
      <c r="AU29" s="854"/>
      <c r="AV29" s="854"/>
      <c r="AW29" s="854"/>
      <c r="AX29" s="854"/>
      <c r="AY29" s="854"/>
      <c r="AZ29" s="856"/>
      <c r="BA29" s="853">
        <v>7</v>
      </c>
      <c r="BB29" s="854"/>
      <c r="BC29" s="854"/>
      <c r="BD29" s="854"/>
      <c r="BE29" s="854"/>
      <c r="BF29" s="854"/>
      <c r="BG29" s="854"/>
      <c r="BH29" s="856"/>
      <c r="BI29" s="853">
        <v>8</v>
      </c>
      <c r="BJ29" s="854"/>
      <c r="BK29" s="854"/>
      <c r="BL29" s="854"/>
      <c r="BM29" s="854"/>
      <c r="BN29" s="854"/>
      <c r="BO29" s="854"/>
      <c r="BP29" s="855"/>
      <c r="BQ29" s="13"/>
      <c r="BR29" s="5" t="s">
        <v>96</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0</v>
      </c>
      <c r="BU30" s="8">
        <f t="shared" ca="1" si="64"/>
        <v>3</v>
      </c>
      <c r="BV30" s="8">
        <f t="shared" ca="1" si="64"/>
        <v>2</v>
      </c>
      <c r="BW30" s="8">
        <f t="shared" ca="1" si="64"/>
        <v>2</v>
      </c>
      <c r="BX30" s="8">
        <f t="shared" ca="1" si="64"/>
        <v>0</v>
      </c>
      <c r="BY30" s="8">
        <f t="shared" ca="1" si="64"/>
        <v>0</v>
      </c>
      <c r="BZ30" s="8">
        <f t="shared" ca="1" si="64"/>
        <v>0</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3</v>
      </c>
      <c r="BT31" s="7"/>
      <c r="BU31" s="8">
        <f t="shared" ref="BU31:CA31" ca="1" si="67">SUMIFS($X$64:$X$135,$V$64:$V$135,$BR31,$W$64:$W$135,BU$29)+SUMIFS($Y$64:$Y$135,$W$64:$W$135,$BR31,$V$64:$V$135,BU$29)</f>
        <v>2</v>
      </c>
      <c r="BV31" s="8">
        <f t="shared" ca="1" si="67"/>
        <v>6</v>
      </c>
      <c r="BW31" s="8">
        <f t="shared" ca="1" si="67"/>
        <v>6</v>
      </c>
      <c r="BX31" s="8">
        <f t="shared" ca="1" si="67"/>
        <v>0</v>
      </c>
      <c r="BY31" s="8">
        <f t="shared" ca="1" si="67"/>
        <v>0</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4</v>
      </c>
      <c r="BT32" s="9">
        <f t="shared" ref="BT32:BT38" ca="1" si="68">SUMIFS($X$64:$X$135,$V$64:$V$135,$BR32,$W$64:$W$135,BT$29)+SUMIFS($Y$64:$Y$135,$W$64:$W$135,$BR32,$V$64:$V$135,BT$29)</f>
        <v>1</v>
      </c>
      <c r="BU32" s="7"/>
      <c r="BV32" s="8">
        <f t="shared" ref="BV32:CA32" ca="1" si="69">SUMIFS($X$64:$X$135,$V$64:$V$135,$BR32,$W$64:$W$135,BV$29)+SUMIFS($Y$64:$Y$135,$W$64:$W$135,$BR32,$V$64:$V$135,BV$29)</f>
        <v>4</v>
      </c>
      <c r="BW32" s="8">
        <f t="shared" ca="1" si="69"/>
        <v>3</v>
      </c>
      <c r="BX32" s="8">
        <f t="shared" ca="1" si="69"/>
        <v>0</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0</v>
      </c>
      <c r="BT33" s="9">
        <f t="shared" ca="1" si="68"/>
        <v>0</v>
      </c>
      <c r="BU33" s="9">
        <f t="shared" ref="BU33:BU38" ca="1" si="70">SUMIFS($X$64:$X$135,$V$64:$V$135,$BR33,$W$64:$W$135,BU$29)+SUMIFS($Y$64:$Y$135,$W$64:$W$135,$BR33,$V$64:$V$135,BU$29)</f>
        <v>1</v>
      </c>
      <c r="BV33" s="7"/>
      <c r="BW33" s="8">
        <f ca="1">SUMIFS($X$64:$X$135,$V$64:$V$135,$BR33,$W$64:$W$135,BW$29)+SUMIFS($Y$64:$Y$135,$W$64:$W$135,$BR33,$V$64:$V$135,BW$29)</f>
        <v>2</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2</v>
      </c>
      <c r="BT34" s="9">
        <f t="shared" ca="1" si="68"/>
        <v>2</v>
      </c>
      <c r="BU34" s="9">
        <f t="shared" ca="1" si="70"/>
        <v>2</v>
      </c>
      <c r="BV34" s="9">
        <f ca="1">SUMIFS($X$64:$X$135,$V$64:$V$135,$BR34,$W$64:$W$135,BV$29)+SUMIFS($Y$64:$Y$135,$W$64:$W$135,$BR34,$V$64:$V$135,BV$29)</f>
        <v>4</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
      </c>
      <c r="BS35" s="9">
        <f t="shared" ca="1" si="66"/>
        <v>0</v>
      </c>
      <c r="BT35" s="9">
        <f t="shared" ca="1" si="68"/>
        <v>0</v>
      </c>
      <c r="BU35" s="9">
        <f t="shared" ca="1" si="7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6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
      </c>
      <c r="BS36" s="9">
        <f t="shared" ca="1" si="66"/>
        <v>0</v>
      </c>
      <c r="BT36" s="9">
        <f t="shared" ca="1" si="68"/>
        <v>0</v>
      </c>
      <c r="BU36" s="9">
        <f t="shared" ca="1" si="7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
      </c>
      <c r="BS37" s="9">
        <f t="shared" ca="1" si="66"/>
        <v>0</v>
      </c>
      <c r="BT37" s="9">
        <f t="shared" ca="1" si="68"/>
        <v>0</v>
      </c>
      <c r="BU37" s="9">
        <f t="shared" ca="1" si="7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-3</v>
      </c>
      <c r="BU41" s="8">
        <f ca="1">BU30-BS32</f>
        <v>-1</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3</v>
      </c>
      <c r="BT42" s="7"/>
      <c r="BU42" s="8">
        <f ca="1">BU31-BT32</f>
        <v>1</v>
      </c>
      <c r="BV42" s="8">
        <f ca="1">BV31-BT33</f>
        <v>6</v>
      </c>
      <c r="BW42" s="8">
        <f ca="1">BW31-BT34</f>
        <v>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1</v>
      </c>
      <c r="BT43" s="9">
        <f ca="1">IF(BU42="","",-1*BU42)</f>
        <v>-1</v>
      </c>
      <c r="BU43" s="7"/>
      <c r="BV43" s="8">
        <f ca="1">BV32-BU33</f>
        <v>3</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-2</v>
      </c>
      <c r="BT44" s="9">
        <f ca="1">IF(BV42="","",-1*BV42)</f>
        <v>-6</v>
      </c>
      <c r="BU44" s="9">
        <f ca="1">IF(BV43="","",-1*BV43)</f>
        <v>-3</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0</v>
      </c>
      <c r="BT45" s="9">
        <f ca="1">IF(BW42="","",-1*BW42)</f>
        <v>-4</v>
      </c>
      <c r="BU45" s="9">
        <f ca="1">IF(BW43="","",-1*BW43)</f>
        <v>-1</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3</v>
      </c>
      <c r="BW52" s="8">
        <f t="shared" ca="1" si="74"/>
        <v>1</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3</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0</v>
      </c>
      <c r="BT55" s="9">
        <f t="shared" ca="1" si="77"/>
        <v>0</v>
      </c>
      <c r="BU55" s="9">
        <f t="shared" ref="BU55:BU60" ca="1" si="78">SUMIFS($AE$64:$AE$135,$V$64:$V$135,$BR55,$W$64:$W$135,BU$51)+SUMIFS($AF$64:$AF$135,$W$64:$W$135,$BR55,$V$64:$V$135,BU$51)</f>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75"/>
        <v>0</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1</v>
      </c>
      <c r="BT56" s="9">
        <f t="shared" ca="1" si="77"/>
        <v>0</v>
      </c>
      <c r="BU56" s="9">
        <f t="shared" ca="1" si="78"/>
        <v>0</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
      </c>
      <c r="BS57" s="9">
        <f t="shared" ca="1" si="76"/>
        <v>0</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0</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
      </c>
      <c r="BS58" s="9">
        <f t="shared" ca="1" si="76"/>
        <v>0</v>
      </c>
      <c r="BT58" s="9">
        <f t="shared" ca="1" si="77"/>
        <v>0</v>
      </c>
      <c r="BU58" s="9">
        <f t="shared" ca="1" si="78"/>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
      </c>
      <c r="BS59" s="9">
        <f t="shared" ca="1" si="76"/>
        <v>0</v>
      </c>
      <c r="BT59" s="9">
        <f t="shared" ca="1" si="77"/>
        <v>0</v>
      </c>
      <c r="BU59" s="9">
        <f t="shared" ca="1" si="78"/>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165" t="s">
        <v>163</v>
      </c>
      <c r="AD63" s="164" t="s">
        <v>161</v>
      </c>
      <c r="AE63" s="847" t="s">
        <v>112</v>
      </c>
      <c r="AF63" s="847"/>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IF(Planung!$C$7="","",Planung!$C$7)</f>
        <v>1. FC Riedwald</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IF(AA64&gt;0,X64&amp;Sprache!$E$71&amp;Y64,"")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IF(Planung!$C$9="","",Planung!$C$9)</f>
        <v>FC Barcelona</v>
      </c>
      <c r="U65" s="67" t="s">
        <v>8</v>
      </c>
      <c r="V65" s="41" t="str">
        <f ca="1">Planung!$L7</f>
        <v>FC Grönlingen</v>
      </c>
      <c r="W65" s="13" t="str">
        <f ca="1">Planung!$N7</f>
        <v>Inter Mailand</v>
      </c>
      <c r="X65" s="13">
        <f ca="1">IF(AND(Vorrunde!$I13&lt;&gt;"",Vorrunde!$K13&lt;&gt;"",Vorrunde!$F13&lt;&gt;Vorrunde!$H13,$V65&lt;&gt;"",$W65&lt;&gt;""),Vorrunde!$I13,"")</f>
        <v>2</v>
      </c>
      <c r="Y65" s="36">
        <f ca="1">IF(AND(Vorrunde!$I13&lt;&gt;"",Vorrunde!$K13&lt;&gt;"",Vorrunde!$F13&lt;&gt;Vorrunde!$H13,$V65&lt;&gt;"",$W65&lt;&gt;""),Vorrunde!$K13,"")</f>
        <v>4</v>
      </c>
      <c r="Z65" s="35" t="str">
        <f t="shared" ref="Z65:Z73" ca="1" si="79">V65&amp;W65</f>
        <v>FC GrönlingenInter Mailand</v>
      </c>
      <c r="AA65" s="13">
        <f t="shared" ref="AA65:AA128" ca="1" si="80">IF(AND(V65&lt;&gt;"",W65&lt;&gt;"",V65&lt;&gt;W65,X65&lt;&gt;"",Y65&lt;&gt;""),1,0)</f>
        <v>1</v>
      </c>
      <c r="AB65" s="13" t="str">
        <f ca="1">IF(AA65&gt;0,X65&amp;Sprache!$E$71&amp;Y65,"")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IF(Planung!$C$11="","",Planung!$C$11)</f>
        <v>Eintracht Frankfurt</v>
      </c>
      <c r="U66" s="67" t="s">
        <v>9</v>
      </c>
      <c r="V66" s="41" t="str">
        <f ca="1">Planung!$L8</f>
        <v>Eintracht Frankfurt</v>
      </c>
      <c r="W66" s="13" t="str">
        <f ca="1">Planung!$N8</f>
        <v>Maibach 1822 eV</v>
      </c>
      <c r="X66" s="13">
        <f ca="1">IF(AND(Vorrunde!$I14&lt;&gt;"",Vorrunde!$K14&lt;&gt;"",Vorrunde!$F14&lt;&gt;Vorrunde!$H14,$V66&lt;&gt;"",$W66&lt;&gt;""),Vorrunde!$I14,"")</f>
        <v>4</v>
      </c>
      <c r="Y66" s="36">
        <f ca="1">IF(AND(Vorrunde!$I14&lt;&gt;"",Vorrunde!$K14&lt;&gt;"",Vorrunde!$F14&lt;&gt;Vorrunde!$H14,$V66&lt;&gt;"",$W66&lt;&gt;""),Vorrunde!$K14,"")</f>
        <v>1</v>
      </c>
      <c r="Z66" s="35" t="str">
        <f t="shared" ca="1" si="79"/>
        <v>Eintracht FrankfurtMaibach 1822 eV</v>
      </c>
      <c r="AA66" s="13">
        <f t="shared" ca="1" si="80"/>
        <v>1</v>
      </c>
      <c r="AB66" s="13" t="str">
        <f ca="1">IF(AA66&gt;0,X66&amp;Sprache!$E$71&amp;Y66,"")</f>
        <v>4:1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IF(Planung!$C$13="","",Planung!$C$13)</f>
        <v>Maibach 1822 eV</v>
      </c>
      <c r="U67" s="67" t="s">
        <v>10</v>
      </c>
      <c r="V67" s="41" t="str">
        <f ca="1">Planung!$L9</f>
        <v>SSV Wildbach</v>
      </c>
      <c r="W67" s="13" t="str">
        <f ca="1">Planung!$N9</f>
        <v>Manchester City</v>
      </c>
      <c r="X67" s="13">
        <f ca="1">IF(AND(Vorrunde!$I15&lt;&gt;"",Vorrunde!$K15&lt;&gt;"",Vorrunde!$F15&lt;&gt;Vorrunde!$H15,$V67&lt;&gt;"",$W67&lt;&gt;""),Vorrunde!$I15,"")</f>
        <v>2</v>
      </c>
      <c r="Y67" s="36">
        <f ca="1">IF(AND(Vorrunde!$I15&lt;&gt;"",Vorrunde!$K15&lt;&gt;"",Vorrunde!$F15&lt;&gt;Vorrunde!$H15,$V67&lt;&gt;"",$W67&lt;&gt;""),Vorrunde!$K15,"")</f>
        <v>5</v>
      </c>
      <c r="Z67" s="35" t="str">
        <f t="shared" ca="1" si="79"/>
        <v>SSV WildbachManchester City</v>
      </c>
      <c r="AA67" s="13">
        <f t="shared" ca="1" si="80"/>
        <v>1</v>
      </c>
      <c r="AB67" s="13" t="str">
        <f ca="1">IF(AA67&gt;0,X67&amp;Sprache!$E$71&amp;Y67,"")</f>
        <v>2:5</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t="s">
        <v>11</v>
      </c>
      <c r="Q68" s="62" t="str">
        <f>IF(Planung!$C$15="","",Planung!$C$15)</f>
        <v>VFB Essenheim</v>
      </c>
      <c r="U68" s="67" t="s">
        <v>11</v>
      </c>
      <c r="V68" s="41" t="str">
        <f ca="1">Planung!$L10</f>
        <v>VFB Essenheim</v>
      </c>
      <c r="W68" s="13" t="str">
        <f ca="1">Planung!$N10</f>
        <v>1. FC Riedwald</v>
      </c>
      <c r="X68" s="13">
        <f ca="1">IF(AND(Vorrunde!$I16&lt;&gt;"",Vorrunde!$K16&lt;&gt;"",Vorrunde!$F16&lt;&gt;Vorrunde!$H16,$V68&lt;&gt;"",$W68&lt;&gt;""),Vorrunde!$I16,"")</f>
        <v>2</v>
      </c>
      <c r="Y68" s="36">
        <f ca="1">IF(AND(Vorrunde!$I16&lt;&gt;"",Vorrunde!$K16&lt;&gt;"",Vorrunde!$F16&lt;&gt;Vorrunde!$H16,$V68&lt;&gt;"",$W68&lt;&gt;""),Vorrunde!$K16,"")</f>
        <v>2</v>
      </c>
      <c r="Z68" s="35" t="str">
        <f t="shared" ca="1" si="79"/>
        <v>VFB Essenheim1. FC Riedwald</v>
      </c>
      <c r="AA68" s="13">
        <f t="shared" ca="1" si="80"/>
        <v>1</v>
      </c>
      <c r="AB68" s="13" t="str">
        <f ca="1">IF(AA68&gt;0,X68&amp;Sprache!$E$71&amp;Y68,"")</f>
        <v>2:2</v>
      </c>
      <c r="AD68" s="144"/>
      <c r="AE68" s="149">
        <f ca="1">IF($AA68=0,"",IF($X68&gt;$Y68,Einstellungen!$C$4,IF($X68=$Y68,1,0)))</f>
        <v>1</v>
      </c>
      <c r="AF68" s="144">
        <f ca="1">IF($AA68=0,"",IF($X68&lt;$Y68,Einstellungen!$C$4,IF($X68=$Y68,1,0)))</f>
        <v>1</v>
      </c>
      <c r="AH68" s="4"/>
      <c r="AI68" s="13"/>
      <c r="AJ68" s="13"/>
      <c r="AK68" s="13"/>
      <c r="AL68" s="4"/>
      <c r="AM68" s="13"/>
      <c r="AN68" s="13"/>
      <c r="AO68" s="13"/>
      <c r="AP68" s="13"/>
      <c r="AQ68" s="13"/>
    </row>
    <row r="69" spans="2:43" s="2" customFormat="1" x14ac:dyDescent="0.2">
      <c r="P69" s="47" t="s">
        <v>12</v>
      </c>
      <c r="Q69" s="62" t="str">
        <f>IF(Planung!$C$17="","",Planung!$C$17)</f>
        <v/>
      </c>
      <c r="U69" s="67" t="s">
        <v>12</v>
      </c>
      <c r="V69" s="41" t="str">
        <f ca="1">Planung!$L11</f>
        <v>FC Grönlingen</v>
      </c>
      <c r="W69" s="13" t="str">
        <f ca="1">Planung!$N11</f>
        <v>Mainz 05</v>
      </c>
      <c r="X69" s="13">
        <f ca="1">IF(AND(Vorrunde!$I17&lt;&gt;"",Vorrunde!$K17&lt;&gt;"",Vorrunde!$F17&lt;&gt;Vorrunde!$H17,$V69&lt;&gt;"",$W69&lt;&gt;""),Vorrunde!$I17,"")</f>
        <v>0</v>
      </c>
      <c r="Y69" s="36">
        <f ca="1">IF(AND(Vorrunde!$I17&lt;&gt;"",Vorrunde!$K17&lt;&gt;"",Vorrunde!$F17&lt;&gt;Vorrunde!$H17,$V69&lt;&gt;"",$W69&lt;&gt;""),Vorrunde!$K17,"")</f>
        <v>0</v>
      </c>
      <c r="Z69" s="35" t="str">
        <f t="shared" ca="1" si="79"/>
        <v>FC GrönlingenMainz 05</v>
      </c>
      <c r="AA69" s="13">
        <f t="shared" ca="1" si="80"/>
        <v>1</v>
      </c>
      <c r="AB69" s="13" t="str">
        <f ca="1">IF(AA69&gt;0,X69&amp;Sprache!$E$71&amp;Y69,"")</f>
        <v>0:0</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Planung!$L12</f>
        <v>FC Barcelona</v>
      </c>
      <c r="W70" s="13" t="str">
        <f ca="1">Planung!$N12</f>
        <v>Eintracht Frankfurt</v>
      </c>
      <c r="X70" s="13">
        <f ca="1">IF(AND(Vorrunde!$I18&lt;&gt;"",Vorrunde!$K18&lt;&gt;"",Vorrunde!$F18&lt;&gt;Vorrunde!$H18,$V70&lt;&gt;"",$W70&lt;&gt;""),Vorrunde!$I18,"")</f>
        <v>2</v>
      </c>
      <c r="Y70" s="36">
        <f ca="1">IF(AND(Vorrunde!$I18&lt;&gt;"",Vorrunde!$K18&lt;&gt;"",Vorrunde!$F18&lt;&gt;Vorrunde!$H18,$V70&lt;&gt;"",$W70&lt;&gt;""),Vorrunde!$K18,"")</f>
        <v>1</v>
      </c>
      <c r="Z70" s="35" t="str">
        <f t="shared" ca="1" si="79"/>
        <v>FC BarcelonaEintracht Frankfurt</v>
      </c>
      <c r="AA70" s="13">
        <f t="shared" ca="1" si="80"/>
        <v>1</v>
      </c>
      <c r="AB70" s="13" t="str">
        <f ca="1">IF(AA70&gt;0,X70&amp;Sprache!$E$71&amp;Y70,"")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Inter Mailand</v>
      </c>
      <c r="W71" s="13" t="str">
        <f ca="1">Planung!$N13</f>
        <v>SSV Wildbach</v>
      </c>
      <c r="X71" s="13">
        <f ca="1">IF(AND(Vorrunde!$I19&lt;&gt;"",Vorrunde!$K19&lt;&gt;"",Vorrunde!$F19&lt;&gt;Vorrunde!$H19,$V71&lt;&gt;"",$W71&lt;&gt;""),Vorrunde!$I19,"")</f>
        <v>2</v>
      </c>
      <c r="Y71" s="36">
        <f ca="1">IF(AND(Vorrunde!$I19&lt;&gt;"",Vorrunde!$K19&lt;&gt;"",Vorrunde!$F19&lt;&gt;Vorrunde!$H19,$V71&lt;&gt;"",$W71&lt;&gt;""),Vorrunde!$K19,"")</f>
        <v>1</v>
      </c>
      <c r="Z71" s="35" t="str">
        <f t="shared" ca="1" si="79"/>
        <v>Inter MailandSSV Wildbach</v>
      </c>
      <c r="AA71" s="13">
        <f t="shared" ca="1" si="80"/>
        <v>1</v>
      </c>
      <c r="AB71" s="13" t="str">
        <f ca="1">IF(AA71&gt;0,X71&amp;Sprache!$E$71&amp;Y71,"")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Riedwald</v>
      </c>
      <c r="W72" s="13" t="str">
        <f ca="1">Planung!$N14</f>
        <v>Maibach 1822 eV</v>
      </c>
      <c r="X72" s="13">
        <f ca="1">IF(AND(Vorrunde!$I20&lt;&gt;"",Vorrunde!$K20&lt;&gt;"",Vorrunde!$F20&lt;&gt;Vorrunde!$H20,$V72&lt;&gt;"",$W72&lt;&gt;""),Vorrunde!$I20,"")</f>
        <v>2</v>
      </c>
      <c r="Y72" s="36">
        <f ca="1">IF(AND(Vorrunde!$I20&lt;&gt;"",Vorrunde!$K20&lt;&gt;"",Vorrunde!$F20&lt;&gt;Vorrunde!$H20,$V72&lt;&gt;"",$W72&lt;&gt;""),Vorrunde!$K20,"")</f>
        <v>0</v>
      </c>
      <c r="Z72" s="35" t="str">
        <f t="shared" ca="1" si="79"/>
        <v>1. FC RiedwaldMaibach 1822 eV</v>
      </c>
      <c r="AA72" s="13">
        <f t="shared" ca="1" si="80"/>
        <v>1</v>
      </c>
      <c r="AB72" s="13" t="str">
        <f ca="1">IF(AA72&gt;0,X72&amp;Sprache!$E$71&amp;Y72,"")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Mainz 05</v>
      </c>
      <c r="W73" s="13" t="str">
        <f ca="1">Planung!$N15</f>
        <v>Manchester City</v>
      </c>
      <c r="X73" s="13">
        <f ca="1">IF(AND(Vorrunde!$I21&lt;&gt;"",Vorrunde!$K21&lt;&gt;"",Vorrunde!$F21&lt;&gt;Vorrunde!$H21,$V73&lt;&gt;"",$W73&lt;&gt;""),Vorrunde!$I21,"")</f>
        <v>2</v>
      </c>
      <c r="Y73" s="36">
        <f ca="1">IF(AND(Vorrunde!$I21&lt;&gt;"",Vorrunde!$K21&lt;&gt;"",Vorrunde!$F21&lt;&gt;Vorrunde!$H21,$V73&lt;&gt;"",$W73&lt;&gt;""),Vorrunde!$K21,"")</f>
        <v>6</v>
      </c>
      <c r="Z73" s="35" t="str">
        <f t="shared" ca="1" si="79"/>
        <v>Mainz 05Manchester City</v>
      </c>
      <c r="AA73" s="13">
        <f t="shared" ca="1" si="80"/>
        <v>1</v>
      </c>
      <c r="AB73" s="13" t="str">
        <f ca="1">IF(AA73&gt;0,X73&amp;Sprache!$E$71&amp;Y73,"")</f>
        <v>2:6</v>
      </c>
      <c r="AD73" s="144"/>
      <c r="AE73" s="149">
        <f ca="1">IF($AA73=0,"",IF($X73&gt;$Y73,Einstellungen!$C$4,IF($X73=$Y73,1,0)))</f>
        <v>0</v>
      </c>
      <c r="AF73" s="144">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Eintracht Frankfurt</v>
      </c>
      <c r="W74" s="13" t="str">
        <f ca="1">Planung!$N16</f>
        <v>VFB Essenheim</v>
      </c>
      <c r="X74" s="13">
        <f ca="1">IF(AND(Vorrunde!$I22&lt;&gt;"",Vorrunde!$K22&lt;&gt;"",Vorrunde!$F22&lt;&gt;Vorrunde!$H22,$V74&lt;&gt;"",$W74&lt;&gt;""),Vorrunde!$I22,"")</f>
        <v>3</v>
      </c>
      <c r="Y74" s="36">
        <f ca="1">IF(AND(Vorrunde!$I22&lt;&gt;"",Vorrunde!$K22&lt;&gt;"",Vorrunde!$F22&lt;&gt;Vorrunde!$H22,$V74&lt;&gt;"",$W74&lt;&gt;""),Vorrunde!$K22,"")</f>
        <v>2</v>
      </c>
      <c r="Z74" s="35" t="str">
        <f ca="1">V74&amp;W74</f>
        <v>Eintracht FrankfurtVFB Essenheim</v>
      </c>
      <c r="AA74" s="13">
        <f t="shared" ca="1" si="80"/>
        <v>1</v>
      </c>
      <c r="AB74" s="13" t="str">
        <f ca="1">IF(AA74&gt;0,X74&amp;Sprache!$E$71&amp;Y74,"")</f>
        <v>3:2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SSV Wildbach</v>
      </c>
      <c r="W75" s="13" t="str">
        <f ca="1">Planung!$N17</f>
        <v>FC Grönlingen</v>
      </c>
      <c r="X75" s="13">
        <f ca="1">IF(AND(Vorrunde!$I23&lt;&gt;"",Vorrunde!$K23&lt;&gt;"",Vorrunde!$F23&lt;&gt;Vorrunde!$H23,$V75&lt;&gt;"",$W75&lt;&gt;""),Vorrunde!$I23,"")</f>
        <v>1</v>
      </c>
      <c r="Y75" s="36">
        <f ca="1">IF(AND(Vorrunde!$I23&lt;&gt;"",Vorrunde!$K23&lt;&gt;"",Vorrunde!$F23&lt;&gt;Vorrunde!$H23,$V75&lt;&gt;"",$W75&lt;&gt;""),Vorrunde!$K23,"")</f>
        <v>1</v>
      </c>
      <c r="Z75" s="35" t="str">
        <f t="shared" ref="Z75:Z93" ca="1" si="81">V75&amp;W75</f>
        <v>SSV WildbachFC Grönlingen</v>
      </c>
      <c r="AA75" s="13">
        <f t="shared" ca="1" si="80"/>
        <v>1</v>
      </c>
      <c r="AB75" s="13" t="str">
        <f ca="1">IF(AA75&gt;0,X75&amp;Sprache!$E$71&amp;Y75,"")</f>
        <v>1:1</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Maibach 1822 eV</v>
      </c>
      <c r="X76" s="13">
        <f ca="1">IF(AND(Vorrunde!$I24&lt;&gt;"",Vorrunde!$K24&lt;&gt;"",Vorrunde!$F24&lt;&gt;Vorrunde!$H24,$V76&lt;&gt;"",$W76&lt;&gt;""),Vorrunde!$I24,"")</f>
        <v>6</v>
      </c>
      <c r="Y76" s="36">
        <f ca="1">IF(AND(Vorrunde!$I24&lt;&gt;"",Vorrunde!$K24&lt;&gt;"",Vorrunde!$F24&lt;&gt;Vorrunde!$H24,$V76&lt;&gt;"",$W76&lt;&gt;""),Vorrunde!$K24,"")</f>
        <v>0</v>
      </c>
      <c r="Z76" s="35" t="str">
        <f t="shared" ca="1" si="81"/>
        <v>FC BarcelonaMaibach 1822 eV</v>
      </c>
      <c r="AA76" s="13">
        <f t="shared" ca="1" si="80"/>
        <v>1</v>
      </c>
      <c r="AB76" s="13" t="str">
        <f ca="1">IF(AA76&gt;0,X76&amp;Sprache!$E$71&amp;Y76,"")</f>
        <v>6:0</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Manchester City</v>
      </c>
      <c r="X77" s="13">
        <f ca="1">IF(AND(Vorrunde!$I25&lt;&gt;"",Vorrunde!$K25&lt;&gt;"",Vorrunde!$F25&lt;&gt;Vorrunde!$H25,$V77&lt;&gt;"",$W77&lt;&gt;""),Vorrunde!$I25,"")</f>
        <v>0</v>
      </c>
      <c r="Y77" s="36">
        <f ca="1">IF(AND(Vorrunde!$I25&lt;&gt;"",Vorrunde!$K25&lt;&gt;"",Vorrunde!$F25&lt;&gt;Vorrunde!$H25,$V77&lt;&gt;"",$W77&lt;&gt;""),Vorrunde!$K25,"")</f>
        <v>2</v>
      </c>
      <c r="Z77" s="35" t="str">
        <f t="shared" ca="1" si="81"/>
        <v>Inter MailandManchester City</v>
      </c>
      <c r="AA77" s="13">
        <f t="shared" ca="1" si="80"/>
        <v>1</v>
      </c>
      <c r="AB77" s="13" t="str">
        <f ca="1">IF(AA77&gt;0,X77&amp;Sprache!$E$71&amp;Y77,"")</f>
        <v>0:2</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Eintracht Frankfurt</v>
      </c>
      <c r="W78" s="13" t="str">
        <f ca="1">Planung!$N20</f>
        <v>1. FC Riedwald</v>
      </c>
      <c r="X78" s="13">
        <f ca="1">IF(AND(Vorrunde!$I26&lt;&gt;"",Vorrunde!$K26&lt;&gt;"",Vorrunde!$F26&lt;&gt;Vorrunde!$H26,$V78&lt;&gt;"",$W78&lt;&gt;""),Vorrunde!$I26,"")</f>
        <v>4</v>
      </c>
      <c r="Y78" s="36">
        <f ca="1">IF(AND(Vorrunde!$I26&lt;&gt;"",Vorrunde!$K26&lt;&gt;"",Vorrunde!$F26&lt;&gt;Vorrunde!$H26,$V78&lt;&gt;"",$W78&lt;&gt;""),Vorrunde!$K26,"")</f>
        <v>3</v>
      </c>
      <c r="Z78" s="35" t="str">
        <f t="shared" ca="1" si="81"/>
        <v>Eintracht Frankfurt1. FC Riedwald</v>
      </c>
      <c r="AA78" s="13">
        <f t="shared" ca="1" si="80"/>
        <v>1</v>
      </c>
      <c r="AB78" s="13" t="str">
        <f ca="1">IF(AA78&gt;0,X78&amp;Sprache!$E$71&amp;Y78,"")</f>
        <v>4:3</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Planung!$L21</f>
        <v>SSV Wildbach</v>
      </c>
      <c r="W79" s="13" t="str">
        <f ca="1">Planung!$N21</f>
        <v>Mainz 05</v>
      </c>
      <c r="X79" s="13">
        <f ca="1">IF(AND(Vorrunde!$I27&lt;&gt;"",Vorrunde!$K27&lt;&gt;"",Vorrunde!$F27&lt;&gt;Vorrunde!$H27,$V79&lt;&gt;"",$W79&lt;&gt;""),Vorrunde!$I27,"")</f>
        <v>0</v>
      </c>
      <c r="Y79" s="36">
        <f ca="1">IF(AND(Vorrunde!$I27&lt;&gt;"",Vorrunde!$K27&lt;&gt;"",Vorrunde!$F27&lt;&gt;Vorrunde!$H27,$V79&lt;&gt;"",$W79&lt;&gt;""),Vorrunde!$K27,"")</f>
        <v>2</v>
      </c>
      <c r="Z79" s="35" t="str">
        <f t="shared" ca="1" si="81"/>
        <v>SSV WildbachMainz 05</v>
      </c>
      <c r="AA79" s="13">
        <f t="shared" ca="1" si="80"/>
        <v>1</v>
      </c>
      <c r="AB79" s="13" t="str">
        <f ca="1">IF(AA79&gt;0,X79&amp;Sprache!$E$71&amp;Y79,"")</f>
        <v>0:2</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Planung!$L22</f>
        <v>Maibach 1822 eV</v>
      </c>
      <c r="W80" s="13" t="str">
        <f ca="1">Planung!$N22</f>
        <v>VFB Essenheim</v>
      </c>
      <c r="X80" s="13">
        <f ca="1">IF(AND(Vorrunde!$I28&lt;&gt;"",Vorrunde!$K28&lt;&gt;"",Vorrunde!$F28&lt;&gt;Vorrunde!$H28,$V80&lt;&gt;"",$W80&lt;&gt;""),Vorrunde!$I28,"")</f>
        <v>2</v>
      </c>
      <c r="Y80" s="36">
        <f ca="1">IF(AND(Vorrunde!$I28&lt;&gt;"",Vorrunde!$K28&lt;&gt;"",Vorrunde!$F28&lt;&gt;Vorrunde!$H28,$V80&lt;&gt;"",$W80&lt;&gt;""),Vorrunde!$K28,"")</f>
        <v>4</v>
      </c>
      <c r="Z80" s="35" t="str">
        <f t="shared" ca="1" si="81"/>
        <v>Maibach 1822 eVVFB Essenheim</v>
      </c>
      <c r="AA80" s="13">
        <f t="shared" ca="1" si="80"/>
        <v>1</v>
      </c>
      <c r="AB80" s="13" t="str">
        <f ca="1">IF(AA80&gt;0,X80&amp;Sprache!$E$71&amp;Y80,"")</f>
        <v>2:4</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Planung!$L23</f>
        <v>Manchester City</v>
      </c>
      <c r="W81" s="13" t="str">
        <f ca="1">Planung!$N23</f>
        <v>FC Grönlingen</v>
      </c>
      <c r="X81" s="13">
        <f ca="1">IF(AND(Vorrunde!$I29&lt;&gt;"",Vorrunde!$K29&lt;&gt;"",Vorrunde!$F29&lt;&gt;Vorrunde!$H29,$V81&lt;&gt;"",$W81&lt;&gt;""),Vorrunde!$I29,"")</f>
        <v>5</v>
      </c>
      <c r="Y81" s="36">
        <f ca="1">IF(AND(Vorrunde!$I29&lt;&gt;"",Vorrunde!$K29&lt;&gt;"",Vorrunde!$F29&lt;&gt;Vorrunde!$H29,$V81&lt;&gt;"",$W81&lt;&gt;""),Vorrunde!$K29,"")</f>
        <v>1</v>
      </c>
      <c r="Z81" s="35" t="str">
        <f t="shared" ca="1" si="81"/>
        <v>Manchester CityFC Grönlingen</v>
      </c>
      <c r="AA81" s="13">
        <f t="shared" ca="1" si="80"/>
        <v>1</v>
      </c>
      <c r="AB81" s="13" t="str">
        <f ca="1">IF(AA81&gt;0,X81&amp;Sprache!$E$71&amp;Y81,"")</f>
        <v>5:1</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1. FC Riedwald</v>
      </c>
      <c r="W82" s="13" t="str">
        <f ca="1">Planung!$N24</f>
        <v>FC Barcelona</v>
      </c>
      <c r="X82" s="13">
        <f ca="1">IF(AND(Vorrunde!$I30&lt;&gt;"",Vorrunde!$K30&lt;&gt;"",Vorrunde!$F30&lt;&gt;Vorrunde!$H30,$V82&lt;&gt;"",$W82&lt;&gt;""),Vorrunde!$I30,"")</f>
        <v>0</v>
      </c>
      <c r="Y82" s="36">
        <f ca="1">IF(AND(Vorrunde!$I30&lt;&gt;"",Vorrunde!$K30&lt;&gt;"",Vorrunde!$F30&lt;&gt;Vorrunde!$H30,$V82&lt;&gt;"",$W82&lt;&gt;""),Vorrunde!$K30,"")</f>
        <v>3</v>
      </c>
      <c r="Z82" s="35" t="str">
        <f t="shared" ca="1" si="81"/>
        <v>1. FC RiedwaldFC Barcelona</v>
      </c>
      <c r="AA82" s="13">
        <f t="shared" ca="1" si="80"/>
        <v>1</v>
      </c>
      <c r="AB82" s="13" t="str">
        <f ca="1">IF(AA82&gt;0,X82&amp;Sprache!$E$71&amp;Y82,"")</f>
        <v>0:3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Planung!$L25</f>
        <v>Mainz 05</v>
      </c>
      <c r="W83" s="13" t="str">
        <f ca="1">Planung!$N25</f>
        <v>Inter Mailand</v>
      </c>
      <c r="X83" s="13">
        <f ca="1">IF(AND(Vorrunde!$I31&lt;&gt;"",Vorrunde!$K31&lt;&gt;"",Vorrunde!$F31&lt;&gt;Vorrunde!$H31,$V83&lt;&gt;"",$W83&lt;&gt;""),Vorrunde!$I31,"")</f>
        <v>1</v>
      </c>
      <c r="Y83" s="36">
        <f ca="1">IF(AND(Vorrunde!$I31&lt;&gt;"",Vorrunde!$K31&lt;&gt;"",Vorrunde!$F31&lt;&gt;Vorrunde!$H31,$V83&lt;&gt;"",$W83&lt;&gt;""),Vorrunde!$K31,"")</f>
        <v>1</v>
      </c>
      <c r="Z83" s="35" t="str">
        <f t="shared" ca="1" si="81"/>
        <v>Mainz 05Inter Mailand</v>
      </c>
      <c r="AA83" s="13">
        <f t="shared" ca="1" si="80"/>
        <v>1</v>
      </c>
      <c r="AB83" s="13" t="str">
        <f ca="1">IF(AA83&gt;0,X83&amp;Sprache!$E$71&amp;Y83,"")</f>
        <v>1:1</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Planung!$L26</f>
        <v/>
      </c>
      <c r="W84" s="13" t="str">
        <f ca="1">Planung!$N26</f>
        <v/>
      </c>
      <c r="X84" s="13" t="str">
        <f ca="1">IF(AND(Vorrunde!$I32&lt;&gt;"",Vorrunde!$K32&lt;&gt;"",Vorrunde!$F32&lt;&gt;Vorrunde!$H32,$V84&lt;&gt;"",$W84&lt;&gt;""),Vorrunde!$I32,"")</f>
        <v/>
      </c>
      <c r="Y84" s="36" t="str">
        <f ca="1">IF(AND(Vorrunde!$I32&lt;&gt;"",Vorrunde!$K32&lt;&gt;"",Vorrunde!$F32&lt;&gt;Vorrunde!$H32,$V84&lt;&gt;"",$W84&lt;&gt;""),Vorrunde!$K32,"")</f>
        <v/>
      </c>
      <c r="Z84" s="35" t="str">
        <f t="shared" ca="1" si="81"/>
        <v/>
      </c>
      <c r="AA84" s="13">
        <f t="shared" ca="1" si="80"/>
        <v>0</v>
      </c>
      <c r="AB84" s="13" t="str">
        <f ca="1">IF(AA84&gt;0,X84&amp;Sprache!$E$71&amp;Y84,"")</f>
        <v/>
      </c>
      <c r="AD84" s="144"/>
      <c r="AE84" s="149" t="str">
        <f ca="1">IF($AA84=0,"",IF($X84&gt;$Y84,Einstellungen!$C$4,IF($X84=$Y84,1,0)))</f>
        <v/>
      </c>
      <c r="AF84" s="144" t="str">
        <f ca="1">IF($AA84=0,"",IF($X84&lt;$Y84,Einstellungen!$C$4,IF($X84=$Y84,1,0)))</f>
        <v/>
      </c>
    </row>
    <row r="85" spans="2:32" s="2" customFormat="1" x14ac:dyDescent="0.2">
      <c r="B85" s="4"/>
      <c r="C85" s="4"/>
      <c r="D85" s="4"/>
      <c r="E85" s="4"/>
      <c r="F85" s="13"/>
      <c r="G85" s="13"/>
      <c r="H85" s="13"/>
      <c r="I85" s="13"/>
      <c r="J85" s="13"/>
      <c r="K85" s="13"/>
      <c r="L85" s="13"/>
      <c r="M85" s="13"/>
      <c r="U85" s="67" t="s">
        <v>37</v>
      </c>
      <c r="V85" s="41" t="str">
        <f ca="1">Planung!$L27</f>
        <v/>
      </c>
      <c r="W85" s="13" t="str">
        <f ca="1">Planung!$N27</f>
        <v/>
      </c>
      <c r="X85" s="13" t="str">
        <f ca="1">IF(AND(Vorrunde!$I33&lt;&gt;"",Vorrunde!$K33&lt;&gt;"",Vorrunde!$F33&lt;&gt;Vorrunde!$H33,$V85&lt;&gt;"",$W85&lt;&gt;""),Vorrunde!$I33,"")</f>
        <v/>
      </c>
      <c r="Y85" s="36" t="str">
        <f ca="1">IF(AND(Vorrunde!$I33&lt;&gt;"",Vorrunde!$K33&lt;&gt;"",Vorrunde!$F33&lt;&gt;Vorrunde!$H33,$V85&lt;&gt;"",$W85&lt;&gt;""),Vorrunde!$K33,"")</f>
        <v/>
      </c>
      <c r="Z85" s="35" t="str">
        <f t="shared" ca="1" si="81"/>
        <v/>
      </c>
      <c r="AA85" s="13">
        <f t="shared" ca="1" si="80"/>
        <v>0</v>
      </c>
      <c r="AB85" s="13" t="str">
        <f ca="1">IF(AA85&gt;0,X85&amp;Sprache!$E$71&amp;Y85,"")</f>
        <v/>
      </c>
      <c r="AD85" s="144"/>
      <c r="AE85" s="149" t="str">
        <f ca="1">IF($AA85=0,"",IF($X85&gt;$Y85,Einstellungen!$C$4,IF($X85=$Y85,1,0)))</f>
        <v/>
      </c>
      <c r="AF85" s="144" t="str">
        <f ca="1">IF($AA85=0,"",IF($X85&lt;$Y85,Einstellungen!$C$4,IF($X85=$Y85,1,0)))</f>
        <v/>
      </c>
    </row>
    <row r="86" spans="2:32" s="2" customFormat="1" x14ac:dyDescent="0.2">
      <c r="B86" s="4"/>
      <c r="C86" s="4"/>
      <c r="D86" s="4"/>
      <c r="E86" s="4"/>
      <c r="F86" s="13"/>
      <c r="G86" s="13"/>
      <c r="H86" s="13"/>
      <c r="I86" s="13"/>
      <c r="J86" s="13"/>
      <c r="K86" s="13"/>
      <c r="L86" s="13"/>
      <c r="M86" s="13"/>
      <c r="U86" s="67" t="s">
        <v>38</v>
      </c>
      <c r="V86" s="41" t="str">
        <f ca="1">Planung!$L28</f>
        <v/>
      </c>
      <c r="W86" s="13" t="str">
        <f ca="1">Planung!$N28</f>
        <v/>
      </c>
      <c r="X86" s="13" t="str">
        <f ca="1">IF(AND(Vorrunde!$I34&lt;&gt;"",Vorrunde!$K34&lt;&gt;"",Vorrunde!$F34&lt;&gt;Vorrunde!$H34,$V86&lt;&gt;"",$W86&lt;&gt;""),Vorrunde!$I34,"")</f>
        <v/>
      </c>
      <c r="Y86" s="36" t="str">
        <f ca="1">IF(AND(Vorrunde!$I34&lt;&gt;"",Vorrunde!$K34&lt;&gt;"",Vorrunde!$F34&lt;&gt;Vorrunde!$H34,$V86&lt;&gt;"",$W86&lt;&gt;""),Vorrunde!$K34,"")</f>
        <v/>
      </c>
      <c r="Z86" s="35" t="str">
        <f t="shared" ca="1" si="81"/>
        <v/>
      </c>
      <c r="AA86" s="13">
        <f t="shared" ca="1" si="80"/>
        <v>0</v>
      </c>
      <c r="AB86" s="13" t="str">
        <f ca="1">IF(AA86&gt;0,X86&amp;Sprache!$E$71&amp;Y86,"")</f>
        <v/>
      </c>
      <c r="AD86" s="144"/>
      <c r="AE86" s="149" t="str">
        <f ca="1">IF($AA86=0,"",IF($X86&gt;$Y86,Einstellungen!$C$4,IF($X86=$Y86,1,0)))</f>
        <v/>
      </c>
      <c r="AF86" s="144" t="str">
        <f ca="1">IF($AA86=0,"",IF($X86&lt;$Y86,Einstellungen!$C$4,IF($X86=$Y86,1,0)))</f>
        <v/>
      </c>
    </row>
    <row r="87" spans="2:32" s="2" customFormat="1" x14ac:dyDescent="0.2">
      <c r="B87" s="4"/>
      <c r="C87" s="4"/>
      <c r="D87" s="4"/>
      <c r="E87" s="4"/>
      <c r="F87" s="13"/>
      <c r="G87" s="13"/>
      <c r="H87" s="13"/>
      <c r="I87" s="13"/>
      <c r="J87" s="13"/>
      <c r="K87" s="13"/>
      <c r="L87" s="13"/>
      <c r="M87" s="13"/>
      <c r="U87" s="67" t="s">
        <v>39</v>
      </c>
      <c r="V87" s="41" t="str">
        <f ca="1">Planung!$L29</f>
        <v/>
      </c>
      <c r="W87" s="13" t="str">
        <f ca="1">Planung!$N29</f>
        <v/>
      </c>
      <c r="X87" s="13" t="str">
        <f ca="1">IF(AND(Vorrunde!$I35&lt;&gt;"",Vorrunde!$K35&lt;&gt;"",Vorrunde!$F35&lt;&gt;Vorrunde!$H35,$V87&lt;&gt;"",$W87&lt;&gt;""),Vorrunde!$I35,"")</f>
        <v/>
      </c>
      <c r="Y87" s="36" t="str">
        <f ca="1">IF(AND(Vorrunde!$I35&lt;&gt;"",Vorrunde!$K35&lt;&gt;"",Vorrunde!$F35&lt;&gt;Vorrunde!$H35,$V87&lt;&gt;"",$W87&lt;&gt;""),Vorrunde!$K35,"")</f>
        <v/>
      </c>
      <c r="Z87" s="35" t="str">
        <f t="shared" ca="1" si="81"/>
        <v/>
      </c>
      <c r="AA87" s="13">
        <f t="shared" ca="1" si="80"/>
        <v>0</v>
      </c>
      <c r="AB87" s="13" t="str">
        <f ca="1">IF(AA87&gt;0,X87&amp;Sprache!$E$71&amp;Y87,"")</f>
        <v/>
      </c>
      <c r="AD87" s="144"/>
      <c r="AE87" s="149" t="str">
        <f ca="1">IF($AA87=0,"",IF($X87&gt;$Y87,Einstellungen!$C$4,IF($X87=$Y87,1,0)))</f>
        <v/>
      </c>
      <c r="AF87" s="144" t="str">
        <f ca="1">IF($AA87=0,"",IF($X87&lt;$Y87,Einstellungen!$C$4,IF($X87=$Y87,1,0)))</f>
        <v/>
      </c>
    </row>
    <row r="88" spans="2:32" s="2" customFormat="1" x14ac:dyDescent="0.2">
      <c r="B88" s="4"/>
      <c r="C88" s="4"/>
      <c r="D88" s="4"/>
      <c r="E88" s="4"/>
      <c r="F88" s="13"/>
      <c r="G88" s="13"/>
      <c r="H88" s="13"/>
      <c r="I88" s="13"/>
      <c r="J88" s="13"/>
      <c r="K88" s="13"/>
      <c r="L88" s="13"/>
      <c r="M88" s="13"/>
      <c r="U88" s="67" t="s">
        <v>40</v>
      </c>
      <c r="V88" s="41" t="str">
        <f ca="1">Planung!$L30</f>
        <v/>
      </c>
      <c r="W88" s="13" t="str">
        <f ca="1">Planung!$N30</f>
        <v/>
      </c>
      <c r="X88" s="13" t="str">
        <f ca="1">IF(AND(Vorrunde!$I36&lt;&gt;"",Vorrunde!$K36&lt;&gt;"",Vorrunde!$F36&lt;&gt;Vorrunde!$H36,$V88&lt;&gt;"",$W88&lt;&gt;""),Vorrunde!$I36,"")</f>
        <v/>
      </c>
      <c r="Y88" s="36" t="str">
        <f ca="1">IF(AND(Vorrunde!$I36&lt;&gt;"",Vorrunde!$K36&lt;&gt;"",Vorrunde!$F36&lt;&gt;Vorrunde!$H36,$V88&lt;&gt;"",$W88&lt;&gt;""),Vorrunde!$K36,"")</f>
        <v/>
      </c>
      <c r="Z88" s="35" t="str">
        <f t="shared" ca="1" si="81"/>
        <v/>
      </c>
      <c r="AA88" s="13">
        <f t="shared" ca="1" si="80"/>
        <v>0</v>
      </c>
      <c r="AB88" s="13" t="str">
        <f ca="1">IF(AA88&gt;0,X88&amp;Sprache!$E$71&amp;Y88,"")</f>
        <v/>
      </c>
      <c r="AD88" s="144"/>
      <c r="AE88" s="149" t="str">
        <f ca="1">IF($AA88=0,"",IF($X88&gt;$Y88,Einstellungen!$C$4,IF($X88=$Y88,1,0)))</f>
        <v/>
      </c>
      <c r="AF88" s="144"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Planung!$L31</f>
        <v/>
      </c>
      <c r="W89" s="13" t="str">
        <f ca="1">Planung!$N31</f>
        <v/>
      </c>
      <c r="X89" s="13" t="str">
        <f ca="1">IF(AND(Vorrunde!$I37&lt;&gt;"",Vorrunde!$K37&lt;&gt;"",Vorrunde!$F37&lt;&gt;Vorrunde!$H37,$V89&lt;&gt;"",$W89&lt;&gt;""),Vorrunde!$I37,"")</f>
        <v/>
      </c>
      <c r="Y89" s="36" t="str">
        <f ca="1">IF(AND(Vorrunde!$I37&lt;&gt;"",Vorrunde!$K37&lt;&gt;"",Vorrunde!$F37&lt;&gt;Vorrunde!$H37,$V89&lt;&gt;"",$W89&lt;&gt;""),Vorrunde!$K37,"")</f>
        <v/>
      </c>
      <c r="Z89" s="35" t="str">
        <f t="shared" ca="1" si="81"/>
        <v/>
      </c>
      <c r="AA89" s="13">
        <f t="shared" ca="1" si="80"/>
        <v>0</v>
      </c>
      <c r="AB89" s="13" t="str">
        <f ca="1">IF(AA89&gt;0,X89&amp;Sprache!$E$71&amp;Y89,"")</f>
        <v/>
      </c>
      <c r="AD89" s="144"/>
      <c r="AE89" s="149" t="str">
        <f ca="1">IF($AA89=0,"",IF($X89&gt;$Y89,Einstellungen!$C$4,IF($X89=$Y89,1,0)))</f>
        <v/>
      </c>
      <c r="AF89" s="144" t="str">
        <f ca="1">IF($AA89=0,"",IF($X89&lt;$Y89,Einstellungen!$C$4,IF($X89=$Y89,1,0)))</f>
        <v/>
      </c>
    </row>
    <row r="90" spans="2:32" s="2" customFormat="1" x14ac:dyDescent="0.2">
      <c r="B90" s="4"/>
      <c r="C90" s="4"/>
      <c r="D90" s="4"/>
      <c r="E90" s="4"/>
      <c r="F90" s="13"/>
      <c r="G90" s="13"/>
      <c r="H90" s="13"/>
      <c r="I90" s="13"/>
      <c r="J90" s="13"/>
      <c r="K90" s="13"/>
      <c r="L90" s="13"/>
      <c r="M90" s="13"/>
      <c r="U90" s="67" t="s">
        <v>42</v>
      </c>
      <c r="V90" s="41" t="str">
        <f ca="1">Planung!$L32</f>
        <v/>
      </c>
      <c r="W90" s="13" t="str">
        <f ca="1">Planung!$N32</f>
        <v/>
      </c>
      <c r="X90" s="13" t="str">
        <f ca="1">IF(AND(Vorrunde!$I38&lt;&gt;"",Vorrunde!$K38&lt;&gt;"",Vorrunde!$F38&lt;&gt;Vorrunde!$H38,$V90&lt;&gt;"",$W90&lt;&gt;""),Vorrunde!$I38,"")</f>
        <v/>
      </c>
      <c r="Y90" s="36" t="str">
        <f ca="1">IF(AND(Vorrunde!$I38&lt;&gt;"",Vorrunde!$K38&lt;&gt;"",Vorrunde!$F38&lt;&gt;Vorrunde!$H38,$V90&lt;&gt;"",$W90&lt;&gt;""),Vorrunde!$K38,"")</f>
        <v/>
      </c>
      <c r="Z90" s="35" t="str">
        <f t="shared" ca="1" si="81"/>
        <v/>
      </c>
      <c r="AA90" s="13">
        <f t="shared" ca="1" si="80"/>
        <v>0</v>
      </c>
      <c r="AB90" s="13" t="str">
        <f ca="1">IF(AA90&gt;0,X90&amp;Sprache!$E$71&amp;Y90,"")</f>
        <v/>
      </c>
      <c r="AD90" s="144"/>
      <c r="AE90" s="149" t="str">
        <f ca="1">IF($AA90=0,"",IF($X90&gt;$Y90,Einstellungen!$C$4,IF($X90=$Y90,1,0)))</f>
        <v/>
      </c>
      <c r="AF90" s="144" t="str">
        <f ca="1">IF($AA90=0,"",IF($X90&lt;$Y90,Einstellungen!$C$4,IF($X90=$Y90,1,0)))</f>
        <v/>
      </c>
    </row>
    <row r="91" spans="2:32" s="2" customFormat="1" x14ac:dyDescent="0.2">
      <c r="B91" s="4"/>
      <c r="C91" s="4"/>
      <c r="D91" s="4"/>
      <c r="E91" s="4"/>
      <c r="F91" s="13"/>
      <c r="G91" s="13"/>
      <c r="H91" s="13"/>
      <c r="I91" s="13"/>
      <c r="J91" s="13"/>
      <c r="K91" s="13"/>
      <c r="L91" s="13"/>
      <c r="M91" s="13"/>
      <c r="U91" s="67" t="s">
        <v>43</v>
      </c>
      <c r="V91" s="41" t="str">
        <f ca="1">Planung!$L33</f>
        <v/>
      </c>
      <c r="W91" s="13" t="str">
        <f ca="1">Planung!$N33</f>
        <v/>
      </c>
      <c r="X91" s="13" t="str">
        <f ca="1">IF(AND(Vorrunde!$I39&lt;&gt;"",Vorrunde!$K39&lt;&gt;"",Vorrunde!$F39&lt;&gt;Vorrunde!$H39,$V91&lt;&gt;"",$W91&lt;&gt;""),Vorrunde!$I39,"")</f>
        <v/>
      </c>
      <c r="Y91" s="36" t="str">
        <f ca="1">IF(AND(Vorrunde!$I39&lt;&gt;"",Vorrunde!$K39&lt;&gt;"",Vorrunde!$F39&lt;&gt;Vorrunde!$H39,$V91&lt;&gt;"",$W91&lt;&gt;""),Vorrunde!$K39,"")</f>
        <v/>
      </c>
      <c r="Z91" s="35" t="str">
        <f t="shared" ca="1" si="81"/>
        <v/>
      </c>
      <c r="AA91" s="13">
        <f t="shared" ca="1" si="80"/>
        <v>0</v>
      </c>
      <c r="AB91" s="13" t="str">
        <f ca="1">IF(AA91&gt;0,X91&amp;Sprache!$E$71&amp;Y91,"")</f>
        <v/>
      </c>
      <c r="AD91" s="144"/>
      <c r="AE91" s="149" t="str">
        <f ca="1">IF($AA91=0,"",IF($X91&gt;$Y91,Einstellungen!$C$4,IF($X91=$Y91,1,0)))</f>
        <v/>
      </c>
      <c r="AF91" s="144" t="str">
        <f ca="1">IF($AA91=0,"",IF($X91&lt;$Y91,Einstellungen!$C$4,IF($X91=$Y91,1,0)))</f>
        <v/>
      </c>
    </row>
    <row r="92" spans="2:32" s="2" customFormat="1" x14ac:dyDescent="0.2">
      <c r="B92" s="4"/>
      <c r="C92" s="4"/>
      <c r="D92" s="4"/>
      <c r="E92" s="4"/>
      <c r="F92" s="13"/>
      <c r="G92" s="13"/>
      <c r="H92" s="13"/>
      <c r="I92" s="13"/>
      <c r="J92" s="13"/>
      <c r="K92" s="13"/>
      <c r="L92" s="13"/>
      <c r="M92" s="13"/>
      <c r="U92" s="67" t="s">
        <v>44</v>
      </c>
      <c r="V92" s="41" t="str">
        <f ca="1">Planung!$L34</f>
        <v/>
      </c>
      <c r="W92" s="13" t="str">
        <f ca="1">Planung!$N34</f>
        <v/>
      </c>
      <c r="X92" s="13" t="str">
        <f ca="1">IF(AND(Vorrunde!$I40&lt;&gt;"",Vorrunde!$K40&lt;&gt;"",Vorrunde!$F40&lt;&gt;Vorrunde!$H40,$V92&lt;&gt;"",$W92&lt;&gt;""),Vorrunde!$I40,"")</f>
        <v/>
      </c>
      <c r="Y92" s="36" t="str">
        <f ca="1">IF(AND(Vorrunde!$I40&lt;&gt;"",Vorrunde!$K40&lt;&gt;"",Vorrunde!$F40&lt;&gt;Vorrunde!$H40,$V92&lt;&gt;"",$W92&lt;&gt;""),Vorrunde!$K40,"")</f>
        <v/>
      </c>
      <c r="Z92" s="35" t="str">
        <f t="shared" ca="1" si="81"/>
        <v/>
      </c>
      <c r="AA92" s="13">
        <f t="shared" ca="1" si="80"/>
        <v>0</v>
      </c>
      <c r="AB92" s="13" t="str">
        <f ca="1">IF(AA92&gt;0,X92&amp;Sprache!$E$71&amp;Y92,"")</f>
        <v/>
      </c>
      <c r="AD92" s="144"/>
      <c r="AE92" s="149" t="str">
        <f ca="1">IF($AA92=0,"",IF($X92&gt;$Y92,Einstellungen!$C$4,IF($X92=$Y92,1,0)))</f>
        <v/>
      </c>
      <c r="AF92" s="144" t="str">
        <f ca="1">IF($AA92=0,"",IF($X92&lt;$Y92,Einstellungen!$C$4,IF($X92=$Y92,1,0)))</f>
        <v/>
      </c>
    </row>
    <row r="93" spans="2:32" s="2" customFormat="1" ht="12.75" thickBot="1" x14ac:dyDescent="0.25">
      <c r="B93" s="4"/>
      <c r="C93" s="4"/>
      <c r="D93" s="4"/>
      <c r="E93" s="4"/>
      <c r="F93" s="13"/>
      <c r="G93" s="13"/>
      <c r="H93" s="13"/>
      <c r="I93" s="13"/>
      <c r="J93" s="13"/>
      <c r="K93" s="13"/>
      <c r="L93" s="13"/>
      <c r="M93" s="13"/>
      <c r="U93" s="67" t="s">
        <v>45</v>
      </c>
      <c r="V93" s="41" t="str">
        <f ca="1">Planung!$L35</f>
        <v/>
      </c>
      <c r="W93" s="13" t="str">
        <f ca="1">Planung!$N35</f>
        <v/>
      </c>
      <c r="X93" s="13" t="str">
        <f ca="1">IF(AND(Vorrunde!$I41&lt;&gt;"",Vorrunde!$K41&lt;&gt;"",Vorrunde!$F41&lt;&gt;Vorrunde!$H41,$V93&lt;&gt;"",$W93&lt;&gt;""),Vorrunde!$I41,"")</f>
        <v/>
      </c>
      <c r="Y93" s="36" t="str">
        <f ca="1">IF(AND(Vorrunde!$I41&lt;&gt;"",Vorrunde!$K41&lt;&gt;"",Vorrunde!$F41&lt;&gt;Vorrunde!$H41,$V93&lt;&gt;"",$W93&lt;&gt;""),Vorrunde!$K41,"")</f>
        <v/>
      </c>
      <c r="Z93" s="35" t="str">
        <f t="shared" ca="1" si="81"/>
        <v/>
      </c>
      <c r="AA93" s="13">
        <f t="shared" ca="1" si="80"/>
        <v>0</v>
      </c>
      <c r="AB93" s="13" t="str">
        <f ca="1">IF(AA93&gt;0,X93&amp;Sprache!$E$71&amp;Y93,"")</f>
        <v/>
      </c>
      <c r="AD93" s="144"/>
      <c r="AE93" s="149" t="str">
        <f ca="1">IF($AA93=0,"",IF($X93&gt;$Y93,Einstellungen!$C$4,IF($X93=$Y93,1,0)))</f>
        <v/>
      </c>
      <c r="AF93" s="144" t="str">
        <f ca="1">IF($AA93=0,"",IF($X93&lt;$Y93,Einstellungen!$C$4,IF($X93=$Y93,1,0)))</f>
        <v/>
      </c>
    </row>
    <row r="94" spans="2:32" s="2" customFormat="1" ht="12.75" thickTop="1" x14ac:dyDescent="0.2">
      <c r="B94" s="4"/>
      <c r="C94" s="4"/>
      <c r="D94" s="4"/>
      <c r="E94" s="4"/>
      <c r="F94" s="13"/>
      <c r="G94" s="13"/>
      <c r="H94" s="13"/>
      <c r="I94" s="13"/>
      <c r="J94" s="13"/>
      <c r="K94" s="13"/>
      <c r="L94" s="13"/>
      <c r="M94" s="13"/>
      <c r="U94" s="324" t="s">
        <v>46</v>
      </c>
      <c r="V94" s="325" t="str">
        <f>""</f>
        <v/>
      </c>
      <c r="W94" s="326" t="str">
        <f>""</f>
        <v/>
      </c>
      <c r="X94" s="326" t="str">
        <f>""</f>
        <v/>
      </c>
      <c r="Y94" s="327" t="str">
        <f>""</f>
        <v/>
      </c>
      <c r="Z94" s="328" t="str">
        <f>""</f>
        <v/>
      </c>
      <c r="AA94" s="326">
        <f t="shared" si="80"/>
        <v>0</v>
      </c>
      <c r="AB94" s="326" t="str">
        <f>""</f>
        <v/>
      </c>
      <c r="AC94" s="329"/>
      <c r="AD94" s="330"/>
      <c r="AE94" s="331" t="str">
        <f>IF($AA94=0,"",IF($X94&gt;$Y94,Einstellungen!$C$4,IF($X94=$Y94,1,0)))</f>
        <v/>
      </c>
      <c r="AF94" s="330"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80"/>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80"/>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80"/>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80"/>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80"/>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80"/>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80"/>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80"/>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80"/>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80"/>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80"/>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80"/>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80"/>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80"/>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80"/>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80"/>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80"/>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80"/>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80"/>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80"/>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80"/>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80"/>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80"/>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80"/>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80"/>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80"/>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80"/>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80"/>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80"/>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80"/>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80"/>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80"/>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80"/>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80"/>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82">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82"/>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82"/>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82"/>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82"/>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82"/>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82"/>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IF(AA136&gt;0,Y64&amp;Sprache!$E$71&amp;X64,"")</f>
        <v>6:2</v>
      </c>
      <c r="AD136" s="144"/>
    </row>
    <row r="137" spans="2:32" x14ac:dyDescent="0.2">
      <c r="Y137" s="67" t="s">
        <v>8</v>
      </c>
      <c r="Z137" s="35" t="str">
        <f ca="1">W65&amp;V65</f>
        <v>Inter MailandFC Grönlingen</v>
      </c>
      <c r="AA137" s="13">
        <f t="shared" ref="AA137:AA200" ca="1" si="83">AA65</f>
        <v>1</v>
      </c>
      <c r="AB137" s="13" t="str">
        <f ca="1">IF(AA137&gt;0,Y65&amp;Sprache!$E$71&amp;X65,"")</f>
        <v>4:2</v>
      </c>
      <c r="AC137" s="2"/>
      <c r="AD137" s="144"/>
    </row>
    <row r="138" spans="2:32" x14ac:dyDescent="0.2">
      <c r="Y138" s="67" t="s">
        <v>9</v>
      </c>
      <c r="Z138" s="35" t="str">
        <f t="shared" ref="Z138:Z201" ca="1" si="84">W66&amp;V66</f>
        <v>Maibach 1822 eVEintracht Frankfurt</v>
      </c>
      <c r="AA138" s="13">
        <f t="shared" ca="1" si="83"/>
        <v>1</v>
      </c>
      <c r="AB138" s="13" t="str">
        <f ca="1">IF(AA138&gt;0,Y66&amp;Sprache!$E$71&amp;X66,"")</f>
        <v>1:4</v>
      </c>
      <c r="AC138" s="2"/>
      <c r="AD138" s="144"/>
    </row>
    <row r="139" spans="2:32" x14ac:dyDescent="0.2">
      <c r="Y139" s="67" t="s">
        <v>10</v>
      </c>
      <c r="Z139" s="35" t="str">
        <f t="shared" ca="1" si="84"/>
        <v>Manchester CitySSV Wildbach</v>
      </c>
      <c r="AA139" s="13">
        <f t="shared" ca="1" si="83"/>
        <v>1</v>
      </c>
      <c r="AB139" s="13" t="str">
        <f ca="1">IF(AA139&gt;0,Y67&amp;Sprache!$E$71&amp;X67,"")</f>
        <v>5:2</v>
      </c>
      <c r="AC139" s="2"/>
      <c r="AD139" s="144"/>
    </row>
    <row r="140" spans="2:32" x14ac:dyDescent="0.2">
      <c r="Y140" s="67" t="s">
        <v>11</v>
      </c>
      <c r="Z140" s="35" t="str">
        <f t="shared" ca="1" si="84"/>
        <v>1. FC RiedwaldVFB Essenheim</v>
      </c>
      <c r="AA140" s="13">
        <f t="shared" ca="1" si="83"/>
        <v>1</v>
      </c>
      <c r="AB140" s="13" t="str">
        <f ca="1">IF(AA140&gt;0,Y68&amp;Sprache!$E$71&amp;X68,"")</f>
        <v>2:2</v>
      </c>
      <c r="AC140" s="2"/>
      <c r="AD140" s="144"/>
    </row>
    <row r="141" spans="2:32" x14ac:dyDescent="0.2">
      <c r="Y141" s="67" t="s">
        <v>12</v>
      </c>
      <c r="Z141" s="35" t="str">
        <f t="shared" ca="1" si="84"/>
        <v>Mainz 05FC Grönlingen</v>
      </c>
      <c r="AA141" s="13">
        <f t="shared" ca="1" si="83"/>
        <v>1</v>
      </c>
      <c r="AB141" s="13" t="str">
        <f ca="1">IF(AA141&gt;0,Y69&amp;Sprache!$E$71&amp;X69,"")</f>
        <v>0:0</v>
      </c>
      <c r="AC141" s="2"/>
      <c r="AD141" s="144"/>
    </row>
    <row r="142" spans="2:32" x14ac:dyDescent="0.2">
      <c r="Y142" s="67" t="s">
        <v>17</v>
      </c>
      <c r="Z142" s="35" t="str">
        <f t="shared" ca="1" si="84"/>
        <v>Eintracht FrankfurtFC Barcelona</v>
      </c>
      <c r="AA142" s="13">
        <f t="shared" ca="1" si="83"/>
        <v>1</v>
      </c>
      <c r="AB142" s="13" t="str">
        <f ca="1">IF(AA142&gt;0,Y70&amp;Sprache!$E$71&amp;X70,"")</f>
        <v>1:2</v>
      </c>
      <c r="AC142" s="2"/>
      <c r="AD142" s="144"/>
    </row>
    <row r="143" spans="2:32" x14ac:dyDescent="0.2">
      <c r="Y143" s="67" t="s">
        <v>18</v>
      </c>
      <c r="Z143" s="35" t="str">
        <f t="shared" ca="1" si="84"/>
        <v>SSV WildbachInter Mailand</v>
      </c>
      <c r="AA143" s="13">
        <f t="shared" ca="1" si="83"/>
        <v>1</v>
      </c>
      <c r="AB143" s="13" t="str">
        <f ca="1">IF(AA143&gt;0,Y71&amp;Sprache!$E$71&amp;X71,"")</f>
        <v>1:2</v>
      </c>
      <c r="AC143" s="2"/>
      <c r="AD143" s="144"/>
    </row>
    <row r="144" spans="2:32" x14ac:dyDescent="0.2">
      <c r="Y144" s="67" t="s">
        <v>19</v>
      </c>
      <c r="Z144" s="35" t="str">
        <f t="shared" ca="1" si="84"/>
        <v>Maibach 1822 eV1. FC Riedwald</v>
      </c>
      <c r="AA144" s="13">
        <f t="shared" ca="1" si="83"/>
        <v>1</v>
      </c>
      <c r="AB144" s="13" t="str">
        <f ca="1">IF(AA144&gt;0,Y72&amp;Sprache!$E$71&amp;X72,"")</f>
        <v>0:2</v>
      </c>
      <c r="AC144" s="2"/>
      <c r="AD144" s="144"/>
    </row>
    <row r="145" spans="25:30" x14ac:dyDescent="0.2">
      <c r="Y145" s="67" t="s">
        <v>25</v>
      </c>
      <c r="Z145" s="35" t="str">
        <f t="shared" ca="1" si="84"/>
        <v>Manchester CityMainz 05</v>
      </c>
      <c r="AA145" s="13">
        <f t="shared" ca="1" si="83"/>
        <v>1</v>
      </c>
      <c r="AB145" s="13" t="str">
        <f ca="1">IF(AA145&gt;0,Y73&amp;Sprache!$E$71&amp;X73,"")</f>
        <v>6:2</v>
      </c>
      <c r="AC145" s="2"/>
      <c r="AD145" s="144"/>
    </row>
    <row r="146" spans="25:30" x14ac:dyDescent="0.2">
      <c r="Y146" s="67" t="s">
        <v>26</v>
      </c>
      <c r="Z146" s="35" t="str">
        <f t="shared" ca="1" si="84"/>
        <v>VFB EssenheimEintracht Frankfurt</v>
      </c>
      <c r="AA146" s="13">
        <f t="shared" ca="1" si="83"/>
        <v>1</v>
      </c>
      <c r="AB146" s="13" t="str">
        <f ca="1">IF(AA146&gt;0,Y74&amp;Sprache!$E$71&amp;X74,"")</f>
        <v>2:3</v>
      </c>
      <c r="AC146" s="2"/>
      <c r="AD146" s="144"/>
    </row>
    <row r="147" spans="25:30" x14ac:dyDescent="0.2">
      <c r="Y147" s="67" t="s">
        <v>27</v>
      </c>
      <c r="Z147" s="35" t="str">
        <f t="shared" ca="1" si="84"/>
        <v>FC GrönlingenSSV Wildbach</v>
      </c>
      <c r="AA147" s="13">
        <f t="shared" ca="1" si="83"/>
        <v>1</v>
      </c>
      <c r="AB147" s="13" t="str">
        <f ca="1">IF(AA147&gt;0,Y75&amp;Sprache!$E$71&amp;X75,"")</f>
        <v>1:1</v>
      </c>
      <c r="AC147" s="2"/>
      <c r="AD147" s="144"/>
    </row>
    <row r="148" spans="25:30" x14ac:dyDescent="0.2">
      <c r="Y148" s="67" t="s">
        <v>28</v>
      </c>
      <c r="Z148" s="35" t="str">
        <f t="shared" ca="1" si="84"/>
        <v>Maibach 1822 eVFC Barcelona</v>
      </c>
      <c r="AA148" s="13">
        <f t="shared" ca="1" si="83"/>
        <v>1</v>
      </c>
      <c r="AB148" s="13" t="str">
        <f ca="1">IF(AA148&gt;0,Y76&amp;Sprache!$E$71&amp;X76,"")</f>
        <v>0:6</v>
      </c>
      <c r="AC148" s="2"/>
      <c r="AD148" s="144"/>
    </row>
    <row r="149" spans="25:30" x14ac:dyDescent="0.2">
      <c r="Y149" s="67" t="s">
        <v>29</v>
      </c>
      <c r="Z149" s="35" t="str">
        <f t="shared" ca="1" si="84"/>
        <v>Manchester CityInter Mailand</v>
      </c>
      <c r="AA149" s="13">
        <f t="shared" ca="1" si="83"/>
        <v>1</v>
      </c>
      <c r="AB149" s="13" t="str">
        <f ca="1">IF(AA149&gt;0,Y77&amp;Sprache!$E$71&amp;X77,"")</f>
        <v>2:0</v>
      </c>
      <c r="AC149" s="2"/>
      <c r="AD149" s="144"/>
    </row>
    <row r="150" spans="25:30" x14ac:dyDescent="0.2">
      <c r="Y150" s="67" t="s">
        <v>30</v>
      </c>
      <c r="Z150" s="35" t="str">
        <f t="shared" ca="1" si="84"/>
        <v>1. FC RiedwaldEintracht Frankfurt</v>
      </c>
      <c r="AA150" s="13">
        <f t="shared" ca="1" si="83"/>
        <v>1</v>
      </c>
      <c r="AB150" s="13" t="str">
        <f ca="1">IF(AA150&gt;0,Y78&amp;Sprache!$E$71&amp;X78,"")</f>
        <v>3:4</v>
      </c>
      <c r="AC150" s="2"/>
      <c r="AD150" s="144"/>
    </row>
    <row r="151" spans="25:30" x14ac:dyDescent="0.2">
      <c r="Y151" s="67" t="s">
        <v>31</v>
      </c>
      <c r="Z151" s="35" t="str">
        <f t="shared" ca="1" si="84"/>
        <v>Mainz 05SSV Wildbach</v>
      </c>
      <c r="AA151" s="13">
        <f t="shared" ca="1" si="83"/>
        <v>1</v>
      </c>
      <c r="AB151" s="13" t="str">
        <f ca="1">IF(AA151&gt;0,Y79&amp;Sprache!$E$71&amp;X79,"")</f>
        <v>2:0</v>
      </c>
      <c r="AC151" s="2"/>
      <c r="AD151" s="144"/>
    </row>
    <row r="152" spans="25:30" x14ac:dyDescent="0.2">
      <c r="Y152" s="67" t="s">
        <v>32</v>
      </c>
      <c r="Z152" s="35" t="str">
        <f t="shared" ca="1" si="84"/>
        <v>VFB EssenheimMaibach 1822 eV</v>
      </c>
      <c r="AA152" s="13">
        <f t="shared" ca="1" si="83"/>
        <v>1</v>
      </c>
      <c r="AB152" s="13" t="str">
        <f ca="1">IF(AA152&gt;0,Y80&amp;Sprache!$E$71&amp;X80,"")</f>
        <v>4:2</v>
      </c>
      <c r="AC152" s="2"/>
      <c r="AD152" s="144"/>
    </row>
    <row r="153" spans="25:30" x14ac:dyDescent="0.2">
      <c r="Y153" s="67" t="s">
        <v>33</v>
      </c>
      <c r="Z153" s="35" t="str">
        <f t="shared" ca="1" si="84"/>
        <v>FC GrönlingenManchester City</v>
      </c>
      <c r="AA153" s="13">
        <f t="shared" ca="1" si="83"/>
        <v>1</v>
      </c>
      <c r="AB153" s="13" t="str">
        <f ca="1">IF(AA153&gt;0,Y81&amp;Sprache!$E$71&amp;X81,"")</f>
        <v>1:5</v>
      </c>
      <c r="AC153" s="2"/>
      <c r="AD153" s="144"/>
    </row>
    <row r="154" spans="25:30" x14ac:dyDescent="0.2">
      <c r="Y154" s="67" t="s">
        <v>34</v>
      </c>
      <c r="Z154" s="35" t="str">
        <f t="shared" ca="1" si="84"/>
        <v>FC Barcelona1. FC Riedwald</v>
      </c>
      <c r="AA154" s="13">
        <f t="shared" ca="1" si="83"/>
        <v>1</v>
      </c>
      <c r="AB154" s="13" t="str">
        <f ca="1">IF(AA154&gt;0,Y82&amp;Sprache!$E$71&amp;X82,"")</f>
        <v>3:0</v>
      </c>
      <c r="AC154" s="2"/>
      <c r="AD154" s="144"/>
    </row>
    <row r="155" spans="25:30" x14ac:dyDescent="0.2">
      <c r="Y155" s="67" t="s">
        <v>35</v>
      </c>
      <c r="Z155" s="35" t="str">
        <f t="shared" ca="1" si="84"/>
        <v>Inter MailandMainz 05</v>
      </c>
      <c r="AA155" s="13">
        <f t="shared" ca="1" si="83"/>
        <v>1</v>
      </c>
      <c r="AB155" s="13" t="str">
        <f ca="1">IF(AA155&gt;0,Y83&amp;Sprache!$E$71&amp;X83,"")</f>
        <v>1:1</v>
      </c>
      <c r="AC155" s="2"/>
      <c r="AD155" s="144"/>
    </row>
    <row r="156" spans="25:30" x14ac:dyDescent="0.2">
      <c r="Y156" s="67" t="s">
        <v>36</v>
      </c>
      <c r="Z156" s="35" t="str">
        <f t="shared" ca="1" si="84"/>
        <v/>
      </c>
      <c r="AA156" s="13">
        <f t="shared" ca="1" si="83"/>
        <v>0</v>
      </c>
      <c r="AB156" s="13" t="str">
        <f ca="1">IF(AA156&gt;0,Y84&amp;Sprache!$E$71&amp;X84,"")</f>
        <v/>
      </c>
      <c r="AC156" s="2"/>
      <c r="AD156" s="144"/>
    </row>
    <row r="157" spans="25:30" x14ac:dyDescent="0.2">
      <c r="Y157" s="67" t="s">
        <v>37</v>
      </c>
      <c r="Z157" s="35" t="str">
        <f t="shared" ca="1" si="84"/>
        <v/>
      </c>
      <c r="AA157" s="13">
        <f t="shared" ca="1" si="83"/>
        <v>0</v>
      </c>
      <c r="AB157" s="13" t="str">
        <f ca="1">IF(AA157&gt;0,Y85&amp;Sprache!$E$71&amp;X85,"")</f>
        <v/>
      </c>
      <c r="AC157" s="2"/>
      <c r="AD157" s="144"/>
    </row>
    <row r="158" spans="25:30" x14ac:dyDescent="0.2">
      <c r="Y158" s="67" t="s">
        <v>38</v>
      </c>
      <c r="Z158" s="35" t="str">
        <f t="shared" ca="1" si="84"/>
        <v/>
      </c>
      <c r="AA158" s="13">
        <f t="shared" ca="1" si="83"/>
        <v>0</v>
      </c>
      <c r="AB158" s="13" t="str">
        <f ca="1">IF(AA158&gt;0,Y86&amp;Sprache!$E$71&amp;X86,"")</f>
        <v/>
      </c>
      <c r="AC158" s="2"/>
      <c r="AD158" s="144"/>
    </row>
    <row r="159" spans="25:30" x14ac:dyDescent="0.2">
      <c r="Y159" s="67" t="s">
        <v>39</v>
      </c>
      <c r="Z159" s="35" t="str">
        <f t="shared" ca="1" si="84"/>
        <v/>
      </c>
      <c r="AA159" s="13">
        <f t="shared" ca="1" si="83"/>
        <v>0</v>
      </c>
      <c r="AB159" s="13" t="str">
        <f ca="1">IF(AA159&gt;0,Y87&amp;Sprache!$E$71&amp;X87,"")</f>
        <v/>
      </c>
      <c r="AC159" s="2"/>
      <c r="AD159" s="144"/>
    </row>
    <row r="160" spans="25:30" x14ac:dyDescent="0.2">
      <c r="Y160" s="67" t="s">
        <v>40</v>
      </c>
      <c r="Z160" s="35" t="str">
        <f t="shared" ca="1" si="84"/>
        <v/>
      </c>
      <c r="AA160" s="13">
        <f t="shared" ca="1" si="83"/>
        <v>0</v>
      </c>
      <c r="AB160" s="13" t="str">
        <f ca="1">IF(AA160&gt;0,Y88&amp;Sprache!$E$71&amp;X88,"")</f>
        <v/>
      </c>
      <c r="AC160" s="2"/>
      <c r="AD160" s="144"/>
    </row>
    <row r="161" spans="25:30" x14ac:dyDescent="0.2">
      <c r="Y161" s="67" t="s">
        <v>41</v>
      </c>
      <c r="Z161" s="35" t="str">
        <f t="shared" ca="1" si="84"/>
        <v/>
      </c>
      <c r="AA161" s="13">
        <f t="shared" ca="1" si="83"/>
        <v>0</v>
      </c>
      <c r="AB161" s="13" t="str">
        <f ca="1">IF(AA161&gt;0,Y89&amp;Sprache!$E$71&amp;X89,"")</f>
        <v/>
      </c>
      <c r="AC161" s="2"/>
      <c r="AD161" s="144"/>
    </row>
    <row r="162" spans="25:30" x14ac:dyDescent="0.2">
      <c r="Y162" s="67" t="s">
        <v>42</v>
      </c>
      <c r="Z162" s="35" t="str">
        <f t="shared" ca="1" si="84"/>
        <v/>
      </c>
      <c r="AA162" s="13">
        <f t="shared" ca="1" si="83"/>
        <v>0</v>
      </c>
      <c r="AB162" s="13" t="str">
        <f ca="1">IF(AA162&gt;0,Y90&amp;Sprache!$E$71&amp;X90,"")</f>
        <v/>
      </c>
      <c r="AC162" s="2"/>
      <c r="AD162" s="144"/>
    </row>
    <row r="163" spans="25:30" x14ac:dyDescent="0.2">
      <c r="Y163" s="67" t="s">
        <v>43</v>
      </c>
      <c r="Z163" s="35" t="str">
        <f t="shared" ca="1" si="84"/>
        <v/>
      </c>
      <c r="AA163" s="13">
        <f t="shared" ca="1" si="83"/>
        <v>0</v>
      </c>
      <c r="AB163" s="13" t="str">
        <f ca="1">IF(AA163&gt;0,Y91&amp;Sprache!$E$71&amp;X91,"")</f>
        <v/>
      </c>
      <c r="AC163" s="2"/>
      <c r="AD163" s="144"/>
    </row>
    <row r="164" spans="25:30" x14ac:dyDescent="0.2">
      <c r="Y164" s="67" t="s">
        <v>44</v>
      </c>
      <c r="Z164" s="35" t="str">
        <f t="shared" ca="1" si="84"/>
        <v/>
      </c>
      <c r="AA164" s="13">
        <f t="shared" ca="1" si="83"/>
        <v>0</v>
      </c>
      <c r="AB164" s="13" t="str">
        <f ca="1">IF(AA164&gt;0,Y92&amp;Sprache!$E$71&amp;X92,"")</f>
        <v/>
      </c>
      <c r="AC164" s="2"/>
      <c r="AD164" s="144"/>
    </row>
    <row r="165" spans="25:30" x14ac:dyDescent="0.2">
      <c r="Y165" s="67" t="s">
        <v>45</v>
      </c>
      <c r="Z165" s="35" t="str">
        <f t="shared" ca="1" si="84"/>
        <v/>
      </c>
      <c r="AA165" s="13">
        <f t="shared" ca="1" si="83"/>
        <v>0</v>
      </c>
      <c r="AB165" s="13" t="str">
        <f ca="1">IF(AA165&gt;0,Y93&amp;Sprache!$E$71&amp;X93,"")</f>
        <v/>
      </c>
      <c r="AC165" s="2"/>
      <c r="AD165" s="144"/>
    </row>
    <row r="166" spans="25:30" x14ac:dyDescent="0.2">
      <c r="Y166" s="67" t="s">
        <v>46</v>
      </c>
      <c r="Z166" s="35" t="str">
        <f t="shared" si="84"/>
        <v/>
      </c>
      <c r="AA166" s="13">
        <f t="shared" si="83"/>
        <v>0</v>
      </c>
      <c r="AB166" s="13" t="str">
        <f>IF(AA166&gt;0,Y94&amp;Sprache!$E$71&amp;X94,"")</f>
        <v/>
      </c>
      <c r="AC166" s="2"/>
      <c r="AD166" s="144"/>
    </row>
    <row r="167" spans="25:30" x14ac:dyDescent="0.2">
      <c r="Y167" s="67" t="s">
        <v>47</v>
      </c>
      <c r="Z167" s="35" t="str">
        <f t="shared" si="84"/>
        <v/>
      </c>
      <c r="AA167" s="13">
        <f t="shared" si="83"/>
        <v>0</v>
      </c>
      <c r="AB167" s="13" t="str">
        <f>IF(AA167&gt;0,Y95&amp;Sprache!$E$71&amp;X95,"")</f>
        <v/>
      </c>
      <c r="AC167" s="2"/>
      <c r="AD167" s="144"/>
    </row>
    <row r="168" spans="25:30" x14ac:dyDescent="0.2">
      <c r="Y168" s="67" t="s">
        <v>48</v>
      </c>
      <c r="Z168" s="35" t="str">
        <f t="shared" si="84"/>
        <v/>
      </c>
      <c r="AA168" s="13">
        <f t="shared" si="83"/>
        <v>0</v>
      </c>
      <c r="AB168" s="13" t="str">
        <f>IF(AA168&gt;0,Y96&amp;Sprache!$E$71&amp;X96,"")</f>
        <v/>
      </c>
      <c r="AC168" s="2"/>
      <c r="AD168" s="144"/>
    </row>
    <row r="169" spans="25:30" x14ac:dyDescent="0.2">
      <c r="Y169" s="67" t="s">
        <v>49</v>
      </c>
      <c r="Z169" s="35" t="str">
        <f t="shared" si="84"/>
        <v/>
      </c>
      <c r="AA169" s="13">
        <f t="shared" si="83"/>
        <v>0</v>
      </c>
      <c r="AB169" s="13" t="str">
        <f>IF(AA169&gt;0,Y97&amp;Sprache!$E$71&amp;X97,"")</f>
        <v/>
      </c>
      <c r="AC169" s="2"/>
      <c r="AD169" s="144"/>
    </row>
    <row r="170" spans="25:30" x14ac:dyDescent="0.2">
      <c r="Y170" s="67" t="s">
        <v>50</v>
      </c>
      <c r="Z170" s="35" t="str">
        <f t="shared" si="84"/>
        <v/>
      </c>
      <c r="AA170" s="13">
        <f t="shared" si="83"/>
        <v>0</v>
      </c>
      <c r="AB170" s="13" t="str">
        <f>IF(AA170&gt;0,Y98&amp;Sprache!$E$71&amp;X98,"")</f>
        <v/>
      </c>
      <c r="AC170" s="2"/>
      <c r="AD170" s="144"/>
    </row>
    <row r="171" spans="25:30" x14ac:dyDescent="0.2">
      <c r="Y171" s="67" t="s">
        <v>51</v>
      </c>
      <c r="Z171" s="35" t="str">
        <f t="shared" si="84"/>
        <v/>
      </c>
      <c r="AA171" s="13">
        <f t="shared" si="83"/>
        <v>0</v>
      </c>
      <c r="AB171" s="13" t="str">
        <f>IF(AA171&gt;0,Y99&amp;Sprache!$E$71&amp;X99,"")</f>
        <v/>
      </c>
      <c r="AC171" s="2"/>
      <c r="AD171" s="144"/>
    </row>
    <row r="172" spans="25:30" x14ac:dyDescent="0.2">
      <c r="Y172" s="67" t="s">
        <v>60</v>
      </c>
      <c r="Z172" s="35" t="str">
        <f t="shared" si="84"/>
        <v/>
      </c>
      <c r="AA172" s="13">
        <f t="shared" si="83"/>
        <v>0</v>
      </c>
      <c r="AB172" s="13" t="str">
        <f>IF(AA172&gt;0,Y100&amp;Sprache!$E$71&amp;X100,"")</f>
        <v/>
      </c>
      <c r="AC172" s="2"/>
      <c r="AD172" s="144"/>
    </row>
    <row r="173" spans="25:30" x14ac:dyDescent="0.2">
      <c r="Y173" s="67" t="s">
        <v>61</v>
      </c>
      <c r="Z173" s="35" t="str">
        <f t="shared" si="84"/>
        <v/>
      </c>
      <c r="AA173" s="13">
        <f t="shared" si="83"/>
        <v>0</v>
      </c>
      <c r="AB173" s="13" t="str">
        <f>IF(AA173&gt;0,Y101&amp;Sprache!$E$71&amp;X101,"")</f>
        <v/>
      </c>
      <c r="AC173" s="2"/>
      <c r="AD173" s="144"/>
    </row>
    <row r="174" spans="25:30" x14ac:dyDescent="0.2">
      <c r="Y174" s="67" t="s">
        <v>62</v>
      </c>
      <c r="Z174" s="35" t="str">
        <f t="shared" si="84"/>
        <v/>
      </c>
      <c r="AA174" s="13">
        <f t="shared" si="83"/>
        <v>0</v>
      </c>
      <c r="AB174" s="13" t="str">
        <f>IF(AA174&gt;0,Y102&amp;Sprache!$E$71&amp;X102,"")</f>
        <v/>
      </c>
      <c r="AC174" s="2"/>
      <c r="AD174" s="144"/>
    </row>
    <row r="175" spans="25:30" x14ac:dyDescent="0.2">
      <c r="Y175" s="67" t="s">
        <v>63</v>
      </c>
      <c r="Z175" s="35" t="str">
        <f t="shared" si="84"/>
        <v/>
      </c>
      <c r="AA175" s="13">
        <f t="shared" si="83"/>
        <v>0</v>
      </c>
      <c r="AB175" s="13" t="str">
        <f>IF(AA175&gt;0,Y103&amp;Sprache!$E$71&amp;X103,"")</f>
        <v/>
      </c>
      <c r="AC175" s="2"/>
      <c r="AD175" s="144"/>
    </row>
    <row r="176" spans="25:30" x14ac:dyDescent="0.2">
      <c r="Y176" s="67" t="s">
        <v>64</v>
      </c>
      <c r="Z176" s="35" t="str">
        <f t="shared" si="84"/>
        <v/>
      </c>
      <c r="AA176" s="13">
        <f t="shared" si="83"/>
        <v>0</v>
      </c>
      <c r="AB176" s="13" t="str">
        <f>IF(AA176&gt;0,Y104&amp;Sprache!$E$71&amp;X104,"")</f>
        <v/>
      </c>
      <c r="AC176" s="2"/>
      <c r="AD176" s="144"/>
    </row>
    <row r="177" spans="25:30" x14ac:dyDescent="0.2">
      <c r="Y177" s="67" t="s">
        <v>65</v>
      </c>
      <c r="Z177" s="35" t="str">
        <f t="shared" si="84"/>
        <v/>
      </c>
      <c r="AA177" s="13">
        <f t="shared" si="83"/>
        <v>0</v>
      </c>
      <c r="AB177" s="13" t="str">
        <f>IF(AA177&gt;0,Y105&amp;Sprache!$E$71&amp;X105,"")</f>
        <v/>
      </c>
      <c r="AC177" s="2"/>
      <c r="AD177" s="144"/>
    </row>
    <row r="178" spans="25:30" x14ac:dyDescent="0.2">
      <c r="Y178" s="67" t="s">
        <v>66</v>
      </c>
      <c r="Z178" s="35" t="str">
        <f t="shared" si="84"/>
        <v/>
      </c>
      <c r="AA178" s="13">
        <f t="shared" si="83"/>
        <v>0</v>
      </c>
      <c r="AB178" s="13" t="str">
        <f>IF(AA178&gt;0,Y106&amp;Sprache!$E$71&amp;X106,"")</f>
        <v/>
      </c>
      <c r="AC178" s="2"/>
      <c r="AD178" s="144"/>
    </row>
    <row r="179" spans="25:30" x14ac:dyDescent="0.2">
      <c r="Y179" s="67" t="s">
        <v>67</v>
      </c>
      <c r="Z179" s="35" t="str">
        <f t="shared" si="84"/>
        <v/>
      </c>
      <c r="AA179" s="13">
        <f t="shared" si="83"/>
        <v>0</v>
      </c>
      <c r="AB179" s="13" t="str">
        <f>IF(AA179&gt;0,Y107&amp;Sprache!$E$71&amp;X107,"")</f>
        <v/>
      </c>
      <c r="AC179" s="2"/>
      <c r="AD179" s="144"/>
    </row>
    <row r="180" spans="25:30" x14ac:dyDescent="0.2">
      <c r="Y180" s="67" t="s">
        <v>68</v>
      </c>
      <c r="Z180" s="35" t="str">
        <f t="shared" si="84"/>
        <v/>
      </c>
      <c r="AA180" s="13">
        <f t="shared" si="83"/>
        <v>0</v>
      </c>
      <c r="AB180" s="13" t="str">
        <f>IF(AA180&gt;0,Y108&amp;Sprache!$E$71&amp;X108,"")</f>
        <v/>
      </c>
      <c r="AC180" s="2"/>
      <c r="AD180" s="144"/>
    </row>
    <row r="181" spans="25:30" x14ac:dyDescent="0.2">
      <c r="Y181" s="67" t="s">
        <v>69</v>
      </c>
      <c r="Z181" s="35" t="str">
        <f t="shared" si="84"/>
        <v/>
      </c>
      <c r="AA181" s="13">
        <f t="shared" si="83"/>
        <v>0</v>
      </c>
      <c r="AB181" s="13" t="str">
        <f>IF(AA181&gt;0,Y109&amp;Sprache!$E$71&amp;X109,"")</f>
        <v/>
      </c>
      <c r="AC181" s="2"/>
      <c r="AD181" s="144"/>
    </row>
    <row r="182" spans="25:30" x14ac:dyDescent="0.2">
      <c r="Y182" s="67" t="s">
        <v>70</v>
      </c>
      <c r="Z182" s="35" t="str">
        <f t="shared" si="84"/>
        <v/>
      </c>
      <c r="AA182" s="13">
        <f t="shared" si="83"/>
        <v>0</v>
      </c>
      <c r="AB182" s="13" t="str">
        <f>IF(AA182&gt;0,Y110&amp;Sprache!$E$71&amp;X110,"")</f>
        <v/>
      </c>
      <c r="AC182" s="2"/>
      <c r="AD182" s="144"/>
    </row>
    <row r="183" spans="25:30" x14ac:dyDescent="0.2">
      <c r="Y183" s="67" t="s">
        <v>71</v>
      </c>
      <c r="Z183" s="35" t="str">
        <f t="shared" si="84"/>
        <v/>
      </c>
      <c r="AA183" s="13">
        <f t="shared" si="83"/>
        <v>0</v>
      </c>
      <c r="AB183" s="13" t="str">
        <f>IF(AA183&gt;0,Y111&amp;Sprache!$E$71&amp;X111,"")</f>
        <v/>
      </c>
      <c r="AC183" s="2"/>
      <c r="AD183" s="144"/>
    </row>
    <row r="184" spans="25:30" x14ac:dyDescent="0.2">
      <c r="Y184" s="67" t="s">
        <v>72</v>
      </c>
      <c r="Z184" s="35" t="str">
        <f t="shared" si="84"/>
        <v/>
      </c>
      <c r="AA184" s="13">
        <f t="shared" si="83"/>
        <v>0</v>
      </c>
      <c r="AB184" s="13" t="str">
        <f>IF(AA184&gt;0,Y112&amp;Sprache!$E$71&amp;X112,"")</f>
        <v/>
      </c>
      <c r="AC184" s="2"/>
      <c r="AD184" s="144"/>
    </row>
    <row r="185" spans="25:30" x14ac:dyDescent="0.2">
      <c r="Y185" s="67" t="s">
        <v>73</v>
      </c>
      <c r="Z185" s="35" t="str">
        <f t="shared" si="84"/>
        <v/>
      </c>
      <c r="AA185" s="13">
        <f t="shared" si="83"/>
        <v>0</v>
      </c>
      <c r="AB185" s="13" t="str">
        <f>IF(AA185&gt;0,Y113&amp;Sprache!$E$71&amp;X113,"")</f>
        <v/>
      </c>
      <c r="AC185" s="2"/>
      <c r="AD185" s="144"/>
    </row>
    <row r="186" spans="25:30" x14ac:dyDescent="0.2">
      <c r="Y186" s="67" t="s">
        <v>74</v>
      </c>
      <c r="Z186" s="35" t="str">
        <f t="shared" si="84"/>
        <v/>
      </c>
      <c r="AA186" s="13">
        <f t="shared" si="83"/>
        <v>0</v>
      </c>
      <c r="AB186" s="13" t="str">
        <f>IF(AA186&gt;0,Y114&amp;Sprache!$E$71&amp;X114,"")</f>
        <v/>
      </c>
      <c r="AC186" s="2"/>
      <c r="AD186" s="144"/>
    </row>
    <row r="187" spans="25:30" x14ac:dyDescent="0.2">
      <c r="Y187" s="67" t="s">
        <v>75</v>
      </c>
      <c r="Z187" s="35" t="str">
        <f t="shared" si="84"/>
        <v/>
      </c>
      <c r="AA187" s="13">
        <f t="shared" si="83"/>
        <v>0</v>
      </c>
      <c r="AB187" s="13" t="str">
        <f>IF(AA187&gt;0,Y115&amp;Sprache!$E$71&amp;X115,"")</f>
        <v/>
      </c>
      <c r="AC187" s="2"/>
      <c r="AD187" s="144"/>
    </row>
    <row r="188" spans="25:30" x14ac:dyDescent="0.2">
      <c r="Y188" s="67" t="s">
        <v>76</v>
      </c>
      <c r="Z188" s="35" t="str">
        <f t="shared" si="84"/>
        <v/>
      </c>
      <c r="AA188" s="13">
        <f t="shared" si="83"/>
        <v>0</v>
      </c>
      <c r="AB188" s="13" t="str">
        <f>IF(AA188&gt;0,Y116&amp;Sprache!$E$71&amp;X116,"")</f>
        <v/>
      </c>
      <c r="AC188" s="2"/>
      <c r="AD188" s="144"/>
    </row>
    <row r="189" spans="25:30" x14ac:dyDescent="0.2">
      <c r="Y189" s="67" t="s">
        <v>77</v>
      </c>
      <c r="Z189" s="35" t="str">
        <f t="shared" si="84"/>
        <v/>
      </c>
      <c r="AA189" s="13">
        <f t="shared" si="83"/>
        <v>0</v>
      </c>
      <c r="AB189" s="13" t="str">
        <f>IF(AA189&gt;0,Y117&amp;Sprache!$E$71&amp;X117,"")</f>
        <v/>
      </c>
      <c r="AC189" s="2"/>
      <c r="AD189" s="144"/>
    </row>
    <row r="190" spans="25:30" x14ac:dyDescent="0.2">
      <c r="Y190" s="67" t="s">
        <v>78</v>
      </c>
      <c r="Z190" s="35" t="str">
        <f t="shared" si="84"/>
        <v/>
      </c>
      <c r="AA190" s="13">
        <f t="shared" si="83"/>
        <v>0</v>
      </c>
      <c r="AB190" s="13" t="str">
        <f>IF(AA190&gt;0,Y118&amp;Sprache!$E$71&amp;X118,"")</f>
        <v/>
      </c>
      <c r="AC190" s="2"/>
      <c r="AD190" s="144"/>
    </row>
    <row r="191" spans="25:30" x14ac:dyDescent="0.2">
      <c r="Y191" s="67" t="s">
        <v>79</v>
      </c>
      <c r="Z191" s="35" t="str">
        <f t="shared" si="84"/>
        <v/>
      </c>
      <c r="AA191" s="13">
        <f t="shared" si="83"/>
        <v>0</v>
      </c>
      <c r="AB191" s="13" t="str">
        <f>IF(AA191&gt;0,Y119&amp;Sprache!$E$71&amp;X119,"")</f>
        <v/>
      </c>
      <c r="AC191" s="2"/>
      <c r="AD191" s="144"/>
    </row>
    <row r="192" spans="25:30" x14ac:dyDescent="0.2">
      <c r="Y192" s="67" t="s">
        <v>80</v>
      </c>
      <c r="Z192" s="35" t="str">
        <f t="shared" si="84"/>
        <v/>
      </c>
      <c r="AA192" s="13">
        <f t="shared" si="83"/>
        <v>0</v>
      </c>
      <c r="AB192" s="13" t="str">
        <f>IF(AA192&gt;0,Y120&amp;Sprache!$E$71&amp;X120,"")</f>
        <v/>
      </c>
      <c r="AC192" s="2"/>
      <c r="AD192" s="144"/>
    </row>
    <row r="193" spans="25:30" x14ac:dyDescent="0.2">
      <c r="Y193" s="67" t="s">
        <v>81</v>
      </c>
      <c r="Z193" s="35" t="str">
        <f t="shared" si="84"/>
        <v/>
      </c>
      <c r="AA193" s="13">
        <f t="shared" si="83"/>
        <v>0</v>
      </c>
      <c r="AB193" s="13" t="str">
        <f>IF(AA193&gt;0,Y121&amp;Sprache!$E$71&amp;X121,"")</f>
        <v/>
      </c>
      <c r="AC193" s="2"/>
      <c r="AD193" s="144"/>
    </row>
    <row r="194" spans="25:30" x14ac:dyDescent="0.2">
      <c r="Y194" s="67" t="s">
        <v>82</v>
      </c>
      <c r="Z194" s="35" t="str">
        <f t="shared" si="84"/>
        <v/>
      </c>
      <c r="AA194" s="13">
        <f t="shared" si="83"/>
        <v>0</v>
      </c>
      <c r="AB194" s="13" t="str">
        <f>IF(AA194&gt;0,Y122&amp;Sprache!$E$71&amp;X122,"")</f>
        <v/>
      </c>
      <c r="AC194" s="2"/>
      <c r="AD194" s="144"/>
    </row>
    <row r="195" spans="25:30" x14ac:dyDescent="0.2">
      <c r="Y195" s="67" t="s">
        <v>83</v>
      </c>
      <c r="Z195" s="35" t="str">
        <f t="shared" si="84"/>
        <v/>
      </c>
      <c r="AA195" s="13">
        <f t="shared" si="83"/>
        <v>0</v>
      </c>
      <c r="AB195" s="13" t="str">
        <f>IF(AA195&gt;0,Y123&amp;Sprache!$E$71&amp;X123,"")</f>
        <v/>
      </c>
      <c r="AC195" s="2"/>
      <c r="AD195" s="144"/>
    </row>
    <row r="196" spans="25:30" x14ac:dyDescent="0.2">
      <c r="Y196" s="67" t="s">
        <v>84</v>
      </c>
      <c r="Z196" s="35" t="str">
        <f t="shared" si="84"/>
        <v/>
      </c>
      <c r="AA196" s="13">
        <f t="shared" si="83"/>
        <v>0</v>
      </c>
      <c r="AB196" s="13" t="str">
        <f>IF(AA196&gt;0,Y124&amp;Sprache!$E$71&amp;X124,"")</f>
        <v/>
      </c>
      <c r="AC196" s="2"/>
      <c r="AD196" s="144"/>
    </row>
    <row r="197" spans="25:30" x14ac:dyDescent="0.2">
      <c r="Y197" s="67" t="s">
        <v>85</v>
      </c>
      <c r="Z197" s="35" t="str">
        <f t="shared" si="84"/>
        <v/>
      </c>
      <c r="AA197" s="13">
        <f t="shared" si="83"/>
        <v>0</v>
      </c>
      <c r="AB197" s="13" t="str">
        <f>IF(AA197&gt;0,Y125&amp;Sprache!$E$71&amp;X125,"")</f>
        <v/>
      </c>
      <c r="AC197" s="2"/>
      <c r="AD197" s="144"/>
    </row>
    <row r="198" spans="25:30" x14ac:dyDescent="0.2">
      <c r="Y198" s="67" t="s">
        <v>86</v>
      </c>
      <c r="Z198" s="35" t="str">
        <f t="shared" si="84"/>
        <v/>
      </c>
      <c r="AA198" s="13">
        <f t="shared" si="83"/>
        <v>0</v>
      </c>
      <c r="AB198" s="13" t="str">
        <f>IF(AA198&gt;0,Y126&amp;Sprache!$E$71&amp;X126,"")</f>
        <v/>
      </c>
      <c r="AC198" s="2"/>
      <c r="AD198" s="144"/>
    </row>
    <row r="199" spans="25:30" x14ac:dyDescent="0.2">
      <c r="Y199" s="67" t="s">
        <v>87</v>
      </c>
      <c r="Z199" s="35" t="str">
        <f t="shared" si="84"/>
        <v/>
      </c>
      <c r="AA199" s="13">
        <f t="shared" si="83"/>
        <v>0</v>
      </c>
      <c r="AB199" s="13" t="str">
        <f>IF(AA199&gt;0,Y127&amp;Sprache!$E$71&amp;X127,"")</f>
        <v/>
      </c>
      <c r="AC199" s="2"/>
      <c r="AD199" s="144"/>
    </row>
    <row r="200" spans="25:30" x14ac:dyDescent="0.2">
      <c r="Y200" s="67" t="s">
        <v>88</v>
      </c>
      <c r="Z200" s="35" t="str">
        <f t="shared" si="84"/>
        <v/>
      </c>
      <c r="AA200" s="13">
        <f t="shared" si="83"/>
        <v>0</v>
      </c>
      <c r="AB200" s="13" t="str">
        <f>IF(AA200&gt;0,Y128&amp;Sprache!$E$71&amp;X128,"")</f>
        <v/>
      </c>
      <c r="AC200" s="2"/>
      <c r="AD200" s="144"/>
    </row>
    <row r="201" spans="25:30" x14ac:dyDescent="0.2">
      <c r="Y201" s="67" t="s">
        <v>89</v>
      </c>
      <c r="Z201" s="35" t="str">
        <f t="shared" si="84"/>
        <v/>
      </c>
      <c r="AA201" s="13">
        <f t="shared" ref="AA201:AA207" si="85">AA129</f>
        <v>0</v>
      </c>
      <c r="AB201" s="13" t="str">
        <f>IF(AA201&gt;0,Y129&amp;Sprache!$E$71&amp;X129,"")</f>
        <v/>
      </c>
      <c r="AC201" s="2"/>
      <c r="AD201" s="144"/>
    </row>
    <row r="202" spans="25:30" x14ac:dyDescent="0.2">
      <c r="Y202" s="67" t="s">
        <v>90</v>
      </c>
      <c r="Z202" s="35" t="str">
        <f t="shared" ref="Z202:Z206" si="86">W130&amp;V130</f>
        <v/>
      </c>
      <c r="AA202" s="13">
        <f t="shared" si="85"/>
        <v>0</v>
      </c>
      <c r="AB202" s="13" t="str">
        <f>IF(AA202&gt;0,Y130&amp;Sprache!$E$71&amp;X130,"")</f>
        <v/>
      </c>
      <c r="AC202" s="2"/>
      <c r="AD202" s="144"/>
    </row>
    <row r="203" spans="25:30" x14ac:dyDescent="0.2">
      <c r="Y203" s="67" t="s">
        <v>91</v>
      </c>
      <c r="Z203" s="35" t="str">
        <f t="shared" si="86"/>
        <v/>
      </c>
      <c r="AA203" s="13">
        <f t="shared" si="85"/>
        <v>0</v>
      </c>
      <c r="AB203" s="13" t="str">
        <f>IF(AA203&gt;0,Y131&amp;Sprache!$E$71&amp;X131,"")</f>
        <v/>
      </c>
      <c r="AC203" s="2"/>
      <c r="AD203" s="144"/>
    </row>
    <row r="204" spans="25:30" x14ac:dyDescent="0.2">
      <c r="Y204" s="67" t="s">
        <v>92</v>
      </c>
      <c r="Z204" s="35" t="str">
        <f t="shared" si="86"/>
        <v/>
      </c>
      <c r="AA204" s="13">
        <f t="shared" si="85"/>
        <v>0</v>
      </c>
      <c r="AB204" s="13" t="str">
        <f>IF(AA204&gt;0,Y132&amp;Sprache!$E$71&amp;X132,"")</f>
        <v/>
      </c>
      <c r="AC204" s="2"/>
      <c r="AD204" s="144"/>
    </row>
    <row r="205" spans="25:30" x14ac:dyDescent="0.2">
      <c r="Y205" s="67" t="s">
        <v>93</v>
      </c>
      <c r="Z205" s="35" t="str">
        <f t="shared" si="86"/>
        <v/>
      </c>
      <c r="AA205" s="13">
        <f t="shared" si="85"/>
        <v>0</v>
      </c>
      <c r="AB205" s="13" t="str">
        <f>IF(AA205&gt;0,Y133&amp;Sprache!$E$71&amp;X133,"")</f>
        <v/>
      </c>
      <c r="AC205" s="2"/>
      <c r="AD205" s="144"/>
    </row>
    <row r="206" spans="25:30" x14ac:dyDescent="0.2">
      <c r="Y206" s="67" t="s">
        <v>94</v>
      </c>
      <c r="Z206" s="35" t="str">
        <f t="shared" si="86"/>
        <v/>
      </c>
      <c r="AA206" s="13">
        <f t="shared" si="85"/>
        <v>0</v>
      </c>
      <c r="AB206" s="13" t="str">
        <f>IF(AA206&gt;0,Y134&amp;Sprache!$E$71&amp;X134,"")</f>
        <v/>
      </c>
      <c r="AC206" s="2"/>
      <c r="AD206" s="144"/>
    </row>
    <row r="207" spans="25:30" ht="12.75" thickBot="1" x14ac:dyDescent="0.25">
      <c r="Y207" s="68" t="s">
        <v>95</v>
      </c>
      <c r="Z207" s="37" t="str">
        <f>W135&amp;V135</f>
        <v/>
      </c>
      <c r="AA207" s="38">
        <f t="shared" si="85"/>
        <v>0</v>
      </c>
      <c r="AB207" s="145" t="str">
        <f>IF(AA207&gt;0,Y135&amp;Sprache!$E$71&amp;X135,"")</f>
        <v/>
      </c>
      <c r="AC207" s="147"/>
      <c r="AD207" s="146"/>
    </row>
    <row r="208" spans="25:30" ht="12.75" thickTop="1" x14ac:dyDescent="0.2"/>
  </sheetData>
  <mergeCells count="14">
    <mergeCell ref="BI29:BP29"/>
    <mergeCell ref="AS29:AZ29"/>
    <mergeCell ref="BA29:BH29"/>
    <mergeCell ref="E29:L29"/>
    <mergeCell ref="M29:T29"/>
    <mergeCell ref="U29:AB29"/>
    <mergeCell ref="AC29:AJ29"/>
    <mergeCell ref="AK29:AR29"/>
    <mergeCell ref="AE63:AF63"/>
    <mergeCell ref="W3:AA3"/>
    <mergeCell ref="AB3:AF3"/>
    <mergeCell ref="AG3:AK3"/>
    <mergeCell ref="AL3:AP3"/>
    <mergeCell ref="AD15:AH15"/>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48">
        <f ca="1">IF($O$4&lt;10,$O$4,0)</f>
        <v>0</v>
      </c>
      <c r="X3" s="849"/>
      <c r="Y3" s="849"/>
      <c r="Z3" s="849"/>
      <c r="AA3" s="849"/>
      <c r="AB3" s="848">
        <f ca="1">IF($P$4&lt;10,$P$4,0)</f>
        <v>0</v>
      </c>
      <c r="AC3" s="849"/>
      <c r="AD3" s="849"/>
      <c r="AE3" s="849"/>
      <c r="AF3" s="849"/>
      <c r="AG3" s="848">
        <f ca="1">IF($Q$4&lt;10,$Q$4,0)</f>
        <v>0</v>
      </c>
      <c r="AH3" s="849"/>
      <c r="AI3" s="849"/>
      <c r="AJ3" s="849"/>
      <c r="AK3" s="849"/>
      <c r="AL3" s="848">
        <f ca="1">IF($R$4&lt;10,$R$4,0)</f>
        <v>0</v>
      </c>
      <c r="AM3" s="849"/>
      <c r="AN3" s="849"/>
      <c r="AO3" s="849"/>
      <c r="AP3" s="849"/>
    </row>
    <row r="4" spans="1:42" s="2" customFormat="1" ht="12.75" thickTop="1" x14ac:dyDescent="0.2">
      <c r="A4" s="242"/>
      <c r="B4" s="1">
        <v>1</v>
      </c>
      <c r="C4" s="21">
        <f ca="1">RANK(D4,$D$4:$D$12,1)</f>
        <v>3</v>
      </c>
      <c r="D4" s="13">
        <f ca="1">E4+ROW()/1000+(F4="")*10</f>
        <v>3.004</v>
      </c>
      <c r="E4" s="255">
        <f ca="1">IF($AI$15,RANK(AH17,AH$17:AH$25,1),RANK(X17,X$17:X$25,1))</f>
        <v>3</v>
      </c>
      <c r="F4" s="1" t="str">
        <f>$Q64</f>
        <v>Mainz 05</v>
      </c>
      <c r="G4" s="1">
        <f t="shared" ref="G4:G12" ca="1" si="1">SUMIFS($X$64:$X$135,$V$64:$V$135,$F4)+SUMIFS($Y$64:$Y$135,$W$64:$W$135,$F4)</f>
        <v>5</v>
      </c>
      <c r="H4" s="1">
        <f t="shared" ref="H4:H12" ca="1" si="2">SUMIFS($Y$64:$Y$135,$V$64:$V$135,$F4)+SUMIFS($X$64:$X$135,$W$64:$W$135,$F4)</f>
        <v>7</v>
      </c>
      <c r="I4" s="13">
        <f t="shared" ref="I4:I12" ca="1" si="3">G4-H4</f>
        <v>-2</v>
      </c>
      <c r="J4" s="1">
        <f ca="1">SUMIF($V$64:$V$135,F4,$AE$64:$AE$135)+SUMIF($W$64:$W$135,F4,$AF$64:$AF$135)</f>
        <v>5</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2</v>
      </c>
      <c r="N4" s="1">
        <f t="shared" ref="N4:N12" ca="1" si="7">SUMPRODUCT(($V$64:$V$135=F4)*($X$64:$X$135&lt;$Y$64:$Y$135))+SUMPRODUCT(($W$64:$W$135=F4)*($X$64:$X$135&gt;$Y$64:$Y$135))</f>
        <v>1</v>
      </c>
      <c r="O4" s="120">
        <f ca="1">SMALL($O$3:$V$3,1)</f>
        <v>99999</v>
      </c>
      <c r="P4" s="120">
        <f ca="1">SMALL($O$3:$V$3,2)</f>
        <v>99999</v>
      </c>
      <c r="Q4" s="120">
        <f ca="1">SMALL($O$3:$V$3,3)</f>
        <v>99999</v>
      </c>
      <c r="R4" s="120">
        <f ca="1">SMALL($O$3:$V$3,4)</f>
        <v>99999</v>
      </c>
      <c r="V4" s="1"/>
      <c r="W4" s="610" t="str">
        <f ca="1">IFERROR(INDEX($O$17:$V$25,ROW(A1),$W$3),"")</f>
        <v/>
      </c>
      <c r="X4" s="611" t="str">
        <f ca="1">INDEX($W$4:$W$12,MATCH(ROW(A1),$AA$4:$AA$12,0))</f>
        <v/>
      </c>
      <c r="Y4" s="612">
        <f ca="1">IF($W4="",99999,VLOOKUP($W4,$C$17:$Z$25,24,0))</f>
        <v>99999</v>
      </c>
      <c r="Z4" s="613">
        <f ca="1">RANK(Y4,Y$4:Y$12,1)+INDEX($E$4:$E$12,MATCH(W4,$F$4:$F$12,0))/100+ROW()/10000</f>
        <v>1.0604</v>
      </c>
      <c r="AA4" s="614">
        <f ca="1">RANK($Z4,$Z$4:$Z$12,1)</f>
        <v>1</v>
      </c>
      <c r="AB4" s="615" t="str">
        <f t="shared" ref="AB4:AB12" ca="1" si="8">IFERROR(INDEX($O$17:$V$25,ROW(A1),$AB$3),"")</f>
        <v/>
      </c>
      <c r="AC4" s="616" t="str">
        <f ca="1">INDEX($AB$4:$AB$12,MATCH(ROW(A1),$AF$4:$AF$12,0))</f>
        <v/>
      </c>
      <c r="AD4" s="617">
        <f ca="1">IF($AB4="",99999,VLOOKUP($AB4,$C$17:$Z$25,24,0))</f>
        <v>99999</v>
      </c>
      <c r="AE4" s="613">
        <f ca="1">RANK(AD4,AD$4:AD$12,1)+INDEX($E$4:$E$12,MATCH(AB4,$F$4:$F$12,0))/100+ROW()/10000</f>
        <v>1.0604</v>
      </c>
      <c r="AF4" s="613">
        <f ca="1">RANK($AE4,$AE$4:$AE$12,1)</f>
        <v>1</v>
      </c>
      <c r="AG4" s="615" t="str">
        <f t="shared" ref="AG4:AG12" ca="1" si="9">IFERROR(INDEX($O$17:$V$25,ROW(C1),$AG$3),"")</f>
        <v/>
      </c>
      <c r="AH4" s="616" t="str">
        <f ca="1">INDEX($AG$4:$AG$12,MATCH(ROW(A1),$AK$4:$AK$12,0))</f>
        <v/>
      </c>
      <c r="AI4" s="617">
        <f ca="1">IF($AG4="",99999,VLOOKUP($AG4,$C$17:$Z$25,24,0))</f>
        <v>99999</v>
      </c>
      <c r="AJ4" s="613">
        <f ca="1">RANK(AI4,AI$4:AI$12,1)+INDEX($E$4:$E$12,MATCH(AG4,$F$4:$F$12,0))/100+ROW()/10000</f>
        <v>1.0604</v>
      </c>
      <c r="AK4" s="618">
        <f ca="1">RANK($AJ4,$AJ$4:$AJ$12,1)</f>
        <v>1</v>
      </c>
      <c r="AL4" s="616" t="str">
        <f t="shared" ref="AL4:AL12" ca="1" si="10">IFERROR(INDEX($O$17:$V$25,ROW(E1),$AL$3),"")</f>
        <v/>
      </c>
      <c r="AM4" s="616" t="str">
        <f ca="1">INDEX($AL$4:$AL$12,MATCH(ROW(A1),$AP$4:$AP$12,0))</f>
        <v/>
      </c>
      <c r="AN4" s="617">
        <f ca="1">IF($AL4="",99999,VLOOKUP($AL4,$C$17:$Z$25,24,0))</f>
        <v>99999</v>
      </c>
      <c r="AO4" s="613">
        <f ca="1">RANK(AN4,AN$4:AN$12,1)+INDEX($E$4:$E$12,MATCH(AL4,$F$4:$F$12,0))/100+ROW()/10000</f>
        <v>1.0604</v>
      </c>
      <c r="AP4" s="618">
        <f ca="1">RANK($AO4,$AO$4:$AO$12,1)</f>
        <v>1</v>
      </c>
    </row>
    <row r="5" spans="1:42" s="2" customFormat="1" x14ac:dyDescent="0.2">
      <c r="A5" s="242"/>
      <c r="B5" s="1">
        <v>2</v>
      </c>
      <c r="C5" s="22">
        <f t="shared" ref="C5:C12" ca="1" si="11">RANK(D5,$D$4:$D$12,1)</f>
        <v>2</v>
      </c>
      <c r="D5" s="13">
        <f t="shared" ref="D5:D12" ca="1" si="12">E5+ROW()/1000+(F5="")*10</f>
        <v>2.0049999999999999</v>
      </c>
      <c r="E5" s="255">
        <f t="shared" ref="E5:E12" ca="1" si="13">IF($AI$15,RANK(AH18,AH$17:AH$25,1),RANK(X18,X$17:X$25,1))</f>
        <v>2</v>
      </c>
      <c r="F5" s="1" t="str">
        <f t="shared" ref="F5:F12" si="14">$Q65</f>
        <v>Inter Mailand</v>
      </c>
      <c r="G5" s="1">
        <f t="shared" ca="1" si="1"/>
        <v>7</v>
      </c>
      <c r="H5" s="1">
        <f t="shared" ca="1" si="2"/>
        <v>6</v>
      </c>
      <c r="I5" s="13">
        <f t="shared" ca="1" si="3"/>
        <v>1</v>
      </c>
      <c r="J5" s="1">
        <f t="shared" ref="J5:J12" ca="1" si="15">SUMIF($V$64:$V$135,F5,$AE$64:$AE$135)+SUMIF($W$64:$W$135,F5,$AF$64:$AF$135)</f>
        <v>7</v>
      </c>
      <c r="K5" s="1">
        <f t="shared" ca="1" si="4"/>
        <v>4</v>
      </c>
      <c r="L5" s="1">
        <f t="shared" ca="1" si="5"/>
        <v>2</v>
      </c>
      <c r="M5" s="1">
        <f t="shared" ca="1" si="6"/>
        <v>1</v>
      </c>
      <c r="N5" s="1">
        <f t="shared" ca="1" si="7"/>
        <v>1</v>
      </c>
      <c r="O5" s="24"/>
      <c r="P5" s="25"/>
      <c r="V5" s="1"/>
      <c r="W5" s="615" t="str">
        <f t="shared" ref="W5:W12" ca="1" si="16">IFERROR(INDEX($O$17:$V$25,ROW(A2),$W$3),"")</f>
        <v/>
      </c>
      <c r="X5" s="616" t="str">
        <f t="shared" ref="X5:X12" ca="1" si="17">INDEX($W$4:$W$12,MATCH(ROW(A2),$AA$4:$AA$12,0))</f>
        <v/>
      </c>
      <c r="Y5" s="613">
        <f t="shared" ref="Y5:Y12" ca="1" si="18">IF($W5="",99999,VLOOKUP($W5,$C$17:$Z$25,24,0))</f>
        <v>99999</v>
      </c>
      <c r="Z5" s="613">
        <f ca="1">RANK(Y5,Y$4:Y$12,1)+INDEX($E$4:$E$12,MATCH(W5,$F$4:$F$12,0))/100+ROW()/10000</f>
        <v>1.0605</v>
      </c>
      <c r="AA5" s="618">
        <f t="shared" ref="AA5:AA12" ca="1" si="19">RANK($Z5,$Z$4:$Z$12,1)</f>
        <v>2</v>
      </c>
      <c r="AB5" s="615" t="str">
        <f t="shared" ca="1" si="8"/>
        <v/>
      </c>
      <c r="AC5" s="616" t="str">
        <f t="shared" ref="AC5:AC12" ca="1" si="20">INDEX($AB$4:$AB$12,MATCH(ROW(A2),$AF$4:$AF$12,0))</f>
        <v/>
      </c>
      <c r="AD5" s="617">
        <f t="shared" ref="AD5:AD12" ca="1" si="21">IF($AB5="",99999,VLOOKUP($AB5,$C$17:$Z$25,24,0))</f>
        <v>99999</v>
      </c>
      <c r="AE5" s="613">
        <f ca="1">RANK(AD5,AD$4:AD$12,1)+INDEX($E$4:$E$12,MATCH(AB5,$F$4:$F$12,0))/100+ROW()/10000</f>
        <v>1.0605</v>
      </c>
      <c r="AF5" s="613">
        <f t="shared" ref="AF5:AF12" ca="1" si="22">RANK($AE5,$AE$4:$AE$12,1)</f>
        <v>2</v>
      </c>
      <c r="AG5" s="615" t="str">
        <f t="shared" ca="1" si="9"/>
        <v/>
      </c>
      <c r="AH5" s="616" t="str">
        <f t="shared" ref="AH5:AH12" ca="1" si="23">INDEX($AG$4:$AG$12,MATCH(ROW(A2),$AK$4:$AK$12,0))</f>
        <v/>
      </c>
      <c r="AI5" s="617">
        <f t="shared" ref="AI5:AI12" ca="1" si="24">IF($AG5="",99999,VLOOKUP($AG5,$C$17:$Z$25,24,0))</f>
        <v>99999</v>
      </c>
      <c r="AJ5" s="613">
        <f ca="1">RANK(AI5,AI$4:AI$12,1)+INDEX($E$4:$E$12,MATCH(AG5,$F$4:$F$12,0))/100+ROW()/10000</f>
        <v>1.0605</v>
      </c>
      <c r="AK5" s="618">
        <f t="shared" ref="AK5:AK12" ca="1" si="25">RANK($AJ5,$AJ$4:$AJ$12,1)</f>
        <v>2</v>
      </c>
      <c r="AL5" s="616" t="str">
        <f t="shared" ca="1" si="10"/>
        <v/>
      </c>
      <c r="AM5" s="616" t="str">
        <f t="shared" ref="AM5:AM12" ca="1" si="26">INDEX($AL$4:$AL$12,MATCH(ROW(A2),$AP$4:$AP$12,0))</f>
        <v/>
      </c>
      <c r="AN5" s="617">
        <f t="shared" ref="AN5:AN12" ca="1" si="27">IF($AL5="",99999,VLOOKUP($AL5,$C$17:$Z$25,24,0))</f>
        <v>99999</v>
      </c>
      <c r="AO5" s="613">
        <f ca="1">RANK(AN5,AN$4:AN$12,1)+INDEX($E$4:$E$12,MATCH(AL5,$F$4:$F$12,0))/100+ROW()/10000</f>
        <v>1.0605</v>
      </c>
      <c r="AP5" s="618">
        <f t="shared" ref="AP5:AP12" ca="1" si="28">RANK($AO5,$AO$4:$AO$12,1)</f>
        <v>2</v>
      </c>
    </row>
    <row r="6" spans="1:42" s="2" customFormat="1" x14ac:dyDescent="0.2">
      <c r="A6" s="242"/>
      <c r="B6" s="1">
        <v>3</v>
      </c>
      <c r="C6" s="22">
        <f t="shared" ca="1" si="11"/>
        <v>5</v>
      </c>
      <c r="D6" s="13">
        <f t="shared" ca="1" si="12"/>
        <v>5.0060000000000002</v>
      </c>
      <c r="E6" s="255">
        <f t="shared" ca="1" si="13"/>
        <v>5</v>
      </c>
      <c r="F6" s="1" t="str">
        <f t="shared" si="14"/>
        <v>SSV Wildbach</v>
      </c>
      <c r="G6" s="1">
        <f t="shared" ca="1" si="1"/>
        <v>4</v>
      </c>
      <c r="H6" s="1">
        <f t="shared" ca="1" si="2"/>
        <v>10</v>
      </c>
      <c r="I6" s="13">
        <f t="shared" ca="1" si="3"/>
        <v>-6</v>
      </c>
      <c r="J6" s="1">
        <f t="shared" ca="1" si="15"/>
        <v>1</v>
      </c>
      <c r="K6" s="1">
        <f t="shared" ca="1" si="4"/>
        <v>4</v>
      </c>
      <c r="L6" s="1">
        <f t="shared" ca="1" si="5"/>
        <v>0</v>
      </c>
      <c r="M6" s="1">
        <f t="shared" ca="1" si="6"/>
        <v>1</v>
      </c>
      <c r="N6" s="1">
        <f t="shared" ca="1" si="7"/>
        <v>3</v>
      </c>
      <c r="O6" s="24"/>
      <c r="P6" s="25"/>
      <c r="V6" s="1"/>
      <c r="W6" s="615" t="str">
        <f t="shared" ca="1" si="16"/>
        <v/>
      </c>
      <c r="X6" s="616" t="str">
        <f t="shared" ca="1" si="17"/>
        <v/>
      </c>
      <c r="Y6" s="613">
        <f t="shared" ca="1" si="18"/>
        <v>99999</v>
      </c>
      <c r="Z6" s="613">
        <f ca="1">RANK(Y6,Y$4:Y$12,1)+INDEX($E$4:$E$12,MATCH(W6,$F$4:$F$12,0))/100+ROW()/10000</f>
        <v>1.0606</v>
      </c>
      <c r="AA6" s="618">
        <f t="shared" ca="1" si="19"/>
        <v>3</v>
      </c>
      <c r="AB6" s="615" t="str">
        <f t="shared" ca="1" si="8"/>
        <v/>
      </c>
      <c r="AC6" s="616" t="str">
        <f t="shared" ca="1" si="20"/>
        <v/>
      </c>
      <c r="AD6" s="617">
        <f t="shared" ca="1" si="21"/>
        <v>99999</v>
      </c>
      <c r="AE6" s="613">
        <f ca="1">RANK(AD6,AD$4:AD$12,1)+INDEX($E$4:$E$12,MATCH(AB6,$F$4:$F$12,0))/100+ROW()/10000</f>
        <v>1.0606</v>
      </c>
      <c r="AF6" s="613">
        <f t="shared" ca="1" si="22"/>
        <v>3</v>
      </c>
      <c r="AG6" s="615" t="str">
        <f t="shared" ca="1" si="9"/>
        <v/>
      </c>
      <c r="AH6" s="616" t="str">
        <f t="shared" ca="1" si="23"/>
        <v/>
      </c>
      <c r="AI6" s="617">
        <f t="shared" ca="1" si="24"/>
        <v>99999</v>
      </c>
      <c r="AJ6" s="613">
        <f ca="1">RANK(AI6,AI$4:AI$12,1)+INDEX($E$4:$E$12,MATCH(AG6,$F$4:$F$12,0))/100+ROW()/10000</f>
        <v>1.0606</v>
      </c>
      <c r="AK6" s="618">
        <f t="shared" ca="1" si="25"/>
        <v>3</v>
      </c>
      <c r="AL6" s="616" t="str">
        <f t="shared" ca="1" si="10"/>
        <v/>
      </c>
      <c r="AM6" s="616" t="str">
        <f t="shared" ca="1" si="26"/>
        <v/>
      </c>
      <c r="AN6" s="617">
        <f t="shared" ca="1" si="27"/>
        <v>99999</v>
      </c>
      <c r="AO6" s="613">
        <f ca="1">RANK(AN6,AN$4:AN$12,1)+INDEX($E$4:$E$12,MATCH(AL6,$F$4:$F$12,0))/100+ROW()/10000</f>
        <v>1.0606</v>
      </c>
      <c r="AP6" s="618">
        <f t="shared" ca="1" si="28"/>
        <v>3</v>
      </c>
    </row>
    <row r="7" spans="1:42" s="2" customFormat="1" x14ac:dyDescent="0.2">
      <c r="A7" s="242"/>
      <c r="B7" s="1">
        <v>4</v>
      </c>
      <c r="C7" s="22">
        <f t="shared" ca="1" si="11"/>
        <v>1</v>
      </c>
      <c r="D7" s="13">
        <f t="shared" ca="1" si="12"/>
        <v>1.0069999999999999</v>
      </c>
      <c r="E7" s="255">
        <f t="shared" ca="1" si="13"/>
        <v>1</v>
      </c>
      <c r="F7" s="1" t="str">
        <f t="shared" si="14"/>
        <v>Manchester City</v>
      </c>
      <c r="G7" s="1">
        <f t="shared" ca="1" si="1"/>
        <v>18</v>
      </c>
      <c r="H7" s="1">
        <f t="shared" ca="1" si="2"/>
        <v>5</v>
      </c>
      <c r="I7" s="13">
        <f t="shared" ca="1" si="3"/>
        <v>13</v>
      </c>
      <c r="J7" s="1">
        <f t="shared" ca="1" si="15"/>
        <v>12</v>
      </c>
      <c r="K7" s="1">
        <f t="shared" ca="1" si="4"/>
        <v>4</v>
      </c>
      <c r="L7" s="1">
        <f t="shared" ca="1" si="5"/>
        <v>4</v>
      </c>
      <c r="M7" s="1">
        <f t="shared" ca="1" si="6"/>
        <v>0</v>
      </c>
      <c r="N7" s="1">
        <f t="shared" ca="1" si="7"/>
        <v>0</v>
      </c>
      <c r="O7" s="24"/>
      <c r="P7" s="25"/>
      <c r="V7" s="1"/>
      <c r="W7" s="615" t="str">
        <f t="shared" ca="1" si="16"/>
        <v/>
      </c>
      <c r="X7" s="616" t="str">
        <f t="shared" ca="1" si="17"/>
        <v/>
      </c>
      <c r="Y7" s="613">
        <f t="shared" ca="1" si="18"/>
        <v>99999</v>
      </c>
      <c r="Z7" s="613">
        <f ca="1">RANK(Y7,Y$4:Y$12,1)+INDEX($E$4:$E$12,MATCH(W7,$F$4:$F$12,0))/100+ROW()/10000</f>
        <v>1.0607</v>
      </c>
      <c r="AA7" s="618">
        <f t="shared" ca="1" si="19"/>
        <v>4</v>
      </c>
      <c r="AB7" s="615" t="str">
        <f t="shared" ca="1" si="8"/>
        <v/>
      </c>
      <c r="AC7" s="616" t="str">
        <f t="shared" ca="1" si="20"/>
        <v/>
      </c>
      <c r="AD7" s="617">
        <f t="shared" ca="1" si="21"/>
        <v>99999</v>
      </c>
      <c r="AE7" s="613">
        <f ca="1">RANK(AD7,AD$4:AD$12,1)+INDEX($E$4:$E$12,MATCH(AB7,$F$4:$F$12,0))/100+ROW()/10000</f>
        <v>1.0607</v>
      </c>
      <c r="AF7" s="613">
        <f t="shared" ca="1" si="22"/>
        <v>4</v>
      </c>
      <c r="AG7" s="615" t="str">
        <f t="shared" ca="1" si="9"/>
        <v/>
      </c>
      <c r="AH7" s="616" t="str">
        <f t="shared" ca="1" si="23"/>
        <v/>
      </c>
      <c r="AI7" s="617">
        <f t="shared" ca="1" si="24"/>
        <v>99999</v>
      </c>
      <c r="AJ7" s="613">
        <f ca="1">RANK(AI7,AI$4:AI$12,1)+INDEX($E$4:$E$12,MATCH(AG7,$F$4:$F$12,0))/100+ROW()/10000</f>
        <v>1.0607</v>
      </c>
      <c r="AK7" s="618">
        <f t="shared" ca="1" si="25"/>
        <v>4</v>
      </c>
      <c r="AL7" s="616" t="str">
        <f t="shared" ca="1" si="10"/>
        <v/>
      </c>
      <c r="AM7" s="616" t="str">
        <f t="shared" ca="1" si="26"/>
        <v/>
      </c>
      <c r="AN7" s="617">
        <f t="shared" ca="1" si="27"/>
        <v>99999</v>
      </c>
      <c r="AO7" s="613">
        <f ca="1">RANK(AN7,AN$4:AN$12,1)+INDEX($E$4:$E$12,MATCH(AL7,$F$4:$F$12,0))/100+ROW()/10000</f>
        <v>1.0607</v>
      </c>
      <c r="AP7" s="618">
        <f t="shared" ca="1" si="28"/>
        <v>4</v>
      </c>
    </row>
    <row r="8" spans="1:42" s="2" customFormat="1" x14ac:dyDescent="0.2">
      <c r="A8" s="242"/>
      <c r="B8" s="1">
        <v>5</v>
      </c>
      <c r="C8" s="22">
        <f t="shared" ca="1" si="11"/>
        <v>4</v>
      </c>
      <c r="D8" s="13">
        <f t="shared" ca="1" si="12"/>
        <v>4.008</v>
      </c>
      <c r="E8" s="255">
        <f t="shared" ca="1" si="13"/>
        <v>4</v>
      </c>
      <c r="F8" s="1" t="str">
        <f t="shared" si="14"/>
        <v>FC Grönlingen</v>
      </c>
      <c r="G8" s="1">
        <f t="shared" ca="1" si="1"/>
        <v>4</v>
      </c>
      <c r="H8" s="1">
        <f t="shared" ca="1" si="2"/>
        <v>10</v>
      </c>
      <c r="I8" s="13">
        <f t="shared" ca="1" si="3"/>
        <v>-6</v>
      </c>
      <c r="J8" s="1">
        <f t="shared" ca="1" si="15"/>
        <v>2</v>
      </c>
      <c r="K8" s="1">
        <f t="shared" ca="1" si="4"/>
        <v>4</v>
      </c>
      <c r="L8" s="1">
        <f t="shared" ca="1" si="5"/>
        <v>0</v>
      </c>
      <c r="M8" s="1">
        <f t="shared" ca="1" si="6"/>
        <v>2</v>
      </c>
      <c r="N8" s="1">
        <f t="shared" ca="1" si="7"/>
        <v>2</v>
      </c>
      <c r="P8" s="25"/>
      <c r="W8" s="615" t="str">
        <f t="shared" ca="1" si="16"/>
        <v/>
      </c>
      <c r="X8" s="616" t="str">
        <f t="shared" ca="1" si="17"/>
        <v/>
      </c>
      <c r="Y8" s="613">
        <f t="shared" ca="1" si="18"/>
        <v>99999</v>
      </c>
      <c r="Z8" s="613">
        <f t="shared" ref="Z8:Z12" ca="1" si="29">RANK(Y8,Y$4:Y$12,1)+INDEX($E$4:$E$12,MATCH(W8,$F$4:$F$12,0))/100+ROW()/10000</f>
        <v>1.0608</v>
      </c>
      <c r="AA8" s="618">
        <f t="shared" ca="1" si="19"/>
        <v>5</v>
      </c>
      <c r="AB8" s="615" t="str">
        <f t="shared" ca="1" si="8"/>
        <v/>
      </c>
      <c r="AC8" s="616" t="str">
        <f t="shared" ca="1" si="20"/>
        <v/>
      </c>
      <c r="AD8" s="617">
        <f t="shared" ca="1" si="21"/>
        <v>99999</v>
      </c>
      <c r="AE8" s="613">
        <f t="shared" ref="AE8:AE12" ca="1" si="30">RANK(AD8,AD$4:AD$12,1)+INDEX($E$4:$E$12,MATCH(AB8,$F$4:$F$12,0))/100+ROW()/10000</f>
        <v>1.0608</v>
      </c>
      <c r="AF8" s="613">
        <f t="shared" ca="1" si="22"/>
        <v>5</v>
      </c>
      <c r="AG8" s="615" t="str">
        <f t="shared" ca="1" si="9"/>
        <v/>
      </c>
      <c r="AH8" s="616" t="str">
        <f t="shared" ca="1" si="23"/>
        <v/>
      </c>
      <c r="AI8" s="617">
        <f t="shared" ca="1" si="24"/>
        <v>99999</v>
      </c>
      <c r="AJ8" s="613">
        <f t="shared" ref="AJ8:AJ12" ca="1" si="31">RANK(AI8,AI$4:AI$12,1)+INDEX($E$4:$E$12,MATCH(AG8,$F$4:$F$12,0))/100+ROW()/10000</f>
        <v>1.0608</v>
      </c>
      <c r="AK8" s="618">
        <f t="shared" ca="1" si="25"/>
        <v>5</v>
      </c>
      <c r="AL8" s="616" t="str">
        <f t="shared" ca="1" si="10"/>
        <v/>
      </c>
      <c r="AM8" s="616" t="str">
        <f t="shared" ca="1" si="26"/>
        <v/>
      </c>
      <c r="AN8" s="617">
        <f t="shared" ca="1" si="27"/>
        <v>99999</v>
      </c>
      <c r="AO8" s="613">
        <f t="shared" ref="AO8:AO12" ca="1" si="32">RANK(AN8,AN$4:AN$12,1)+INDEX($E$4:$E$12,MATCH(AL8,$F$4:$F$12,0))/100+ROW()/10000</f>
        <v>1.0608</v>
      </c>
      <c r="AP8" s="618">
        <f t="shared" ca="1" si="28"/>
        <v>5</v>
      </c>
    </row>
    <row r="9" spans="1:42" s="2" customFormat="1" x14ac:dyDescent="0.2">
      <c r="A9" s="242"/>
      <c r="B9" s="1">
        <v>6</v>
      </c>
      <c r="C9" s="22">
        <f t="shared" ca="1" si="11"/>
        <v>6</v>
      </c>
      <c r="D9" s="13">
        <f t="shared" ca="1" si="12"/>
        <v>16.009</v>
      </c>
      <c r="E9" s="255">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15" t="str">
        <f t="shared" ca="1" si="16"/>
        <v/>
      </c>
      <c r="X9" s="616" t="str">
        <f t="shared" ca="1" si="17"/>
        <v/>
      </c>
      <c r="Y9" s="613">
        <f t="shared" ca="1" si="18"/>
        <v>99999</v>
      </c>
      <c r="Z9" s="613">
        <f t="shared" ca="1" si="29"/>
        <v>1.0609</v>
      </c>
      <c r="AA9" s="618">
        <f t="shared" ca="1" si="19"/>
        <v>6</v>
      </c>
      <c r="AB9" s="615" t="str">
        <f t="shared" ca="1" si="8"/>
        <v/>
      </c>
      <c r="AC9" s="616" t="str">
        <f t="shared" ca="1" si="20"/>
        <v/>
      </c>
      <c r="AD9" s="617">
        <f t="shared" ca="1" si="21"/>
        <v>99999</v>
      </c>
      <c r="AE9" s="613">
        <f t="shared" ca="1" si="30"/>
        <v>1.0609</v>
      </c>
      <c r="AF9" s="613">
        <f t="shared" ca="1" si="22"/>
        <v>6</v>
      </c>
      <c r="AG9" s="615" t="str">
        <f t="shared" ca="1" si="9"/>
        <v/>
      </c>
      <c r="AH9" s="616" t="str">
        <f t="shared" ca="1" si="23"/>
        <v/>
      </c>
      <c r="AI9" s="617">
        <f t="shared" ca="1" si="24"/>
        <v>99999</v>
      </c>
      <c r="AJ9" s="613">
        <f t="shared" ca="1" si="31"/>
        <v>1.0609</v>
      </c>
      <c r="AK9" s="618">
        <f t="shared" ca="1" si="25"/>
        <v>6</v>
      </c>
      <c r="AL9" s="616" t="str">
        <f t="shared" ca="1" si="10"/>
        <v/>
      </c>
      <c r="AM9" s="616" t="str">
        <f t="shared" ca="1" si="26"/>
        <v/>
      </c>
      <c r="AN9" s="617">
        <f t="shared" ca="1" si="27"/>
        <v>99999</v>
      </c>
      <c r="AO9" s="613">
        <f t="shared" ca="1" si="32"/>
        <v>1.0609</v>
      </c>
      <c r="AP9" s="618">
        <f t="shared" ca="1" si="28"/>
        <v>6</v>
      </c>
    </row>
    <row r="10" spans="1:42" s="2" customFormat="1" x14ac:dyDescent="0.2">
      <c r="A10" s="242"/>
      <c r="B10" s="1">
        <v>7</v>
      </c>
      <c r="C10" s="22">
        <f t="shared" ca="1" si="11"/>
        <v>7</v>
      </c>
      <c r="D10" s="13">
        <f t="shared" ca="1" si="12"/>
        <v>17.009999999999998</v>
      </c>
      <c r="E10" s="255">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15" t="str">
        <f t="shared" ca="1" si="16"/>
        <v/>
      </c>
      <c r="X10" s="616" t="str">
        <f t="shared" ca="1" si="17"/>
        <v/>
      </c>
      <c r="Y10" s="613">
        <f t="shared" ca="1" si="18"/>
        <v>99999</v>
      </c>
      <c r="Z10" s="613">
        <f t="shared" ca="1" si="29"/>
        <v>1.0609999999999999</v>
      </c>
      <c r="AA10" s="618">
        <f t="shared" ca="1" si="19"/>
        <v>7</v>
      </c>
      <c r="AB10" s="615" t="str">
        <f t="shared" ca="1" si="8"/>
        <v/>
      </c>
      <c r="AC10" s="616" t="str">
        <f t="shared" ca="1" si="20"/>
        <v/>
      </c>
      <c r="AD10" s="617">
        <f t="shared" ca="1" si="21"/>
        <v>99999</v>
      </c>
      <c r="AE10" s="613">
        <f t="shared" ca="1" si="30"/>
        <v>1.0609999999999999</v>
      </c>
      <c r="AF10" s="613">
        <f t="shared" ca="1" si="22"/>
        <v>7</v>
      </c>
      <c r="AG10" s="615" t="str">
        <f t="shared" ca="1" si="9"/>
        <v/>
      </c>
      <c r="AH10" s="616" t="str">
        <f t="shared" ca="1" si="23"/>
        <v/>
      </c>
      <c r="AI10" s="617">
        <f t="shared" ca="1" si="24"/>
        <v>99999</v>
      </c>
      <c r="AJ10" s="613">
        <f t="shared" ca="1" si="31"/>
        <v>1.0609999999999999</v>
      </c>
      <c r="AK10" s="618">
        <f t="shared" ca="1" si="25"/>
        <v>7</v>
      </c>
      <c r="AL10" s="616" t="str">
        <f t="shared" ca="1" si="10"/>
        <v/>
      </c>
      <c r="AM10" s="616" t="str">
        <f t="shared" ca="1" si="26"/>
        <v/>
      </c>
      <c r="AN10" s="617">
        <f t="shared" ca="1" si="27"/>
        <v>99999</v>
      </c>
      <c r="AO10" s="613">
        <f t="shared" ca="1" si="32"/>
        <v>1.0609999999999999</v>
      </c>
      <c r="AP10" s="618">
        <f t="shared" ca="1" si="28"/>
        <v>7</v>
      </c>
    </row>
    <row r="11" spans="1:42" s="2" customFormat="1" x14ac:dyDescent="0.2">
      <c r="A11" s="242"/>
      <c r="B11" s="1">
        <v>8</v>
      </c>
      <c r="C11" s="22">
        <f t="shared" ca="1" si="11"/>
        <v>8</v>
      </c>
      <c r="D11" s="13">
        <f t="shared" ca="1" si="12"/>
        <v>17.010999999999999</v>
      </c>
      <c r="E11" s="255">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5" t="str">
        <f t="shared" ca="1" si="16"/>
        <v/>
      </c>
      <c r="X11" s="616" t="str">
        <f t="shared" ca="1" si="17"/>
        <v/>
      </c>
      <c r="Y11" s="613">
        <f t="shared" ca="1" si="18"/>
        <v>99999</v>
      </c>
      <c r="Z11" s="613">
        <f t="shared" ca="1" si="29"/>
        <v>1.0611000000000002</v>
      </c>
      <c r="AA11" s="618">
        <f t="shared" ca="1" si="19"/>
        <v>8</v>
      </c>
      <c r="AB11" s="615" t="str">
        <f t="shared" ca="1" si="8"/>
        <v/>
      </c>
      <c r="AC11" s="616" t="str">
        <f t="shared" ca="1" si="20"/>
        <v/>
      </c>
      <c r="AD11" s="617">
        <f t="shared" ca="1" si="21"/>
        <v>99999</v>
      </c>
      <c r="AE11" s="613">
        <f t="shared" ca="1" si="30"/>
        <v>1.0611000000000002</v>
      </c>
      <c r="AF11" s="613">
        <f t="shared" ca="1" si="22"/>
        <v>8</v>
      </c>
      <c r="AG11" s="615" t="str">
        <f t="shared" ca="1" si="9"/>
        <v/>
      </c>
      <c r="AH11" s="616" t="str">
        <f t="shared" ca="1" si="23"/>
        <v/>
      </c>
      <c r="AI11" s="617">
        <f t="shared" ca="1" si="24"/>
        <v>99999</v>
      </c>
      <c r="AJ11" s="613">
        <f t="shared" ca="1" si="31"/>
        <v>1.0611000000000002</v>
      </c>
      <c r="AK11" s="618">
        <f t="shared" ca="1" si="25"/>
        <v>8</v>
      </c>
      <c r="AL11" s="616" t="str">
        <f t="shared" ca="1" si="10"/>
        <v/>
      </c>
      <c r="AM11" s="616" t="str">
        <f t="shared" ca="1" si="26"/>
        <v/>
      </c>
      <c r="AN11" s="617">
        <f t="shared" ca="1" si="27"/>
        <v>99999</v>
      </c>
      <c r="AO11" s="613">
        <f t="shared" ca="1" si="32"/>
        <v>1.0611000000000002</v>
      </c>
      <c r="AP11" s="618">
        <f t="shared" ca="1" si="28"/>
        <v>8</v>
      </c>
    </row>
    <row r="12" spans="1:42" s="2" customFormat="1" ht="12.75" thickBot="1" x14ac:dyDescent="0.25">
      <c r="A12" s="242"/>
      <c r="B12" s="1">
        <v>9</v>
      </c>
      <c r="C12" s="23">
        <f t="shared" ca="1" si="11"/>
        <v>9</v>
      </c>
      <c r="D12" s="13">
        <f t="shared" ca="1" si="12"/>
        <v>17.012</v>
      </c>
      <c r="E12" s="255">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19" t="str">
        <f t="shared" ca="1" si="16"/>
        <v/>
      </c>
      <c r="X12" s="620" t="str">
        <f t="shared" ca="1" si="17"/>
        <v/>
      </c>
      <c r="Y12" s="621">
        <f t="shared" ca="1" si="18"/>
        <v>99999</v>
      </c>
      <c r="Z12" s="621">
        <f t="shared" ca="1" si="29"/>
        <v>1.0612000000000001</v>
      </c>
      <c r="AA12" s="622">
        <f t="shared" ca="1" si="19"/>
        <v>9</v>
      </c>
      <c r="AB12" s="619" t="str">
        <f t="shared" ca="1" si="8"/>
        <v/>
      </c>
      <c r="AC12" s="620" t="str">
        <f t="shared" ca="1" si="20"/>
        <v/>
      </c>
      <c r="AD12" s="623">
        <f t="shared" ca="1" si="21"/>
        <v>99999</v>
      </c>
      <c r="AE12" s="621">
        <f t="shared" ca="1" si="30"/>
        <v>1.0612000000000001</v>
      </c>
      <c r="AF12" s="621">
        <f t="shared" ca="1" si="22"/>
        <v>9</v>
      </c>
      <c r="AG12" s="619" t="str">
        <f t="shared" ca="1" si="9"/>
        <v/>
      </c>
      <c r="AH12" s="620" t="str">
        <f t="shared" ca="1" si="23"/>
        <v/>
      </c>
      <c r="AI12" s="623">
        <f t="shared" ca="1" si="24"/>
        <v>99999</v>
      </c>
      <c r="AJ12" s="621">
        <f t="shared" ca="1" si="31"/>
        <v>1.0612000000000001</v>
      </c>
      <c r="AK12" s="622">
        <f t="shared" ca="1" si="25"/>
        <v>9</v>
      </c>
      <c r="AL12" s="620" t="str">
        <f t="shared" ca="1" si="10"/>
        <v/>
      </c>
      <c r="AM12" s="620" t="str">
        <f t="shared" ca="1" si="26"/>
        <v/>
      </c>
      <c r="AN12" s="623">
        <f t="shared" ca="1" si="27"/>
        <v>99999</v>
      </c>
      <c r="AO12" s="621">
        <f t="shared" ca="1" si="32"/>
        <v>1.0612000000000001</v>
      </c>
      <c r="AP12" s="622">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0" t="s">
        <v>190</v>
      </c>
      <c r="AE15" s="851"/>
      <c r="AF15" s="851"/>
      <c r="AG15" s="851"/>
      <c r="AH15" s="852"/>
      <c r="AI15" s="2" t="b">
        <f>(Einstellungen!$B$9=Sprache!$E$76)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$Q64</f>
        <v>Mainz 05</v>
      </c>
      <c r="D17" s="1">
        <f t="shared" ref="D17:G25" ca="1" si="33">K4</f>
        <v>4</v>
      </c>
      <c r="E17" s="1">
        <f t="shared" ca="1" si="33"/>
        <v>1</v>
      </c>
      <c r="F17" s="1">
        <f t="shared" ca="1" si="33"/>
        <v>2</v>
      </c>
      <c r="G17" s="1">
        <f t="shared" ca="1" si="33"/>
        <v>1</v>
      </c>
      <c r="H17" s="1">
        <f t="shared" ref="H17:K25" ca="1" si="34">G4</f>
        <v>5</v>
      </c>
      <c r="I17" s="1">
        <f t="shared" ca="1" si="34"/>
        <v>7</v>
      </c>
      <c r="J17" s="13">
        <f t="shared" ca="1" si="34"/>
        <v>-2</v>
      </c>
      <c r="K17" s="1">
        <f t="shared" ca="1" si="34"/>
        <v>5</v>
      </c>
      <c r="L17" s="30">
        <f t="shared" ref="L17:L25" ca="1" si="35">K17*$F$64+(J17+$H$65)*$F$65+H17*$F$66</f>
        <v>5498005</v>
      </c>
      <c r="M17" s="14">
        <f ca="1">IF($AI$15,COUNTIF($K$17:$K$25,K17),COUNTIF($L$17:$L$25,L17))</f>
        <v>1</v>
      </c>
      <c r="N17" s="14">
        <f t="array" aca="1" ref="N17" ca="1">IF($AI$15,SUM(($K$17:$K$25&gt;=K17)/COUNTIF($K$17:$K$25,$K$17:$K$25)),SUM(($L$17:$L$25&gt;=L17)/COUNTIF($L$17:$L$25,$L$17:$L$25)))</f>
        <v>3</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3.0108999999999999</v>
      </c>
      <c r="Y17" s="13">
        <f>Vorrunde!$AI22</f>
        <v>0</v>
      </c>
      <c r="Z17" s="1">
        <f ca="1">RANK($W17,$W$17:$W$25)+(9-$Y17)/10</f>
        <v>1.9</v>
      </c>
      <c r="AA17" s="1">
        <f ca="1">SUM(E30:BP30)</f>
        <v>0</v>
      </c>
      <c r="AB17" s="1">
        <f ca="1">SUM(E41:BP41)</f>
        <v>0</v>
      </c>
      <c r="AC17" s="1">
        <f ca="1">SUM(E52:BP52)</f>
        <v>0</v>
      </c>
      <c r="AD17" s="249">
        <f ca="1">RANK($K17,$K$17:$K$25)</f>
        <v>3</v>
      </c>
      <c r="AE17" s="30">
        <f t="shared" ref="AE17:AE22" ca="1" si="45">(J17+$H$65)*$F$65+H17*$F$66</f>
        <v>498005</v>
      </c>
      <c r="AF17" s="1">
        <f ca="1">RANK($AE17,$AE$17:$AE$25)</f>
        <v>4</v>
      </c>
      <c r="AG17" s="1">
        <f ca="1">RANK($W17,$W$17:$W$25)</f>
        <v>1</v>
      </c>
      <c r="AH17" s="251">
        <f ca="1">AD17+AG17/100+AF17/10000+(10-Y17)/1000000</f>
        <v>3.0104099999999998</v>
      </c>
      <c r="AI17" s="1"/>
    </row>
    <row r="18" spans="2:80" s="2" customFormat="1" x14ac:dyDescent="0.2">
      <c r="C18" s="2" t="str">
        <f t="shared" ref="C18:C25" si="46">$Q65</f>
        <v>Inter Mailand</v>
      </c>
      <c r="D18" s="1">
        <f t="shared" ca="1" si="33"/>
        <v>4</v>
      </c>
      <c r="E18" s="1">
        <f t="shared" ca="1" si="33"/>
        <v>2</v>
      </c>
      <c r="F18" s="1">
        <f t="shared" ca="1" si="33"/>
        <v>1</v>
      </c>
      <c r="G18" s="1">
        <f t="shared" ca="1" si="33"/>
        <v>1</v>
      </c>
      <c r="H18" s="1">
        <f t="shared" ca="1" si="34"/>
        <v>7</v>
      </c>
      <c r="I18" s="1">
        <f t="shared" ca="1" si="34"/>
        <v>6</v>
      </c>
      <c r="J18" s="13">
        <f t="shared" ca="1" si="34"/>
        <v>1</v>
      </c>
      <c r="K18" s="1">
        <f t="shared" ca="1" si="34"/>
        <v>7</v>
      </c>
      <c r="L18" s="30">
        <f t="shared" ca="1" si="35"/>
        <v>7501007</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Vorrunde!$AI23</f>
        <v>0</v>
      </c>
      <c r="Z18" s="1">
        <f t="shared" ref="Z18:Z25" ca="1" si="49">RANK($W18,$W$17:$W$25)+(9-$Y18)/10</f>
        <v>1.9</v>
      </c>
      <c r="AA18" s="1">
        <f t="shared" ref="AA18:AA25" ca="1" si="50">SUM(E31:BP31)</f>
        <v>0</v>
      </c>
      <c r="AB18" s="1">
        <f t="shared" ref="AB18:AB25" ca="1" si="51">SUM(E42:BP42)</f>
        <v>0</v>
      </c>
      <c r="AC18" s="1">
        <f t="shared" ref="AC18:AC25" ca="1" si="52">SUM(E53:BP53)</f>
        <v>0</v>
      </c>
      <c r="AD18" s="249">
        <f t="shared" ref="AD18:AD25" ca="1" si="53">RANK($K18,$K$17:$K$25)</f>
        <v>2</v>
      </c>
      <c r="AE18" s="30">
        <f t="shared" ca="1" si="45"/>
        <v>501007</v>
      </c>
      <c r="AF18" s="1">
        <f t="shared" ref="AF18:AF25" ca="1" si="54">RANK($AE18,$AE$17:$AE$25)</f>
        <v>2</v>
      </c>
      <c r="AG18" s="1">
        <f t="shared" ref="AG18:AG25" ca="1" si="55">RANK($W18,$W$17:$W$25)</f>
        <v>1</v>
      </c>
      <c r="AH18" s="252">
        <f t="shared" ref="AH18:AH25" ca="1" si="56">AD18+AG18/100+AF18/10000+(10-Y18)/1000000</f>
        <v>2.0102099999999998</v>
      </c>
      <c r="AI18" s="1"/>
    </row>
    <row r="19" spans="2:80" s="2" customFormat="1" x14ac:dyDescent="0.2">
      <c r="C19" s="2" t="str">
        <f t="shared" si="46"/>
        <v>SSV Wildbach</v>
      </c>
      <c r="D19" s="1">
        <f t="shared" ca="1" si="33"/>
        <v>4</v>
      </c>
      <c r="E19" s="1">
        <f t="shared" ca="1" si="33"/>
        <v>0</v>
      </c>
      <c r="F19" s="1">
        <f t="shared" ca="1" si="33"/>
        <v>1</v>
      </c>
      <c r="G19" s="1">
        <f t="shared" ca="1" si="33"/>
        <v>3</v>
      </c>
      <c r="H19" s="1">
        <f t="shared" ca="1" si="34"/>
        <v>4</v>
      </c>
      <c r="I19" s="1">
        <f t="shared" ca="1" si="34"/>
        <v>10</v>
      </c>
      <c r="J19" s="13">
        <f t="shared" ca="1" si="34"/>
        <v>-6</v>
      </c>
      <c r="K19" s="1">
        <f t="shared" ca="1" si="34"/>
        <v>1</v>
      </c>
      <c r="L19" s="30">
        <f t="shared" ca="1" si="35"/>
        <v>1494004</v>
      </c>
      <c r="M19" s="14">
        <f t="shared" ca="1" si="47"/>
        <v>1</v>
      </c>
      <c r="N19" s="14">
        <f t="array" aca="1" ref="N19" ca="1">IF($AI$15,SUM(($K$17:$K$25&gt;=K19)/COUNTIF($K$17:$K$25,$K$17:$K$25)),SUM(($L$17:$L$25&gt;=L19)/COUNTIF($L$17:$L$25,$L$17:$L$25)))</f>
        <v>5</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5.0108999999999995</v>
      </c>
      <c r="Y19" s="13">
        <f>Vorrunde!$AI24</f>
        <v>0</v>
      </c>
      <c r="Z19" s="1">
        <f t="shared" ca="1" si="49"/>
        <v>1.9</v>
      </c>
      <c r="AA19" s="1">
        <f t="shared" ca="1" si="50"/>
        <v>0</v>
      </c>
      <c r="AB19" s="1">
        <f t="shared" ca="1" si="51"/>
        <v>0</v>
      </c>
      <c r="AC19" s="1">
        <f t="shared" ca="1" si="52"/>
        <v>0</v>
      </c>
      <c r="AD19" s="249">
        <f t="shared" ca="1" si="53"/>
        <v>5</v>
      </c>
      <c r="AE19" s="30">
        <f t="shared" ca="1" si="45"/>
        <v>494004</v>
      </c>
      <c r="AF19" s="1">
        <f t="shared" ca="1" si="54"/>
        <v>5</v>
      </c>
      <c r="AG19" s="1">
        <f t="shared" ca="1" si="55"/>
        <v>1</v>
      </c>
      <c r="AH19" s="252">
        <f t="shared" ca="1" si="56"/>
        <v>5.0105099999999991</v>
      </c>
      <c r="AI19" s="1"/>
    </row>
    <row r="20" spans="2:80" s="2" customFormat="1" x14ac:dyDescent="0.2">
      <c r="C20" s="2" t="str">
        <f t="shared" si="46"/>
        <v>Manchester City</v>
      </c>
      <c r="D20" s="1">
        <f t="shared" ca="1" si="33"/>
        <v>4</v>
      </c>
      <c r="E20" s="1">
        <f t="shared" ca="1" si="33"/>
        <v>4</v>
      </c>
      <c r="F20" s="1">
        <f t="shared" ca="1" si="33"/>
        <v>0</v>
      </c>
      <c r="G20" s="1">
        <f t="shared" ca="1" si="33"/>
        <v>0</v>
      </c>
      <c r="H20" s="1">
        <f t="shared" ca="1" si="34"/>
        <v>18</v>
      </c>
      <c r="I20" s="1">
        <f t="shared" ca="1" si="34"/>
        <v>5</v>
      </c>
      <c r="J20" s="13">
        <f t="shared" ca="1" si="34"/>
        <v>13</v>
      </c>
      <c r="K20" s="1">
        <f t="shared" ca="1" si="34"/>
        <v>12</v>
      </c>
      <c r="L20" s="30">
        <f t="shared" ca="1" si="35"/>
        <v>12513018</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1.0108999999999999</v>
      </c>
      <c r="Y20" s="13">
        <f>Vorrunde!$AI25</f>
        <v>0</v>
      </c>
      <c r="Z20" s="1">
        <f t="shared" ca="1" si="49"/>
        <v>1.9</v>
      </c>
      <c r="AA20" s="1">
        <f t="shared" ca="1" si="50"/>
        <v>0</v>
      </c>
      <c r="AB20" s="1">
        <f t="shared" ca="1" si="51"/>
        <v>0</v>
      </c>
      <c r="AC20" s="1">
        <f t="shared" ca="1" si="52"/>
        <v>0</v>
      </c>
      <c r="AD20" s="249">
        <f t="shared" ca="1" si="53"/>
        <v>1</v>
      </c>
      <c r="AE20" s="30">
        <f t="shared" ca="1" si="45"/>
        <v>513018</v>
      </c>
      <c r="AF20" s="1">
        <f t="shared" ca="1" si="54"/>
        <v>1</v>
      </c>
      <c r="AG20" s="1">
        <f t="shared" ca="1" si="55"/>
        <v>1</v>
      </c>
      <c r="AH20" s="252">
        <f t="shared" ca="1" si="56"/>
        <v>1.0101100000000001</v>
      </c>
      <c r="AI20" s="1"/>
    </row>
    <row r="21" spans="2:80" s="2" customFormat="1" x14ac:dyDescent="0.2">
      <c r="C21" s="2" t="str">
        <f t="shared" si="46"/>
        <v>FC Grönlingen</v>
      </c>
      <c r="D21" s="1">
        <f t="shared" ca="1" si="33"/>
        <v>4</v>
      </c>
      <c r="E21" s="1">
        <f t="shared" ca="1" si="33"/>
        <v>0</v>
      </c>
      <c r="F21" s="1">
        <f t="shared" ca="1" si="33"/>
        <v>2</v>
      </c>
      <c r="G21" s="1">
        <f t="shared" ca="1" si="33"/>
        <v>2</v>
      </c>
      <c r="H21" s="1">
        <f t="shared" ca="1" si="34"/>
        <v>4</v>
      </c>
      <c r="I21" s="1">
        <f t="shared" ca="1" si="34"/>
        <v>10</v>
      </c>
      <c r="J21" s="13">
        <f t="shared" ca="1" si="34"/>
        <v>-6</v>
      </c>
      <c r="K21" s="1">
        <f t="shared" ca="1" si="34"/>
        <v>2</v>
      </c>
      <c r="L21" s="30">
        <f t="shared" ca="1" si="35"/>
        <v>2494004</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Vorrunde!$AI26</f>
        <v>0</v>
      </c>
      <c r="Z21" s="1">
        <f t="shared" ca="1" si="49"/>
        <v>1.9</v>
      </c>
      <c r="AA21" s="1">
        <f t="shared" ca="1" si="50"/>
        <v>0</v>
      </c>
      <c r="AB21" s="1">
        <f t="shared" ca="1" si="51"/>
        <v>0</v>
      </c>
      <c r="AC21" s="1">
        <f t="shared" ca="1" si="52"/>
        <v>0</v>
      </c>
      <c r="AD21" s="249">
        <f t="shared" ca="1" si="53"/>
        <v>4</v>
      </c>
      <c r="AE21" s="30">
        <f t="shared" ca="1" si="45"/>
        <v>494004</v>
      </c>
      <c r="AF21" s="1">
        <f t="shared" ca="1" si="54"/>
        <v>5</v>
      </c>
      <c r="AG21" s="1">
        <f t="shared" ca="1" si="55"/>
        <v>1</v>
      </c>
      <c r="AH21" s="252">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Vorrunde!$AI27</f>
        <v>0</v>
      </c>
      <c r="Z22" s="1">
        <f t="shared" ca="1" si="49"/>
        <v>1.9</v>
      </c>
      <c r="AA22" s="1">
        <f t="shared" ca="1" si="50"/>
        <v>0</v>
      </c>
      <c r="AB22" s="1">
        <f t="shared" ca="1" si="51"/>
        <v>0</v>
      </c>
      <c r="AC22" s="1">
        <f t="shared" ca="1" si="52"/>
        <v>0</v>
      </c>
      <c r="AD22" s="249">
        <f t="shared" ca="1" si="53"/>
        <v>6</v>
      </c>
      <c r="AE22" s="30">
        <f t="shared" ca="1" si="45"/>
        <v>500000</v>
      </c>
      <c r="AF22" s="1">
        <f t="shared" ca="1" si="54"/>
        <v>3</v>
      </c>
      <c r="AG22" s="1">
        <f t="shared" ca="1" si="55"/>
        <v>1</v>
      </c>
      <c r="AH22" s="252">
        <f t="shared" ca="1" si="56"/>
        <v>6.0103099999999996</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9">
        <f t="shared" ca="1" si="53"/>
        <v>6</v>
      </c>
      <c r="AE23" s="30">
        <v>0</v>
      </c>
      <c r="AF23" s="1">
        <f t="shared" ca="1" si="54"/>
        <v>7</v>
      </c>
      <c r="AG23" s="1">
        <f t="shared" ca="1" si="55"/>
        <v>7</v>
      </c>
      <c r="AH23" s="252">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9">
        <f t="shared" ca="1" si="53"/>
        <v>6</v>
      </c>
      <c r="AE24" s="30">
        <v>0</v>
      </c>
      <c r="AF24" s="1">
        <f t="shared" ca="1" si="54"/>
        <v>7</v>
      </c>
      <c r="AG24" s="1">
        <f t="shared" ca="1" si="55"/>
        <v>7</v>
      </c>
      <c r="AH24" s="252">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9">
        <f t="shared" ca="1" si="53"/>
        <v>6</v>
      </c>
      <c r="AE25" s="30">
        <v>0</v>
      </c>
      <c r="AF25" s="1">
        <f t="shared" ca="1" si="54"/>
        <v>7</v>
      </c>
      <c r="AG25" s="1">
        <f t="shared" ca="1" si="55"/>
        <v>7</v>
      </c>
      <c r="AH25" s="253">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7">
        <v>1</v>
      </c>
      <c r="F29" s="854"/>
      <c r="G29" s="854"/>
      <c r="H29" s="854"/>
      <c r="I29" s="854"/>
      <c r="J29" s="854"/>
      <c r="K29" s="854"/>
      <c r="L29" s="856"/>
      <c r="M29" s="853">
        <v>2</v>
      </c>
      <c r="N29" s="854"/>
      <c r="O29" s="854"/>
      <c r="P29" s="854"/>
      <c r="Q29" s="854"/>
      <c r="R29" s="854"/>
      <c r="S29" s="854"/>
      <c r="T29" s="856"/>
      <c r="U29" s="853">
        <v>3</v>
      </c>
      <c r="V29" s="854"/>
      <c r="W29" s="854"/>
      <c r="X29" s="854"/>
      <c r="Y29" s="854"/>
      <c r="Z29" s="854"/>
      <c r="AA29" s="854"/>
      <c r="AB29" s="856"/>
      <c r="AC29" s="853">
        <v>4</v>
      </c>
      <c r="AD29" s="854"/>
      <c r="AE29" s="854"/>
      <c r="AF29" s="854"/>
      <c r="AG29" s="854"/>
      <c r="AH29" s="854"/>
      <c r="AI29" s="854"/>
      <c r="AJ29" s="856"/>
      <c r="AK29" s="853">
        <v>5</v>
      </c>
      <c r="AL29" s="854"/>
      <c r="AM29" s="854"/>
      <c r="AN29" s="854"/>
      <c r="AO29" s="854"/>
      <c r="AP29" s="854"/>
      <c r="AQ29" s="854"/>
      <c r="AR29" s="856"/>
      <c r="AS29" s="853">
        <v>6</v>
      </c>
      <c r="AT29" s="854"/>
      <c r="AU29" s="854"/>
      <c r="AV29" s="854"/>
      <c r="AW29" s="854"/>
      <c r="AX29" s="854"/>
      <c r="AY29" s="854"/>
      <c r="AZ29" s="856"/>
      <c r="BA29" s="853">
        <v>7</v>
      </c>
      <c r="BB29" s="854"/>
      <c r="BC29" s="854"/>
      <c r="BD29" s="854"/>
      <c r="BE29" s="854"/>
      <c r="BF29" s="854"/>
      <c r="BG29" s="854"/>
      <c r="BH29" s="856"/>
      <c r="BI29" s="853">
        <v>8</v>
      </c>
      <c r="BJ29" s="854"/>
      <c r="BK29" s="854"/>
      <c r="BL29" s="854"/>
      <c r="BM29" s="854"/>
      <c r="BN29" s="854"/>
      <c r="BO29" s="854"/>
      <c r="BP29" s="855"/>
      <c r="BQ29" s="13"/>
      <c r="BR29" s="5" t="s">
        <v>96</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1</v>
      </c>
      <c r="BU30" s="8">
        <f t="shared" ca="1" si="58"/>
        <v>2</v>
      </c>
      <c r="BV30" s="8">
        <f t="shared" ca="1" si="58"/>
        <v>2</v>
      </c>
      <c r="BW30" s="8">
        <f t="shared" ca="1" si="58"/>
        <v>0</v>
      </c>
      <c r="BX30" s="8">
        <f t="shared" ca="1" si="58"/>
        <v>0</v>
      </c>
      <c r="BY30" s="8">
        <f t="shared" ca="1" si="58"/>
        <v>0</v>
      </c>
      <c r="BZ30" s="8">
        <f t="shared" ca="1" si="58"/>
        <v>0</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1</v>
      </c>
      <c r="BT31" s="7"/>
      <c r="BU31" s="8">
        <f t="shared" ca="1" si="58"/>
        <v>2</v>
      </c>
      <c r="BV31" s="8">
        <f t="shared" ca="1" si="58"/>
        <v>0</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0</v>
      </c>
      <c r="BT32" s="9">
        <f t="shared" ca="1" si="60"/>
        <v>1</v>
      </c>
      <c r="BU32" s="7"/>
      <c r="BV32" s="8">
        <f t="shared" ca="1" si="58"/>
        <v>2</v>
      </c>
      <c r="BW32" s="8">
        <f t="shared" ca="1" si="58"/>
        <v>1</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6</v>
      </c>
      <c r="BT33" s="9">
        <f t="shared" ca="1" si="60"/>
        <v>2</v>
      </c>
      <c r="BU33" s="9">
        <f t="shared" ca="1" si="60"/>
        <v>5</v>
      </c>
      <c r="BV33" s="7"/>
      <c r="BW33" s="8">
        <f ca="1">SUMIFS($X$64:$X$135,$V$64:$V$135,$BR33,$W$64:$W$135,BW$29)+SUMIFS($Y$64:$Y$135,$W$64:$W$135,$BR33,$V$64:$V$135,BW$29)</f>
        <v>5</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0</v>
      </c>
      <c r="BT34" s="9">
        <f t="shared" ca="1" si="60"/>
        <v>2</v>
      </c>
      <c r="BU34" s="9">
        <f t="shared" ca="1" si="60"/>
        <v>1</v>
      </c>
      <c r="BV34" s="9">
        <f ca="1">SUMIFS($X$64:$X$135,$V$64:$V$135,$BR34,$W$64:$W$135,BV$29)+SUMIFS($Y$64:$Y$135,$W$64:$W$135,$BR34,$V$64:$V$135,BV$29)</f>
        <v>1</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0</v>
      </c>
      <c r="BU41" s="8">
        <f ca="1">BU30-BS32</f>
        <v>2</v>
      </c>
      <c r="BV41" s="8">
        <f ca="1">BV30-BS33</f>
        <v>-4</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0</v>
      </c>
      <c r="BT42" s="7"/>
      <c r="BU42" s="8">
        <f ca="1">BU31-BT32</f>
        <v>1</v>
      </c>
      <c r="BV42" s="8">
        <f ca="1">BV31-BT33</f>
        <v>-2</v>
      </c>
      <c r="BW42" s="8">
        <f ca="1">BW31-BT34</f>
        <v>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-2</v>
      </c>
      <c r="BT43" s="9">
        <f ca="1">IF(BU42="","",-1*BU42)</f>
        <v>-1</v>
      </c>
      <c r="BU43" s="7"/>
      <c r="BV43" s="8">
        <f ca="1">BV32-BU33</f>
        <v>-3</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4</v>
      </c>
      <c r="BT44" s="9">
        <f ca="1">IF(BV42="","",-1*BV42)</f>
        <v>2</v>
      </c>
      <c r="BU44" s="9">
        <f ca="1">IF(BV43="","",-1*BV43)</f>
        <v>3</v>
      </c>
      <c r="BV44" s="7"/>
      <c r="BW44" s="8">
        <f ca="1">BW33-BV34</f>
        <v>4</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0</v>
      </c>
      <c r="BT45" s="9">
        <f ca="1">IF(BW42="","",-1*BW42)</f>
        <v>-2</v>
      </c>
      <c r="BU45" s="9">
        <f ca="1">IF(BW43="","",-1*BW43)</f>
        <v>0</v>
      </c>
      <c r="BV45" s="9">
        <f ca="1">IF(BW44="","",-1*BW44)</f>
        <v>-4</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1</v>
      </c>
      <c r="BU52" s="8">
        <f t="shared" ca="1" si="64"/>
        <v>3</v>
      </c>
      <c r="BV52" s="8">
        <f t="shared" ca="1" si="64"/>
        <v>0</v>
      </c>
      <c r="BW52" s="8">
        <f t="shared" ca="1" si="64"/>
        <v>1</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1</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0</v>
      </c>
      <c r="BT54" s="9">
        <f t="shared" ca="1" si="65"/>
        <v>0</v>
      </c>
      <c r="BU54" s="7"/>
      <c r="BV54" s="8">
        <f ca="1">SUMIFS($AE$64:$AE$135,$V$64:$V$135,$BR54,$W$64:$W$135,BV$51)+SUMIFS($AF$64:$AF$135,$W$64:$W$135,$BR54,$V$64:$V$135,BV$51)</f>
        <v>0</v>
      </c>
      <c r="BW54" s="8">
        <f ca="1">SUMIFS($AE$64:$AE$135,$V$64:$V$135,$BR54,$W$64:$W$135,BW$51)+SUMIFS($AF$64:$AF$135,$W$64:$W$135,$BR54,$V$64:$V$135,BW$51)</f>
        <v>1</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3</v>
      </c>
      <c r="BT55" s="9">
        <f t="shared" ca="1" si="65"/>
        <v>3</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1</v>
      </c>
      <c r="BT56" s="9">
        <f t="shared" ca="1" si="65"/>
        <v>0</v>
      </c>
      <c r="BU56" s="9">
        <f t="shared" ca="1" si="65"/>
        <v>1</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280" t="s">
        <v>163</v>
      </c>
      <c r="AD63" s="164" t="s">
        <v>161</v>
      </c>
      <c r="AE63" s="847" t="s">
        <v>112</v>
      </c>
      <c r="AF63" s="847"/>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IF(Planung!$C$24="","",Planung!$C$24)</f>
        <v>Mainz 05</v>
      </c>
      <c r="U64" s="66" t="s">
        <v>7</v>
      </c>
      <c r="V64" s="40" t="str">
        <f ca="1">Planung!$L6</f>
        <v>VFB Essenheim</v>
      </c>
      <c r="W64" s="33" t="str">
        <f ca="1">Planung!$N6</f>
        <v>FC Barcelona</v>
      </c>
      <c r="X64" s="33">
        <f ca="1">IF(AND(Vorrunde!$I12&lt;&gt;"",Vorrunde!$K12&lt;&gt;"",Vorrunde!$F12&lt;&gt;Vorrunde!$H12,$V64&lt;&gt;"",$W64&lt;&gt;""),Vorrunde!$I12,"")</f>
        <v>2</v>
      </c>
      <c r="Y64" s="34">
        <f ca="1">IF(AND(Vorrunde!$I12&lt;&gt;"",Vorrunde!$K12&lt;&gt;"",Vorrunde!$F12&lt;&gt;Vorrunde!$H12,$V64&lt;&gt;"",$W64&lt;&gt;""),Vorrunde!$K12,"")</f>
        <v>6</v>
      </c>
      <c r="Z64" s="32" t="str">
        <f ca="1">V64&amp;W64</f>
        <v>VFB EssenheimFC Barcelona</v>
      </c>
      <c r="AA64" s="33">
        <f ca="1">IF(AND(V64&lt;&gt;"",W64&lt;&gt;"",V64&lt;&gt;W64,X64&lt;&gt;"",Y64&lt;&gt;""),1,0)</f>
        <v>1</v>
      </c>
      <c r="AB64" s="142" t="str">
        <f ca="1">IF(AA64&gt;0,X64&amp;Sprache!$E$71&amp;Y64,"")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IF(Planung!$C$26="","",Planung!$C$26)</f>
        <v>Inter Mailand</v>
      </c>
      <c r="U65" s="67" t="s">
        <v>8</v>
      </c>
      <c r="V65" s="41" t="str">
        <f ca="1">Planung!$L7</f>
        <v>FC Grönlingen</v>
      </c>
      <c r="W65" s="13" t="str">
        <f ca="1">Planung!$N7</f>
        <v>Inter Mailand</v>
      </c>
      <c r="X65" s="13">
        <f ca="1">IF(AND(Vorrunde!$I13&lt;&gt;"",Vorrunde!$K13&lt;&gt;"",Vorrunde!$F13&lt;&gt;Vorrunde!$H13,$V65&lt;&gt;"",$W65&lt;&gt;""),Vorrunde!$I13,"")</f>
        <v>2</v>
      </c>
      <c r="Y65" s="36">
        <f ca="1">IF(AND(Vorrunde!$I13&lt;&gt;"",Vorrunde!$K13&lt;&gt;"",Vorrunde!$F13&lt;&gt;Vorrunde!$H13,$V65&lt;&gt;"",$W65&lt;&gt;""),Vorrunde!$K13,"")</f>
        <v>4</v>
      </c>
      <c r="Z65" s="35" t="str">
        <f t="shared" ref="Z65:Z73" ca="1" si="66">V65&amp;W65</f>
        <v>FC GrönlingenInter Mailand</v>
      </c>
      <c r="AA65" s="13">
        <f t="shared" ref="AA65:AA128" ca="1" si="67">IF(AND(V65&lt;&gt;"",W65&lt;&gt;"",V65&lt;&gt;W65,X65&lt;&gt;"",Y65&lt;&gt;""),1,0)</f>
        <v>1</v>
      </c>
      <c r="AB65" s="13" t="str">
        <f ca="1">IF(AA65&gt;0,X65&amp;Sprache!$E$71&amp;Y65,"")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IF(Planung!$C$28="","",Planung!$C$28)</f>
        <v>SSV Wildbach</v>
      </c>
      <c r="U66" s="67" t="s">
        <v>9</v>
      </c>
      <c r="V66" s="41" t="str">
        <f ca="1">Planung!$L8</f>
        <v>Eintracht Frankfurt</v>
      </c>
      <c r="W66" s="13" t="str">
        <f ca="1">Planung!$N8</f>
        <v>Maibach 1822 eV</v>
      </c>
      <c r="X66" s="13">
        <f ca="1">IF(AND(Vorrunde!$I14&lt;&gt;"",Vorrunde!$K14&lt;&gt;"",Vorrunde!$F14&lt;&gt;Vorrunde!$H14,$V66&lt;&gt;"",$W66&lt;&gt;""),Vorrunde!$I14,"")</f>
        <v>4</v>
      </c>
      <c r="Y66" s="36">
        <f ca="1">IF(AND(Vorrunde!$I14&lt;&gt;"",Vorrunde!$K14&lt;&gt;"",Vorrunde!$F14&lt;&gt;Vorrunde!$H14,$V66&lt;&gt;"",$W66&lt;&gt;""),Vorrunde!$K14,"")</f>
        <v>1</v>
      </c>
      <c r="Z66" s="35" t="str">
        <f t="shared" ca="1" si="66"/>
        <v>Eintracht FrankfurtMaibach 1822 eV</v>
      </c>
      <c r="AA66" s="13">
        <f t="shared" ca="1" si="67"/>
        <v>1</v>
      </c>
      <c r="AB66" s="13" t="str">
        <f ca="1">IF(AA66&gt;0,X66&amp;Sprache!$E$71&amp;Y66,"")</f>
        <v>4:1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IF(Planung!$C$30="","",Planung!$C$30)</f>
        <v>Manchester City</v>
      </c>
      <c r="U67" s="67" t="s">
        <v>10</v>
      </c>
      <c r="V67" s="41" t="str">
        <f ca="1">Planung!$L9</f>
        <v>SSV Wildbach</v>
      </c>
      <c r="W67" s="13" t="str">
        <f ca="1">Planung!$N9</f>
        <v>Manchester City</v>
      </c>
      <c r="X67" s="13">
        <f ca="1">IF(AND(Vorrunde!$I15&lt;&gt;"",Vorrunde!$K15&lt;&gt;"",Vorrunde!$F15&lt;&gt;Vorrunde!$H15,$V67&lt;&gt;"",$W67&lt;&gt;""),Vorrunde!$I15,"")</f>
        <v>2</v>
      </c>
      <c r="Y67" s="36">
        <f ca="1">IF(AND(Vorrunde!$I15&lt;&gt;"",Vorrunde!$K15&lt;&gt;"",Vorrunde!$F15&lt;&gt;Vorrunde!$H15,$V67&lt;&gt;"",$W67&lt;&gt;""),Vorrunde!$K15,"")</f>
        <v>5</v>
      </c>
      <c r="Z67" s="35" t="str">
        <f t="shared" ca="1" si="66"/>
        <v>SSV WildbachManchester City</v>
      </c>
      <c r="AA67" s="13">
        <f t="shared" ca="1" si="67"/>
        <v>1</v>
      </c>
      <c r="AB67" s="13" t="str">
        <f ca="1">IF(AA67&gt;0,X67&amp;Sprache!$E$71&amp;Y67,"")</f>
        <v>2:5</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t="s">
        <v>11</v>
      </c>
      <c r="Q68" s="62" t="str">
        <f>IF(Planung!$C$32="","",Planung!$C$32)</f>
        <v>FC Grönlingen</v>
      </c>
      <c r="U68" s="67" t="s">
        <v>11</v>
      </c>
      <c r="V68" s="41" t="str">
        <f ca="1">Planung!$L10</f>
        <v>VFB Essenheim</v>
      </c>
      <c r="W68" s="13" t="str">
        <f ca="1">Planung!$N10</f>
        <v>1. FC Riedwald</v>
      </c>
      <c r="X68" s="13">
        <f ca="1">IF(AND(Vorrunde!$I16&lt;&gt;"",Vorrunde!$K16&lt;&gt;"",Vorrunde!$F16&lt;&gt;Vorrunde!$H16,$V68&lt;&gt;"",$W68&lt;&gt;""),Vorrunde!$I16,"")</f>
        <v>2</v>
      </c>
      <c r="Y68" s="36">
        <f ca="1">IF(AND(Vorrunde!$I16&lt;&gt;"",Vorrunde!$K16&lt;&gt;"",Vorrunde!$F16&lt;&gt;Vorrunde!$H16,$V68&lt;&gt;"",$W68&lt;&gt;""),Vorrunde!$K16,"")</f>
        <v>2</v>
      </c>
      <c r="Z68" s="35" t="str">
        <f t="shared" ca="1" si="66"/>
        <v>VFB Essenheim1. FC Riedwald</v>
      </c>
      <c r="AA68" s="13">
        <f t="shared" ca="1" si="67"/>
        <v>1</v>
      </c>
      <c r="AB68" s="13" t="str">
        <f ca="1">IF(AA68&gt;0,X68&amp;Sprache!$E$71&amp;Y68,"")</f>
        <v>2:2</v>
      </c>
      <c r="AD68" s="144"/>
      <c r="AE68" s="149">
        <f ca="1">IF($AA68=0,"",IF($X68&gt;$Y68,Einstellungen!$C$4,IF($X68=$Y68,1,0)))</f>
        <v>1</v>
      </c>
      <c r="AF68" s="144">
        <f ca="1">IF($AA68=0,"",IF($X68&lt;$Y68,Einstellungen!$C$4,IF($X68=$Y68,1,0)))</f>
        <v>1</v>
      </c>
      <c r="AH68" s="4"/>
      <c r="AI68" s="13"/>
      <c r="AJ68" s="13"/>
      <c r="AK68" s="13"/>
      <c r="AL68" s="4"/>
      <c r="AM68" s="13"/>
      <c r="AN68" s="13"/>
      <c r="AO68" s="13"/>
      <c r="AP68" s="13"/>
      <c r="AQ68" s="13"/>
    </row>
    <row r="69" spans="2:43" s="2" customFormat="1" x14ac:dyDescent="0.2">
      <c r="P69" s="47" t="s">
        <v>12</v>
      </c>
      <c r="Q69" s="62" t="str">
        <f>IF(Planung!$C$34="","",Planung!$C$34)</f>
        <v/>
      </c>
      <c r="U69" s="67" t="s">
        <v>12</v>
      </c>
      <c r="V69" s="41" t="str">
        <f ca="1">Planung!$L11</f>
        <v>FC Grönlingen</v>
      </c>
      <c r="W69" s="13" t="str">
        <f ca="1">Planung!$N11</f>
        <v>Mainz 05</v>
      </c>
      <c r="X69" s="13">
        <f ca="1">IF(AND(Vorrunde!$I17&lt;&gt;"",Vorrunde!$K17&lt;&gt;"",Vorrunde!$F17&lt;&gt;Vorrunde!$H17,$V69&lt;&gt;"",$W69&lt;&gt;""),Vorrunde!$I17,"")</f>
        <v>0</v>
      </c>
      <c r="Y69" s="36">
        <f ca="1">IF(AND(Vorrunde!$I17&lt;&gt;"",Vorrunde!$K17&lt;&gt;"",Vorrunde!$F17&lt;&gt;Vorrunde!$H17,$V69&lt;&gt;"",$W69&lt;&gt;""),Vorrunde!$K17,"")</f>
        <v>0</v>
      </c>
      <c r="Z69" s="35" t="str">
        <f t="shared" ca="1" si="66"/>
        <v>FC GrönlingenMainz 05</v>
      </c>
      <c r="AA69" s="13">
        <f t="shared" ca="1" si="67"/>
        <v>1</v>
      </c>
      <c r="AB69" s="13" t="str">
        <f ca="1">IF(AA69&gt;0,X69&amp;Sprache!$E$71&amp;Y69,"")</f>
        <v>0:0</v>
      </c>
      <c r="AD69" s="144"/>
      <c r="AE69" s="149">
        <f ca="1">IF($AA69=0,"",IF($X69&gt;$Y69,Einstellungen!$C$4,IF($X69=$Y69,1,0)))</f>
        <v>1</v>
      </c>
      <c r="AF69" s="144">
        <f ca="1">IF($AA69=0,"",IF($X69&lt;$Y69,Einstellungen!$C$4,IF($X69=$Y69,1,0)))</f>
        <v>1</v>
      </c>
      <c r="AH69" s="4"/>
      <c r="AI69" s="13"/>
      <c r="AJ69" s="13"/>
      <c r="AK69" s="13"/>
      <c r="AL69" s="13"/>
      <c r="AM69" s="4"/>
      <c r="AN69" s="13"/>
      <c r="AO69" s="13"/>
      <c r="AP69" s="13"/>
      <c r="AQ69" s="13"/>
    </row>
    <row r="70" spans="2:43" s="2" customFormat="1" x14ac:dyDescent="0.2">
      <c r="P70" s="47"/>
      <c r="Q70" s="62" t="str">
        <f>""</f>
        <v/>
      </c>
      <c r="U70" s="67" t="s">
        <v>17</v>
      </c>
      <c r="V70" s="41" t="str">
        <f ca="1">Planung!$L12</f>
        <v>FC Barcelona</v>
      </c>
      <c r="W70" s="13" t="str">
        <f ca="1">Planung!$N12</f>
        <v>Eintracht Frankfurt</v>
      </c>
      <c r="X70" s="13">
        <f ca="1">IF(AND(Vorrunde!$I18&lt;&gt;"",Vorrunde!$K18&lt;&gt;"",Vorrunde!$F18&lt;&gt;Vorrunde!$H18,$V70&lt;&gt;"",$W70&lt;&gt;""),Vorrunde!$I18,"")</f>
        <v>2</v>
      </c>
      <c r="Y70" s="36">
        <f ca="1">IF(AND(Vorrunde!$I18&lt;&gt;"",Vorrunde!$K18&lt;&gt;"",Vorrunde!$F18&lt;&gt;Vorrunde!$H18,$V70&lt;&gt;"",$W70&lt;&gt;""),Vorrunde!$K18,"")</f>
        <v>1</v>
      </c>
      <c r="Z70" s="35" t="str">
        <f t="shared" ca="1" si="66"/>
        <v>FC BarcelonaEintracht Frankfurt</v>
      </c>
      <c r="AA70" s="13">
        <f t="shared" ca="1" si="67"/>
        <v>1</v>
      </c>
      <c r="AB70" s="13" t="str">
        <f ca="1">IF(AA70&gt;0,X70&amp;Sprache!$E$71&amp;Y70,"")</f>
        <v>2:1</v>
      </c>
      <c r="AD70" s="144"/>
      <c r="AE70" s="149">
        <f ca="1">IF($AA70=0,"",IF($X70&gt;$Y70,Einstellungen!$C$4,IF($X70=$Y70,1,0)))</f>
        <v>3</v>
      </c>
      <c r="AF70" s="144">
        <f ca="1">IF($AA70=0,"",IF($X70&lt;$Y70,Einstellungen!$C$4,IF($X70=$Y70,1,0)))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Planung!$L13</f>
        <v>Inter Mailand</v>
      </c>
      <c r="W71" s="13" t="str">
        <f ca="1">Planung!$N13</f>
        <v>SSV Wildbach</v>
      </c>
      <c r="X71" s="13">
        <f ca="1">IF(AND(Vorrunde!$I19&lt;&gt;"",Vorrunde!$K19&lt;&gt;"",Vorrunde!$F19&lt;&gt;Vorrunde!$H19,$V71&lt;&gt;"",$W71&lt;&gt;""),Vorrunde!$I19,"")</f>
        <v>2</v>
      </c>
      <c r="Y71" s="36">
        <f ca="1">IF(AND(Vorrunde!$I19&lt;&gt;"",Vorrunde!$K19&lt;&gt;"",Vorrunde!$F19&lt;&gt;Vorrunde!$H19,$V71&lt;&gt;"",$W71&lt;&gt;""),Vorrunde!$K19,"")</f>
        <v>1</v>
      </c>
      <c r="Z71" s="35" t="str">
        <f t="shared" ca="1" si="66"/>
        <v>Inter MailandSSV Wildbach</v>
      </c>
      <c r="AA71" s="13">
        <f t="shared" ca="1" si="67"/>
        <v>1</v>
      </c>
      <c r="AB71" s="13" t="str">
        <f ca="1">IF(AA71&gt;0,X71&amp;Sprache!$E$71&amp;Y71,"")</f>
        <v>2:1</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Planung!$L14</f>
        <v>1. FC Riedwald</v>
      </c>
      <c r="W72" s="13" t="str">
        <f ca="1">Planung!$N14</f>
        <v>Maibach 1822 eV</v>
      </c>
      <c r="X72" s="13">
        <f ca="1">IF(AND(Vorrunde!$I20&lt;&gt;"",Vorrunde!$K20&lt;&gt;"",Vorrunde!$F20&lt;&gt;Vorrunde!$H20,$V72&lt;&gt;"",$W72&lt;&gt;""),Vorrunde!$I20,"")</f>
        <v>2</v>
      </c>
      <c r="Y72" s="36">
        <f ca="1">IF(AND(Vorrunde!$I20&lt;&gt;"",Vorrunde!$K20&lt;&gt;"",Vorrunde!$F20&lt;&gt;Vorrunde!$H20,$V72&lt;&gt;"",$W72&lt;&gt;""),Vorrunde!$K20,"")</f>
        <v>0</v>
      </c>
      <c r="Z72" s="35" t="str">
        <f t="shared" ca="1" si="66"/>
        <v>1. FC RiedwaldMaibach 1822 eV</v>
      </c>
      <c r="AA72" s="13">
        <f t="shared" ca="1" si="67"/>
        <v>1</v>
      </c>
      <c r="AB72" s="13" t="str">
        <f ca="1">IF(AA72&gt;0,X72&amp;Sprache!$E$71&amp;Y72,"")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Mainz 05</v>
      </c>
      <c r="W73" s="13" t="str">
        <f ca="1">Planung!$N15</f>
        <v>Manchester City</v>
      </c>
      <c r="X73" s="13">
        <f ca="1">IF(AND(Vorrunde!$I21&lt;&gt;"",Vorrunde!$K21&lt;&gt;"",Vorrunde!$F21&lt;&gt;Vorrunde!$H21,$V73&lt;&gt;"",$W73&lt;&gt;""),Vorrunde!$I21,"")</f>
        <v>2</v>
      </c>
      <c r="Y73" s="36">
        <f ca="1">IF(AND(Vorrunde!$I21&lt;&gt;"",Vorrunde!$K21&lt;&gt;"",Vorrunde!$F21&lt;&gt;Vorrunde!$H21,$V73&lt;&gt;"",$W73&lt;&gt;""),Vorrunde!$K21,"")</f>
        <v>6</v>
      </c>
      <c r="Z73" s="35" t="str">
        <f t="shared" ca="1" si="66"/>
        <v>Mainz 05Manchester City</v>
      </c>
      <c r="AA73" s="13">
        <f t="shared" ca="1" si="67"/>
        <v>1</v>
      </c>
      <c r="AB73" s="13" t="str">
        <f ca="1">IF(AA73&gt;0,X73&amp;Sprache!$E$71&amp;Y73,"")</f>
        <v>2:6</v>
      </c>
      <c r="AD73" s="144"/>
      <c r="AE73" s="149">
        <f ca="1">IF($AA73=0,"",IF($X73&gt;$Y73,Einstellungen!$C$4,IF($X73=$Y73,1,0)))</f>
        <v>0</v>
      </c>
      <c r="AF73" s="144">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Eintracht Frankfurt</v>
      </c>
      <c r="W74" s="13" t="str">
        <f ca="1">Planung!$N16</f>
        <v>VFB Essenheim</v>
      </c>
      <c r="X74" s="13">
        <f ca="1">IF(AND(Vorrunde!$I22&lt;&gt;"",Vorrunde!$K22&lt;&gt;"",Vorrunde!$F22&lt;&gt;Vorrunde!$H22,$V74&lt;&gt;"",$W74&lt;&gt;""),Vorrunde!$I22,"")</f>
        <v>3</v>
      </c>
      <c r="Y74" s="36">
        <f ca="1">IF(AND(Vorrunde!$I22&lt;&gt;"",Vorrunde!$K22&lt;&gt;"",Vorrunde!$F22&lt;&gt;Vorrunde!$H22,$V74&lt;&gt;"",$W74&lt;&gt;""),Vorrunde!$K22,"")</f>
        <v>2</v>
      </c>
      <c r="Z74" s="35" t="str">
        <f ca="1">V74&amp;W74</f>
        <v>Eintracht FrankfurtVFB Essenheim</v>
      </c>
      <c r="AA74" s="13">
        <f t="shared" ca="1" si="67"/>
        <v>1</v>
      </c>
      <c r="AB74" s="13" t="str">
        <f ca="1">IF(AA74&gt;0,X74&amp;Sprache!$E$71&amp;Y74,"")</f>
        <v>3:2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SSV Wildbach</v>
      </c>
      <c r="W75" s="13" t="str">
        <f ca="1">Planung!$N17</f>
        <v>FC Grönlingen</v>
      </c>
      <c r="X75" s="13">
        <f ca="1">IF(AND(Vorrunde!$I23&lt;&gt;"",Vorrunde!$K23&lt;&gt;"",Vorrunde!$F23&lt;&gt;Vorrunde!$H23,$V75&lt;&gt;"",$W75&lt;&gt;""),Vorrunde!$I23,"")</f>
        <v>1</v>
      </c>
      <c r="Y75" s="36">
        <f ca="1">IF(AND(Vorrunde!$I23&lt;&gt;"",Vorrunde!$K23&lt;&gt;"",Vorrunde!$F23&lt;&gt;Vorrunde!$H23,$V75&lt;&gt;"",$W75&lt;&gt;""),Vorrunde!$K23,"")</f>
        <v>1</v>
      </c>
      <c r="Z75" s="35" t="str">
        <f t="shared" ref="Z75:Z93" ca="1" si="68">V75&amp;W75</f>
        <v>SSV WildbachFC Grönlingen</v>
      </c>
      <c r="AA75" s="13">
        <f t="shared" ca="1" si="67"/>
        <v>1</v>
      </c>
      <c r="AB75" s="13" t="str">
        <f ca="1">IF(AA75&gt;0,X75&amp;Sprache!$E$71&amp;Y75,"")</f>
        <v>1:1</v>
      </c>
      <c r="AD75" s="144"/>
      <c r="AE75" s="149">
        <f ca="1">IF($AA75=0,"",IF($X75&gt;$Y75,Einstellungen!$C$4,IF($X75=$Y75,1,0)))</f>
        <v>1</v>
      </c>
      <c r="AF75" s="144">
        <f ca="1">IF($AA75=0,"",IF($X75&lt;$Y75,Einstellungen!$C$4,IF($X75=$Y75,1,0)))</f>
        <v>1</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Maibach 1822 eV</v>
      </c>
      <c r="X76" s="13">
        <f ca="1">IF(AND(Vorrunde!$I24&lt;&gt;"",Vorrunde!$K24&lt;&gt;"",Vorrunde!$F24&lt;&gt;Vorrunde!$H24,$V76&lt;&gt;"",$W76&lt;&gt;""),Vorrunde!$I24,"")</f>
        <v>6</v>
      </c>
      <c r="Y76" s="36">
        <f ca="1">IF(AND(Vorrunde!$I24&lt;&gt;"",Vorrunde!$K24&lt;&gt;"",Vorrunde!$F24&lt;&gt;Vorrunde!$H24,$V76&lt;&gt;"",$W76&lt;&gt;""),Vorrunde!$K24,"")</f>
        <v>0</v>
      </c>
      <c r="Z76" s="35" t="str">
        <f t="shared" ca="1" si="68"/>
        <v>FC BarcelonaMaibach 1822 eV</v>
      </c>
      <c r="AA76" s="13">
        <f t="shared" ca="1" si="67"/>
        <v>1</v>
      </c>
      <c r="AB76" s="13" t="str">
        <f ca="1">IF(AA76&gt;0,X76&amp;Sprache!$E$71&amp;Y76,"")</f>
        <v>6:0</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Manchester City</v>
      </c>
      <c r="X77" s="13">
        <f ca="1">IF(AND(Vorrunde!$I25&lt;&gt;"",Vorrunde!$K25&lt;&gt;"",Vorrunde!$F25&lt;&gt;Vorrunde!$H25,$V77&lt;&gt;"",$W77&lt;&gt;""),Vorrunde!$I25,"")</f>
        <v>0</v>
      </c>
      <c r="Y77" s="36">
        <f ca="1">IF(AND(Vorrunde!$I25&lt;&gt;"",Vorrunde!$K25&lt;&gt;"",Vorrunde!$F25&lt;&gt;Vorrunde!$H25,$V77&lt;&gt;"",$W77&lt;&gt;""),Vorrunde!$K25,"")</f>
        <v>2</v>
      </c>
      <c r="Z77" s="35" t="str">
        <f t="shared" ca="1" si="68"/>
        <v>Inter MailandManchester City</v>
      </c>
      <c r="AA77" s="13">
        <f t="shared" ca="1" si="67"/>
        <v>1</v>
      </c>
      <c r="AB77" s="13" t="str">
        <f ca="1">IF(AA77&gt;0,X77&amp;Sprache!$E$71&amp;Y77,"")</f>
        <v>0:2</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Planung!$L20</f>
        <v>Eintracht Frankfurt</v>
      </c>
      <c r="W78" s="13" t="str">
        <f ca="1">Planung!$N20</f>
        <v>1. FC Riedwald</v>
      </c>
      <c r="X78" s="13">
        <f ca="1">IF(AND(Vorrunde!$I26&lt;&gt;"",Vorrunde!$K26&lt;&gt;"",Vorrunde!$F26&lt;&gt;Vorrunde!$H26,$V78&lt;&gt;"",$W78&lt;&gt;""),Vorrunde!$I26,"")</f>
        <v>4</v>
      </c>
      <c r="Y78" s="36">
        <f ca="1">IF(AND(Vorrunde!$I26&lt;&gt;"",Vorrunde!$K26&lt;&gt;"",Vorrunde!$F26&lt;&gt;Vorrunde!$H26,$V78&lt;&gt;"",$W78&lt;&gt;""),Vorrunde!$K26,"")</f>
        <v>3</v>
      </c>
      <c r="Z78" s="35" t="str">
        <f t="shared" ca="1" si="68"/>
        <v>Eintracht Frankfurt1. FC Riedwald</v>
      </c>
      <c r="AA78" s="13">
        <f t="shared" ca="1" si="67"/>
        <v>1</v>
      </c>
      <c r="AB78" s="13" t="str">
        <f ca="1">IF(AA78&gt;0,X78&amp;Sprache!$E$71&amp;Y78,"")</f>
        <v>4:3</v>
      </c>
      <c r="AD78" s="144"/>
      <c r="AE78" s="149">
        <f ca="1">IF($AA78=0,"",IF($X78&gt;$Y78,Einstellungen!$C$4,IF($X78=$Y78,1,0)))</f>
        <v>3</v>
      </c>
      <c r="AF78" s="144">
        <f ca="1">IF($AA78=0,"",IF($X78&lt;$Y78,Einstellungen!$C$4,IF($X78=$Y78,1,0)))</f>
        <v>0</v>
      </c>
    </row>
    <row r="79" spans="2:43" s="2" customFormat="1" x14ac:dyDescent="0.2">
      <c r="B79" s="4"/>
      <c r="C79" s="4"/>
      <c r="D79" s="4"/>
      <c r="E79" s="4"/>
      <c r="F79" s="13"/>
      <c r="G79" s="13"/>
      <c r="H79" s="13"/>
      <c r="I79" s="13"/>
      <c r="J79" s="13"/>
      <c r="K79" s="13"/>
      <c r="L79" s="13"/>
      <c r="M79" s="13"/>
      <c r="U79" s="67" t="s">
        <v>31</v>
      </c>
      <c r="V79" s="41" t="str">
        <f ca="1">Planung!$L21</f>
        <v>SSV Wildbach</v>
      </c>
      <c r="W79" s="13" t="str">
        <f ca="1">Planung!$N21</f>
        <v>Mainz 05</v>
      </c>
      <c r="X79" s="13">
        <f ca="1">IF(AND(Vorrunde!$I27&lt;&gt;"",Vorrunde!$K27&lt;&gt;"",Vorrunde!$F27&lt;&gt;Vorrunde!$H27,$V79&lt;&gt;"",$W79&lt;&gt;""),Vorrunde!$I27,"")</f>
        <v>0</v>
      </c>
      <c r="Y79" s="36">
        <f ca="1">IF(AND(Vorrunde!$I27&lt;&gt;"",Vorrunde!$K27&lt;&gt;"",Vorrunde!$F27&lt;&gt;Vorrunde!$H27,$V79&lt;&gt;"",$W79&lt;&gt;""),Vorrunde!$K27,"")</f>
        <v>2</v>
      </c>
      <c r="Z79" s="35" t="str">
        <f t="shared" ca="1" si="68"/>
        <v>SSV WildbachMainz 05</v>
      </c>
      <c r="AA79" s="13">
        <f t="shared" ca="1" si="67"/>
        <v>1</v>
      </c>
      <c r="AB79" s="13" t="str">
        <f ca="1">IF(AA79&gt;0,X79&amp;Sprache!$E$71&amp;Y79,"")</f>
        <v>0:2</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Planung!$L22</f>
        <v>Maibach 1822 eV</v>
      </c>
      <c r="W80" s="13" t="str">
        <f ca="1">Planung!$N22</f>
        <v>VFB Essenheim</v>
      </c>
      <c r="X80" s="13">
        <f ca="1">IF(AND(Vorrunde!$I28&lt;&gt;"",Vorrunde!$K28&lt;&gt;"",Vorrunde!$F28&lt;&gt;Vorrunde!$H28,$V80&lt;&gt;"",$W80&lt;&gt;""),Vorrunde!$I28,"")</f>
        <v>2</v>
      </c>
      <c r="Y80" s="36">
        <f ca="1">IF(AND(Vorrunde!$I28&lt;&gt;"",Vorrunde!$K28&lt;&gt;"",Vorrunde!$F28&lt;&gt;Vorrunde!$H28,$V80&lt;&gt;"",$W80&lt;&gt;""),Vorrunde!$K28,"")</f>
        <v>4</v>
      </c>
      <c r="Z80" s="35" t="str">
        <f t="shared" ca="1" si="68"/>
        <v>Maibach 1822 eVVFB Essenheim</v>
      </c>
      <c r="AA80" s="13">
        <f t="shared" ca="1" si="67"/>
        <v>1</v>
      </c>
      <c r="AB80" s="13" t="str">
        <f ca="1">IF(AA80&gt;0,X80&amp;Sprache!$E$71&amp;Y80,"")</f>
        <v>2:4</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Planung!$L23</f>
        <v>Manchester City</v>
      </c>
      <c r="W81" s="13" t="str">
        <f ca="1">Planung!$N23</f>
        <v>FC Grönlingen</v>
      </c>
      <c r="X81" s="13">
        <f ca="1">IF(AND(Vorrunde!$I29&lt;&gt;"",Vorrunde!$K29&lt;&gt;"",Vorrunde!$F29&lt;&gt;Vorrunde!$H29,$V81&lt;&gt;"",$W81&lt;&gt;""),Vorrunde!$I29,"")</f>
        <v>5</v>
      </c>
      <c r="Y81" s="36">
        <f ca="1">IF(AND(Vorrunde!$I29&lt;&gt;"",Vorrunde!$K29&lt;&gt;"",Vorrunde!$F29&lt;&gt;Vorrunde!$H29,$V81&lt;&gt;"",$W81&lt;&gt;""),Vorrunde!$K29,"")</f>
        <v>1</v>
      </c>
      <c r="Z81" s="35" t="str">
        <f t="shared" ca="1" si="68"/>
        <v>Manchester CityFC Grönlingen</v>
      </c>
      <c r="AA81" s="13">
        <f t="shared" ca="1" si="67"/>
        <v>1</v>
      </c>
      <c r="AB81" s="13" t="str">
        <f ca="1">IF(AA81&gt;0,X81&amp;Sprache!$E$71&amp;Y81,"")</f>
        <v>5:1</v>
      </c>
      <c r="AD81" s="144"/>
      <c r="AE81" s="149">
        <f ca="1">IF($AA81=0,"",IF($X81&gt;$Y81,Einstellungen!$C$4,IF($X81=$Y81,1,0)))</f>
        <v>3</v>
      </c>
      <c r="AF81" s="144">
        <f ca="1">IF($AA81=0,"",IF($X81&lt;$Y81,Einstellungen!$C$4,IF($X81=$Y81,1,0)))</f>
        <v>0</v>
      </c>
    </row>
    <row r="82" spans="2:32" s="2" customFormat="1" x14ac:dyDescent="0.2">
      <c r="B82" s="4"/>
      <c r="C82" s="4"/>
      <c r="D82" s="4"/>
      <c r="E82" s="4"/>
      <c r="F82" s="13"/>
      <c r="G82" s="13"/>
      <c r="H82" s="13"/>
      <c r="I82" s="13"/>
      <c r="J82" s="13"/>
      <c r="K82" s="13"/>
      <c r="L82" s="13"/>
      <c r="M82" s="13"/>
      <c r="U82" s="67" t="s">
        <v>34</v>
      </c>
      <c r="V82" s="41" t="str">
        <f ca="1">Planung!$L24</f>
        <v>1. FC Riedwald</v>
      </c>
      <c r="W82" s="13" t="str">
        <f ca="1">Planung!$N24</f>
        <v>FC Barcelona</v>
      </c>
      <c r="X82" s="13">
        <f ca="1">IF(AND(Vorrunde!$I30&lt;&gt;"",Vorrunde!$K30&lt;&gt;"",Vorrunde!$F30&lt;&gt;Vorrunde!$H30,$V82&lt;&gt;"",$W82&lt;&gt;""),Vorrunde!$I30,"")</f>
        <v>0</v>
      </c>
      <c r="Y82" s="36">
        <f ca="1">IF(AND(Vorrunde!$I30&lt;&gt;"",Vorrunde!$K30&lt;&gt;"",Vorrunde!$F30&lt;&gt;Vorrunde!$H30,$V82&lt;&gt;"",$W82&lt;&gt;""),Vorrunde!$K30,"")</f>
        <v>3</v>
      </c>
      <c r="Z82" s="35" t="str">
        <f t="shared" ca="1" si="68"/>
        <v>1. FC RiedwaldFC Barcelona</v>
      </c>
      <c r="AA82" s="13">
        <f t="shared" ca="1" si="67"/>
        <v>1</v>
      </c>
      <c r="AB82" s="13" t="str">
        <f ca="1">IF(AA82&gt;0,X82&amp;Sprache!$E$71&amp;Y82,"")</f>
        <v>0:3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Planung!$L25</f>
        <v>Mainz 05</v>
      </c>
      <c r="W83" s="13" t="str">
        <f ca="1">Planung!$N25</f>
        <v>Inter Mailand</v>
      </c>
      <c r="X83" s="13">
        <f ca="1">IF(AND(Vorrunde!$I31&lt;&gt;"",Vorrunde!$K31&lt;&gt;"",Vorrunde!$F31&lt;&gt;Vorrunde!$H31,$V83&lt;&gt;"",$W83&lt;&gt;""),Vorrunde!$I31,"")</f>
        <v>1</v>
      </c>
      <c r="Y83" s="36">
        <f ca="1">IF(AND(Vorrunde!$I31&lt;&gt;"",Vorrunde!$K31&lt;&gt;"",Vorrunde!$F31&lt;&gt;Vorrunde!$H31,$V83&lt;&gt;"",$W83&lt;&gt;""),Vorrunde!$K31,"")</f>
        <v>1</v>
      </c>
      <c r="Z83" s="35" t="str">
        <f t="shared" ca="1" si="68"/>
        <v>Mainz 05Inter Mailand</v>
      </c>
      <c r="AA83" s="13">
        <f t="shared" ca="1" si="67"/>
        <v>1</v>
      </c>
      <c r="AB83" s="13" t="str">
        <f ca="1">IF(AA83&gt;0,X83&amp;Sprache!$E$71&amp;Y83,"")</f>
        <v>1:1</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Planung!$L26</f>
        <v/>
      </c>
      <c r="W84" s="13" t="str">
        <f ca="1">Planung!$N26</f>
        <v/>
      </c>
      <c r="X84" s="13" t="str">
        <f ca="1">IF(AND(Vorrunde!$I32&lt;&gt;"",Vorrunde!$K32&lt;&gt;"",Vorrunde!$F32&lt;&gt;Vorrunde!$H32,$V84&lt;&gt;"",$W84&lt;&gt;""),Vorrunde!$I32,"")</f>
        <v/>
      </c>
      <c r="Y84" s="36" t="str">
        <f ca="1">IF(AND(Vorrunde!$I32&lt;&gt;"",Vorrunde!$K32&lt;&gt;"",Vorrunde!$F32&lt;&gt;Vorrunde!$H32,$V84&lt;&gt;"",$W84&lt;&gt;""),Vorrunde!$K32,"")</f>
        <v/>
      </c>
      <c r="Z84" s="35" t="str">
        <f t="shared" ca="1" si="68"/>
        <v/>
      </c>
      <c r="AA84" s="13">
        <f t="shared" ca="1" si="67"/>
        <v>0</v>
      </c>
      <c r="AB84" s="13" t="str">
        <f ca="1">IF(AA84&gt;0,X84&amp;Sprache!$E$71&amp;Y84,"")</f>
        <v/>
      </c>
      <c r="AD84" s="144"/>
      <c r="AE84" s="149" t="str">
        <f ca="1">IF($AA84=0,"",IF($X84&gt;$Y84,Einstellungen!$C$4,IF($X84=$Y84,1,0)))</f>
        <v/>
      </c>
      <c r="AF84" s="144" t="str">
        <f ca="1">IF($AA84=0,"",IF($X84&lt;$Y84,Einstellungen!$C$4,IF($X84=$Y84,1,0)))</f>
        <v/>
      </c>
    </row>
    <row r="85" spans="2:32" s="2" customFormat="1" x14ac:dyDescent="0.2">
      <c r="B85" s="4"/>
      <c r="C85" s="4"/>
      <c r="D85" s="4"/>
      <c r="E85" s="4"/>
      <c r="F85" s="13"/>
      <c r="G85" s="13"/>
      <c r="H85" s="13"/>
      <c r="I85" s="13"/>
      <c r="J85" s="13"/>
      <c r="K85" s="13"/>
      <c r="L85" s="13"/>
      <c r="M85" s="13"/>
      <c r="U85" s="67" t="s">
        <v>37</v>
      </c>
      <c r="V85" s="41" t="str">
        <f ca="1">Planung!$L27</f>
        <v/>
      </c>
      <c r="W85" s="13" t="str">
        <f ca="1">Planung!$N27</f>
        <v/>
      </c>
      <c r="X85" s="13" t="str">
        <f ca="1">IF(AND(Vorrunde!$I33&lt;&gt;"",Vorrunde!$K33&lt;&gt;"",Vorrunde!$F33&lt;&gt;Vorrunde!$H33,$V85&lt;&gt;"",$W85&lt;&gt;""),Vorrunde!$I33,"")</f>
        <v/>
      </c>
      <c r="Y85" s="36" t="str">
        <f ca="1">IF(AND(Vorrunde!$I33&lt;&gt;"",Vorrunde!$K33&lt;&gt;"",Vorrunde!$F33&lt;&gt;Vorrunde!$H33,$V85&lt;&gt;"",$W85&lt;&gt;""),Vorrunde!$K33,"")</f>
        <v/>
      </c>
      <c r="Z85" s="35" t="str">
        <f t="shared" ca="1" si="68"/>
        <v/>
      </c>
      <c r="AA85" s="13">
        <f t="shared" ca="1" si="67"/>
        <v>0</v>
      </c>
      <c r="AB85" s="13" t="str">
        <f ca="1">IF(AA85&gt;0,X85&amp;Sprache!$E$71&amp;Y85,"")</f>
        <v/>
      </c>
      <c r="AD85" s="144"/>
      <c r="AE85" s="149" t="str">
        <f ca="1">IF($AA85=0,"",IF($X85&gt;$Y85,Einstellungen!$C$4,IF($X85=$Y85,1,0)))</f>
        <v/>
      </c>
      <c r="AF85" s="144" t="str">
        <f ca="1">IF($AA85=0,"",IF($X85&lt;$Y85,Einstellungen!$C$4,IF($X85=$Y85,1,0)))</f>
        <v/>
      </c>
    </row>
    <row r="86" spans="2:32" s="2" customFormat="1" x14ac:dyDescent="0.2">
      <c r="B86" s="4"/>
      <c r="C86" s="4"/>
      <c r="D86" s="4"/>
      <c r="E86" s="4"/>
      <c r="F86" s="13"/>
      <c r="G86" s="13"/>
      <c r="H86" s="13"/>
      <c r="I86" s="13"/>
      <c r="J86" s="13"/>
      <c r="K86" s="13"/>
      <c r="L86" s="13"/>
      <c r="M86" s="13"/>
      <c r="U86" s="67" t="s">
        <v>38</v>
      </c>
      <c r="V86" s="41" t="str">
        <f ca="1">Planung!$L28</f>
        <v/>
      </c>
      <c r="W86" s="13" t="str">
        <f ca="1">Planung!$N28</f>
        <v/>
      </c>
      <c r="X86" s="13" t="str">
        <f ca="1">IF(AND(Vorrunde!$I34&lt;&gt;"",Vorrunde!$K34&lt;&gt;"",Vorrunde!$F34&lt;&gt;Vorrunde!$H34,$V86&lt;&gt;"",$W86&lt;&gt;""),Vorrunde!$I34,"")</f>
        <v/>
      </c>
      <c r="Y86" s="36" t="str">
        <f ca="1">IF(AND(Vorrunde!$I34&lt;&gt;"",Vorrunde!$K34&lt;&gt;"",Vorrunde!$F34&lt;&gt;Vorrunde!$H34,$V86&lt;&gt;"",$W86&lt;&gt;""),Vorrunde!$K34,"")</f>
        <v/>
      </c>
      <c r="Z86" s="35" t="str">
        <f t="shared" ca="1" si="68"/>
        <v/>
      </c>
      <c r="AA86" s="13">
        <f t="shared" ca="1" si="67"/>
        <v>0</v>
      </c>
      <c r="AB86" s="13" t="str">
        <f ca="1">IF(AA86&gt;0,X86&amp;Sprache!$E$71&amp;Y86,"")</f>
        <v/>
      </c>
      <c r="AD86" s="144"/>
      <c r="AE86" s="149" t="str">
        <f ca="1">IF($AA86=0,"",IF($X86&gt;$Y86,Einstellungen!$C$4,IF($X86=$Y86,1,0)))</f>
        <v/>
      </c>
      <c r="AF86" s="144" t="str">
        <f ca="1">IF($AA86=0,"",IF($X86&lt;$Y86,Einstellungen!$C$4,IF($X86=$Y86,1,0)))</f>
        <v/>
      </c>
    </row>
    <row r="87" spans="2:32" s="2" customFormat="1" x14ac:dyDescent="0.2">
      <c r="B87" s="4"/>
      <c r="C87" s="4"/>
      <c r="D87" s="4"/>
      <c r="E87" s="4"/>
      <c r="F87" s="13"/>
      <c r="G87" s="13"/>
      <c r="H87" s="13"/>
      <c r="I87" s="13"/>
      <c r="J87" s="13"/>
      <c r="K87" s="13"/>
      <c r="L87" s="13"/>
      <c r="M87" s="13"/>
      <c r="U87" s="67" t="s">
        <v>39</v>
      </c>
      <c r="V87" s="41" t="str">
        <f ca="1">Planung!$L29</f>
        <v/>
      </c>
      <c r="W87" s="13" t="str">
        <f ca="1">Planung!$N29</f>
        <v/>
      </c>
      <c r="X87" s="13" t="str">
        <f ca="1">IF(AND(Vorrunde!$I35&lt;&gt;"",Vorrunde!$K35&lt;&gt;"",Vorrunde!$F35&lt;&gt;Vorrunde!$H35,$V87&lt;&gt;"",$W87&lt;&gt;""),Vorrunde!$I35,"")</f>
        <v/>
      </c>
      <c r="Y87" s="36" t="str">
        <f ca="1">IF(AND(Vorrunde!$I35&lt;&gt;"",Vorrunde!$K35&lt;&gt;"",Vorrunde!$F35&lt;&gt;Vorrunde!$H35,$V87&lt;&gt;"",$W87&lt;&gt;""),Vorrunde!$K35,"")</f>
        <v/>
      </c>
      <c r="Z87" s="35" t="str">
        <f t="shared" ca="1" si="68"/>
        <v/>
      </c>
      <c r="AA87" s="13">
        <f t="shared" ca="1" si="67"/>
        <v>0</v>
      </c>
      <c r="AB87" s="13" t="str">
        <f ca="1">IF(AA87&gt;0,X87&amp;Sprache!$E$71&amp;Y87,"")</f>
        <v/>
      </c>
      <c r="AD87" s="144"/>
      <c r="AE87" s="149" t="str">
        <f ca="1">IF($AA87=0,"",IF($X87&gt;$Y87,Einstellungen!$C$4,IF($X87=$Y87,1,0)))</f>
        <v/>
      </c>
      <c r="AF87" s="144" t="str">
        <f ca="1">IF($AA87=0,"",IF($X87&lt;$Y87,Einstellungen!$C$4,IF($X87=$Y87,1,0)))</f>
        <v/>
      </c>
    </row>
    <row r="88" spans="2:32" s="2" customFormat="1" x14ac:dyDescent="0.2">
      <c r="B88" s="4"/>
      <c r="C88" s="4"/>
      <c r="D88" s="4"/>
      <c r="E88" s="4"/>
      <c r="F88" s="13"/>
      <c r="G88" s="13"/>
      <c r="H88" s="13"/>
      <c r="I88" s="13"/>
      <c r="J88" s="13"/>
      <c r="K88" s="13"/>
      <c r="L88" s="13"/>
      <c r="M88" s="13"/>
      <c r="U88" s="67" t="s">
        <v>40</v>
      </c>
      <c r="V88" s="41" t="str">
        <f ca="1">Planung!$L30</f>
        <v/>
      </c>
      <c r="W88" s="13" t="str">
        <f ca="1">Planung!$N30</f>
        <v/>
      </c>
      <c r="X88" s="13" t="str">
        <f ca="1">IF(AND(Vorrunde!$I36&lt;&gt;"",Vorrunde!$K36&lt;&gt;"",Vorrunde!$F36&lt;&gt;Vorrunde!$H36,$V88&lt;&gt;"",$W88&lt;&gt;""),Vorrunde!$I36,"")</f>
        <v/>
      </c>
      <c r="Y88" s="36" t="str">
        <f ca="1">IF(AND(Vorrunde!$I36&lt;&gt;"",Vorrunde!$K36&lt;&gt;"",Vorrunde!$F36&lt;&gt;Vorrunde!$H36,$V88&lt;&gt;"",$W88&lt;&gt;""),Vorrunde!$K36,"")</f>
        <v/>
      </c>
      <c r="Z88" s="35" t="str">
        <f t="shared" ca="1" si="68"/>
        <v/>
      </c>
      <c r="AA88" s="13">
        <f t="shared" ca="1" si="67"/>
        <v>0</v>
      </c>
      <c r="AB88" s="13" t="str">
        <f ca="1">IF(AA88&gt;0,X88&amp;Sprache!$E$71&amp;Y88,"")</f>
        <v/>
      </c>
      <c r="AD88" s="144"/>
      <c r="AE88" s="149" t="str">
        <f ca="1">IF($AA88=0,"",IF($X88&gt;$Y88,Einstellungen!$C$4,IF($X88=$Y88,1,0)))</f>
        <v/>
      </c>
      <c r="AF88" s="144"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Planung!$L31</f>
        <v/>
      </c>
      <c r="W89" s="13" t="str">
        <f ca="1">Planung!$N31</f>
        <v/>
      </c>
      <c r="X89" s="13" t="str">
        <f ca="1">IF(AND(Vorrunde!$I37&lt;&gt;"",Vorrunde!$K37&lt;&gt;"",Vorrunde!$F37&lt;&gt;Vorrunde!$H37,$V89&lt;&gt;"",$W89&lt;&gt;""),Vorrunde!$I37,"")</f>
        <v/>
      </c>
      <c r="Y89" s="36" t="str">
        <f ca="1">IF(AND(Vorrunde!$I37&lt;&gt;"",Vorrunde!$K37&lt;&gt;"",Vorrunde!$F37&lt;&gt;Vorrunde!$H37,$V89&lt;&gt;"",$W89&lt;&gt;""),Vorrunde!$K37,"")</f>
        <v/>
      </c>
      <c r="Z89" s="35" t="str">
        <f t="shared" ca="1" si="68"/>
        <v/>
      </c>
      <c r="AA89" s="13">
        <f t="shared" ca="1" si="67"/>
        <v>0</v>
      </c>
      <c r="AB89" s="13" t="str">
        <f ca="1">IF(AA89&gt;0,X89&amp;Sprache!$E$71&amp;Y89,"")</f>
        <v/>
      </c>
      <c r="AD89" s="144"/>
      <c r="AE89" s="149" t="str">
        <f ca="1">IF($AA89=0,"",IF($X89&gt;$Y89,Einstellungen!$C$4,IF($X89=$Y89,1,0)))</f>
        <v/>
      </c>
      <c r="AF89" s="144" t="str">
        <f ca="1">IF($AA89=0,"",IF($X89&lt;$Y89,Einstellungen!$C$4,IF($X89=$Y89,1,0)))</f>
        <v/>
      </c>
    </row>
    <row r="90" spans="2:32" s="2" customFormat="1" x14ac:dyDescent="0.2">
      <c r="B90" s="4"/>
      <c r="C90" s="4"/>
      <c r="D90" s="4"/>
      <c r="E90" s="4"/>
      <c r="F90" s="13"/>
      <c r="G90" s="13"/>
      <c r="H90" s="13"/>
      <c r="I90" s="13"/>
      <c r="J90" s="13"/>
      <c r="K90" s="13"/>
      <c r="L90" s="13"/>
      <c r="M90" s="13"/>
      <c r="U90" s="67" t="s">
        <v>42</v>
      </c>
      <c r="V90" s="41" t="str">
        <f ca="1">Planung!$L32</f>
        <v/>
      </c>
      <c r="W90" s="13" t="str">
        <f ca="1">Planung!$N32</f>
        <v/>
      </c>
      <c r="X90" s="13" t="str">
        <f ca="1">IF(AND(Vorrunde!$I38&lt;&gt;"",Vorrunde!$K38&lt;&gt;"",Vorrunde!$F38&lt;&gt;Vorrunde!$H38,$V90&lt;&gt;"",$W90&lt;&gt;""),Vorrunde!$I38,"")</f>
        <v/>
      </c>
      <c r="Y90" s="36" t="str">
        <f ca="1">IF(AND(Vorrunde!$I38&lt;&gt;"",Vorrunde!$K38&lt;&gt;"",Vorrunde!$F38&lt;&gt;Vorrunde!$H38,$V90&lt;&gt;"",$W90&lt;&gt;""),Vorrunde!$K38,"")</f>
        <v/>
      </c>
      <c r="Z90" s="35" t="str">
        <f t="shared" ca="1" si="68"/>
        <v/>
      </c>
      <c r="AA90" s="13">
        <f t="shared" ca="1" si="67"/>
        <v>0</v>
      </c>
      <c r="AB90" s="13" t="str">
        <f ca="1">IF(AA90&gt;0,X90&amp;Sprache!$E$71&amp;Y90,"")</f>
        <v/>
      </c>
      <c r="AD90" s="144"/>
      <c r="AE90" s="149" t="str">
        <f ca="1">IF($AA90=0,"",IF($X90&gt;$Y90,Einstellungen!$C$4,IF($X90=$Y90,1,0)))</f>
        <v/>
      </c>
      <c r="AF90" s="144" t="str">
        <f ca="1">IF($AA90=0,"",IF($X90&lt;$Y90,Einstellungen!$C$4,IF($X90=$Y90,1,0)))</f>
        <v/>
      </c>
    </row>
    <row r="91" spans="2:32" s="2" customFormat="1" x14ac:dyDescent="0.2">
      <c r="B91" s="4"/>
      <c r="C91" s="4"/>
      <c r="D91" s="4"/>
      <c r="E91" s="4"/>
      <c r="F91" s="13"/>
      <c r="G91" s="13"/>
      <c r="H91" s="13"/>
      <c r="I91" s="13"/>
      <c r="J91" s="13"/>
      <c r="K91" s="13"/>
      <c r="L91" s="13"/>
      <c r="M91" s="13"/>
      <c r="U91" s="67" t="s">
        <v>43</v>
      </c>
      <c r="V91" s="41" t="str">
        <f ca="1">Planung!$L33</f>
        <v/>
      </c>
      <c r="W91" s="13" t="str">
        <f ca="1">Planung!$N33</f>
        <v/>
      </c>
      <c r="X91" s="13" t="str">
        <f ca="1">IF(AND(Vorrunde!$I39&lt;&gt;"",Vorrunde!$K39&lt;&gt;"",Vorrunde!$F39&lt;&gt;Vorrunde!$H39,$V91&lt;&gt;"",$W91&lt;&gt;""),Vorrunde!$I39,"")</f>
        <v/>
      </c>
      <c r="Y91" s="36" t="str">
        <f ca="1">IF(AND(Vorrunde!$I39&lt;&gt;"",Vorrunde!$K39&lt;&gt;"",Vorrunde!$F39&lt;&gt;Vorrunde!$H39,$V91&lt;&gt;"",$W91&lt;&gt;""),Vorrunde!$K39,"")</f>
        <v/>
      </c>
      <c r="Z91" s="35" t="str">
        <f t="shared" ca="1" si="68"/>
        <v/>
      </c>
      <c r="AA91" s="13">
        <f t="shared" ca="1" si="67"/>
        <v>0</v>
      </c>
      <c r="AB91" s="13" t="str">
        <f ca="1">IF(AA91&gt;0,X91&amp;Sprache!$E$71&amp;Y91,"")</f>
        <v/>
      </c>
      <c r="AD91" s="144"/>
      <c r="AE91" s="149" t="str">
        <f ca="1">IF($AA91=0,"",IF($X91&gt;$Y91,Einstellungen!$C$4,IF($X91=$Y91,1,0)))</f>
        <v/>
      </c>
      <c r="AF91" s="144" t="str">
        <f ca="1">IF($AA91=0,"",IF($X91&lt;$Y91,Einstellungen!$C$4,IF($X91=$Y91,1,0)))</f>
        <v/>
      </c>
    </row>
    <row r="92" spans="2:32" s="2" customFormat="1" x14ac:dyDescent="0.2">
      <c r="B92" s="4"/>
      <c r="C92" s="4"/>
      <c r="D92" s="4"/>
      <c r="E92" s="4"/>
      <c r="F92" s="13"/>
      <c r="G92" s="13"/>
      <c r="H92" s="13"/>
      <c r="I92" s="13"/>
      <c r="J92" s="13"/>
      <c r="K92" s="13"/>
      <c r="L92" s="13"/>
      <c r="M92" s="13"/>
      <c r="U92" s="67" t="s">
        <v>44</v>
      </c>
      <c r="V92" s="41" t="str">
        <f ca="1">Planung!$L34</f>
        <v/>
      </c>
      <c r="W92" s="13" t="str">
        <f ca="1">Planung!$N34</f>
        <v/>
      </c>
      <c r="X92" s="13" t="str">
        <f ca="1">IF(AND(Vorrunde!$I40&lt;&gt;"",Vorrunde!$K40&lt;&gt;"",Vorrunde!$F40&lt;&gt;Vorrunde!$H40,$V92&lt;&gt;"",$W92&lt;&gt;""),Vorrunde!$I40,"")</f>
        <v/>
      </c>
      <c r="Y92" s="36" t="str">
        <f ca="1">IF(AND(Vorrunde!$I40&lt;&gt;"",Vorrunde!$K40&lt;&gt;"",Vorrunde!$F40&lt;&gt;Vorrunde!$H40,$V92&lt;&gt;"",$W92&lt;&gt;""),Vorrunde!$K40,"")</f>
        <v/>
      </c>
      <c r="Z92" s="35" t="str">
        <f t="shared" ca="1" si="68"/>
        <v/>
      </c>
      <c r="AA92" s="13">
        <f t="shared" ca="1" si="67"/>
        <v>0</v>
      </c>
      <c r="AB92" s="13" t="str">
        <f ca="1">IF(AA92&gt;0,X92&amp;Sprache!$E$71&amp;Y92,"")</f>
        <v/>
      </c>
      <c r="AD92" s="144"/>
      <c r="AE92" s="149" t="str">
        <f ca="1">IF($AA92=0,"",IF($X92&gt;$Y92,Einstellungen!$C$4,IF($X92=$Y92,1,0)))</f>
        <v/>
      </c>
      <c r="AF92" s="144" t="str">
        <f ca="1">IF($AA92=0,"",IF($X92&lt;$Y92,Einstellungen!$C$4,IF($X92=$Y92,1,0)))</f>
        <v/>
      </c>
    </row>
    <row r="93" spans="2:32" s="2" customFormat="1" ht="12.75" thickBot="1" x14ac:dyDescent="0.25">
      <c r="B93" s="4"/>
      <c r="C93" s="4"/>
      <c r="D93" s="4"/>
      <c r="E93" s="4"/>
      <c r="F93" s="13"/>
      <c r="G93" s="13"/>
      <c r="H93" s="13"/>
      <c r="I93" s="13"/>
      <c r="J93" s="13"/>
      <c r="K93" s="13"/>
      <c r="L93" s="13"/>
      <c r="M93" s="13"/>
      <c r="U93" s="316" t="s">
        <v>45</v>
      </c>
      <c r="V93" s="317" t="str">
        <f ca="1">Planung!$L35</f>
        <v/>
      </c>
      <c r="W93" s="318" t="str">
        <f ca="1">Planung!$N35</f>
        <v/>
      </c>
      <c r="X93" s="318" t="str">
        <f ca="1">IF(AND(Vorrunde!$I41&lt;&gt;"",Vorrunde!$K41&lt;&gt;"",Vorrunde!$F41&lt;&gt;Vorrunde!$H41,$V93&lt;&gt;"",$W93&lt;&gt;""),Vorrunde!$I41,"")</f>
        <v/>
      </c>
      <c r="Y93" s="319" t="str">
        <f ca="1">IF(AND(Vorrunde!$I41&lt;&gt;"",Vorrunde!$K41&lt;&gt;"",Vorrunde!$F41&lt;&gt;Vorrunde!$H41,$V93&lt;&gt;"",$W93&lt;&gt;""),Vorrunde!$K41,"")</f>
        <v/>
      </c>
      <c r="Z93" s="320" t="str">
        <f t="shared" ca="1" si="68"/>
        <v/>
      </c>
      <c r="AA93" s="318">
        <f t="shared" ca="1" si="67"/>
        <v>0</v>
      </c>
      <c r="AB93" s="318" t="str">
        <f ca="1">IF(AA93&gt;0,X93&amp;Sprache!$E$71&amp;Y93,"")</f>
        <v/>
      </c>
      <c r="AC93" s="321"/>
      <c r="AD93" s="322"/>
      <c r="AE93" s="323" t="str">
        <f ca="1">IF($AA93=0,"",IF($X93&gt;$Y93,Einstellungen!$C$4,IF($X93=$Y93,1,0)))</f>
        <v/>
      </c>
      <c r="AF93" s="322" t="str">
        <f ca="1">IF($AA93=0,"",IF($X93&lt;$Y93,Einstellungen!$C$4,IF($X93=$Y93,1,0)))</f>
        <v/>
      </c>
    </row>
    <row r="94" spans="2:32" s="2" customFormat="1" ht="12.75" thickTop="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67"/>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ref="AA95" si="69">IF(AND(V95&lt;&gt;"",W95&lt;&gt;"",V95&lt;&gt;W95,X95&lt;&gt;"",Y95&lt;&gt;""),1,0)</f>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67"/>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67"/>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67"/>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67"/>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67"/>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67"/>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67"/>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67"/>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67"/>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67"/>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67"/>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67"/>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67"/>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67"/>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67"/>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67"/>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67"/>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67"/>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67"/>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67"/>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67"/>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67"/>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67"/>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67"/>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67"/>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67"/>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67"/>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67"/>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67"/>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0">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0"/>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0"/>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0"/>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0"/>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0"/>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0"/>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FC BarcelonaVFB Essenheim</v>
      </c>
      <c r="AA136" s="33">
        <f ca="1">AA64</f>
        <v>1</v>
      </c>
      <c r="AB136" s="13" t="str">
        <f ca="1">IF(AA136&gt;0,Y64&amp;Sprache!$E$71&amp;X64,"")</f>
        <v>6:2</v>
      </c>
      <c r="AD136" s="144"/>
    </row>
    <row r="137" spans="2:32" x14ac:dyDescent="0.2">
      <c r="Y137" s="67" t="s">
        <v>8</v>
      </c>
      <c r="Z137" s="35" t="str">
        <f ca="1">W65&amp;V65</f>
        <v>Inter MailandFC Grönlingen</v>
      </c>
      <c r="AA137" s="13">
        <f t="shared" ref="AA137:AA200" ca="1" si="71">AA65</f>
        <v>1</v>
      </c>
      <c r="AB137" s="13" t="str">
        <f ca="1">IF(AA137&gt;0,Y65&amp;Sprache!$E$71&amp;X65,"")</f>
        <v>4:2</v>
      </c>
      <c r="AC137" s="2"/>
      <c r="AD137" s="144"/>
    </row>
    <row r="138" spans="2:32" x14ac:dyDescent="0.2">
      <c r="Y138" s="67" t="s">
        <v>9</v>
      </c>
      <c r="Z138" s="35" t="str">
        <f t="shared" ref="Z138:Z201" ca="1" si="72">W66&amp;V66</f>
        <v>Maibach 1822 eVEintracht Frankfurt</v>
      </c>
      <c r="AA138" s="13">
        <f t="shared" ca="1" si="71"/>
        <v>1</v>
      </c>
      <c r="AB138" s="13" t="str">
        <f ca="1">IF(AA138&gt;0,Y66&amp;Sprache!$E$71&amp;X66,"")</f>
        <v>1:4</v>
      </c>
      <c r="AC138" s="2"/>
      <c r="AD138" s="144"/>
    </row>
    <row r="139" spans="2:32" x14ac:dyDescent="0.2">
      <c r="Y139" s="67" t="s">
        <v>10</v>
      </c>
      <c r="Z139" s="35" t="str">
        <f t="shared" ca="1" si="72"/>
        <v>Manchester CitySSV Wildbach</v>
      </c>
      <c r="AA139" s="13">
        <f t="shared" ca="1" si="71"/>
        <v>1</v>
      </c>
      <c r="AB139" s="13" t="str">
        <f ca="1">IF(AA139&gt;0,Y67&amp;Sprache!$E$71&amp;X67,"")</f>
        <v>5:2</v>
      </c>
      <c r="AC139" s="2"/>
      <c r="AD139" s="144"/>
    </row>
    <row r="140" spans="2:32" x14ac:dyDescent="0.2">
      <c r="Y140" s="67" t="s">
        <v>11</v>
      </c>
      <c r="Z140" s="35" t="str">
        <f t="shared" ca="1" si="72"/>
        <v>1. FC RiedwaldVFB Essenheim</v>
      </c>
      <c r="AA140" s="13">
        <f t="shared" ca="1" si="71"/>
        <v>1</v>
      </c>
      <c r="AB140" s="13" t="str">
        <f ca="1">IF(AA140&gt;0,Y68&amp;Sprache!$E$71&amp;X68,"")</f>
        <v>2:2</v>
      </c>
      <c r="AC140" s="2"/>
      <c r="AD140" s="144"/>
    </row>
    <row r="141" spans="2:32" x14ac:dyDescent="0.2">
      <c r="Y141" s="67" t="s">
        <v>12</v>
      </c>
      <c r="Z141" s="35" t="str">
        <f t="shared" ca="1" si="72"/>
        <v>Mainz 05FC Grönlingen</v>
      </c>
      <c r="AA141" s="13">
        <f t="shared" ca="1" si="71"/>
        <v>1</v>
      </c>
      <c r="AB141" s="13" t="str">
        <f ca="1">IF(AA141&gt;0,Y69&amp;Sprache!$E$71&amp;X69,"")</f>
        <v>0:0</v>
      </c>
      <c r="AC141" s="2"/>
      <c r="AD141" s="144"/>
    </row>
    <row r="142" spans="2:32" x14ac:dyDescent="0.2">
      <c r="Y142" s="67" t="s">
        <v>17</v>
      </c>
      <c r="Z142" s="35" t="str">
        <f t="shared" ca="1" si="72"/>
        <v>Eintracht FrankfurtFC Barcelona</v>
      </c>
      <c r="AA142" s="13">
        <f t="shared" ca="1" si="71"/>
        <v>1</v>
      </c>
      <c r="AB142" s="13" t="str">
        <f ca="1">IF(AA142&gt;0,Y70&amp;Sprache!$E$71&amp;X70,"")</f>
        <v>1:2</v>
      </c>
      <c r="AC142" s="2"/>
      <c r="AD142" s="144"/>
    </row>
    <row r="143" spans="2:32" x14ac:dyDescent="0.2">
      <c r="Y143" s="67" t="s">
        <v>18</v>
      </c>
      <c r="Z143" s="35" t="str">
        <f t="shared" ca="1" si="72"/>
        <v>SSV WildbachInter Mailand</v>
      </c>
      <c r="AA143" s="13">
        <f t="shared" ca="1" si="71"/>
        <v>1</v>
      </c>
      <c r="AB143" s="13" t="str">
        <f ca="1">IF(AA143&gt;0,Y71&amp;Sprache!$E$71&amp;X71,"")</f>
        <v>1:2</v>
      </c>
      <c r="AC143" s="2"/>
      <c r="AD143" s="144"/>
    </row>
    <row r="144" spans="2:32" x14ac:dyDescent="0.2">
      <c r="Y144" s="67" t="s">
        <v>19</v>
      </c>
      <c r="Z144" s="35" t="str">
        <f t="shared" ca="1" si="72"/>
        <v>Maibach 1822 eV1. FC Riedwald</v>
      </c>
      <c r="AA144" s="13">
        <f t="shared" ca="1" si="71"/>
        <v>1</v>
      </c>
      <c r="AB144" s="13" t="str">
        <f ca="1">IF(AA144&gt;0,Y72&amp;Sprache!$E$71&amp;X72,"")</f>
        <v>0:2</v>
      </c>
      <c r="AC144" s="2"/>
      <c r="AD144" s="144"/>
    </row>
    <row r="145" spans="25:30" x14ac:dyDescent="0.2">
      <c r="Y145" s="67" t="s">
        <v>25</v>
      </c>
      <c r="Z145" s="35" t="str">
        <f t="shared" ca="1" si="72"/>
        <v>Manchester CityMainz 05</v>
      </c>
      <c r="AA145" s="13">
        <f t="shared" ca="1" si="71"/>
        <v>1</v>
      </c>
      <c r="AB145" s="13" t="str">
        <f ca="1">IF(AA145&gt;0,Y73&amp;Sprache!$E$71&amp;X73,"")</f>
        <v>6:2</v>
      </c>
      <c r="AC145" s="2"/>
      <c r="AD145" s="144"/>
    </row>
    <row r="146" spans="25:30" x14ac:dyDescent="0.2">
      <c r="Y146" s="67" t="s">
        <v>26</v>
      </c>
      <c r="Z146" s="35" t="str">
        <f t="shared" ca="1" si="72"/>
        <v>VFB EssenheimEintracht Frankfurt</v>
      </c>
      <c r="AA146" s="13">
        <f t="shared" ca="1" si="71"/>
        <v>1</v>
      </c>
      <c r="AB146" s="13" t="str">
        <f ca="1">IF(AA146&gt;0,Y74&amp;Sprache!$E$71&amp;X74,"")</f>
        <v>2:3</v>
      </c>
      <c r="AC146" s="2"/>
      <c r="AD146" s="144"/>
    </row>
    <row r="147" spans="25:30" x14ac:dyDescent="0.2">
      <c r="Y147" s="67" t="s">
        <v>27</v>
      </c>
      <c r="Z147" s="35" t="str">
        <f t="shared" ca="1" si="72"/>
        <v>FC GrönlingenSSV Wildbach</v>
      </c>
      <c r="AA147" s="13">
        <f t="shared" ca="1" si="71"/>
        <v>1</v>
      </c>
      <c r="AB147" s="13" t="str">
        <f ca="1">IF(AA147&gt;0,Y75&amp;Sprache!$E$71&amp;X75,"")</f>
        <v>1:1</v>
      </c>
      <c r="AC147" s="2"/>
      <c r="AD147" s="144"/>
    </row>
    <row r="148" spans="25:30" x14ac:dyDescent="0.2">
      <c r="Y148" s="67" t="s">
        <v>28</v>
      </c>
      <c r="Z148" s="35" t="str">
        <f t="shared" ca="1" si="72"/>
        <v>Maibach 1822 eVFC Barcelona</v>
      </c>
      <c r="AA148" s="13">
        <f t="shared" ca="1" si="71"/>
        <v>1</v>
      </c>
      <c r="AB148" s="13" t="str">
        <f ca="1">IF(AA148&gt;0,Y76&amp;Sprache!$E$71&amp;X76,"")</f>
        <v>0:6</v>
      </c>
      <c r="AC148" s="2"/>
      <c r="AD148" s="144"/>
    </row>
    <row r="149" spans="25:30" x14ac:dyDescent="0.2">
      <c r="Y149" s="67" t="s">
        <v>29</v>
      </c>
      <c r="Z149" s="35" t="str">
        <f t="shared" ca="1" si="72"/>
        <v>Manchester CityInter Mailand</v>
      </c>
      <c r="AA149" s="13">
        <f t="shared" ca="1" si="71"/>
        <v>1</v>
      </c>
      <c r="AB149" s="13" t="str">
        <f ca="1">IF(AA149&gt;0,Y77&amp;Sprache!$E$71&amp;X77,"")</f>
        <v>2:0</v>
      </c>
      <c r="AC149" s="2"/>
      <c r="AD149" s="144"/>
    </row>
    <row r="150" spans="25:30" x14ac:dyDescent="0.2">
      <c r="Y150" s="67" t="s">
        <v>30</v>
      </c>
      <c r="Z150" s="35" t="str">
        <f t="shared" ca="1" si="72"/>
        <v>1. FC RiedwaldEintracht Frankfurt</v>
      </c>
      <c r="AA150" s="13">
        <f t="shared" ca="1" si="71"/>
        <v>1</v>
      </c>
      <c r="AB150" s="13" t="str">
        <f ca="1">IF(AA150&gt;0,Y78&amp;Sprache!$E$71&amp;X78,"")</f>
        <v>3:4</v>
      </c>
      <c r="AC150" s="2"/>
      <c r="AD150" s="144"/>
    </row>
    <row r="151" spans="25:30" x14ac:dyDescent="0.2">
      <c r="Y151" s="67" t="s">
        <v>31</v>
      </c>
      <c r="Z151" s="35" t="str">
        <f t="shared" ca="1" si="72"/>
        <v>Mainz 05SSV Wildbach</v>
      </c>
      <c r="AA151" s="13">
        <f t="shared" ca="1" si="71"/>
        <v>1</v>
      </c>
      <c r="AB151" s="13" t="str">
        <f ca="1">IF(AA151&gt;0,Y79&amp;Sprache!$E$71&amp;X79,"")</f>
        <v>2:0</v>
      </c>
      <c r="AC151" s="2"/>
      <c r="AD151" s="144"/>
    </row>
    <row r="152" spans="25:30" x14ac:dyDescent="0.2">
      <c r="Y152" s="67" t="s">
        <v>32</v>
      </c>
      <c r="Z152" s="35" t="str">
        <f t="shared" ca="1" si="72"/>
        <v>VFB EssenheimMaibach 1822 eV</v>
      </c>
      <c r="AA152" s="13">
        <f t="shared" ca="1" si="71"/>
        <v>1</v>
      </c>
      <c r="AB152" s="13" t="str">
        <f ca="1">IF(AA152&gt;0,Y80&amp;Sprache!$E$71&amp;X80,"")</f>
        <v>4:2</v>
      </c>
      <c r="AC152" s="2"/>
      <c r="AD152" s="144"/>
    </row>
    <row r="153" spans="25:30" x14ac:dyDescent="0.2">
      <c r="Y153" s="67" t="s">
        <v>33</v>
      </c>
      <c r="Z153" s="35" t="str">
        <f t="shared" ca="1" si="72"/>
        <v>FC GrönlingenManchester City</v>
      </c>
      <c r="AA153" s="13">
        <f t="shared" ca="1" si="71"/>
        <v>1</v>
      </c>
      <c r="AB153" s="13" t="str">
        <f ca="1">IF(AA153&gt;0,Y81&amp;Sprache!$E$71&amp;X81,"")</f>
        <v>1:5</v>
      </c>
      <c r="AC153" s="2"/>
      <c r="AD153" s="144"/>
    </row>
    <row r="154" spans="25:30" x14ac:dyDescent="0.2">
      <c r="Y154" s="67" t="s">
        <v>34</v>
      </c>
      <c r="Z154" s="35" t="str">
        <f t="shared" ca="1" si="72"/>
        <v>FC Barcelona1. FC Riedwald</v>
      </c>
      <c r="AA154" s="13">
        <f t="shared" ca="1" si="71"/>
        <v>1</v>
      </c>
      <c r="AB154" s="13" t="str">
        <f ca="1">IF(AA154&gt;0,Y82&amp;Sprache!$E$71&amp;X82,"")</f>
        <v>3:0</v>
      </c>
      <c r="AC154" s="2"/>
      <c r="AD154" s="144"/>
    </row>
    <row r="155" spans="25:30" x14ac:dyDescent="0.2">
      <c r="Y155" s="67" t="s">
        <v>35</v>
      </c>
      <c r="Z155" s="35" t="str">
        <f t="shared" ca="1" si="72"/>
        <v>Inter MailandMainz 05</v>
      </c>
      <c r="AA155" s="13">
        <f t="shared" ca="1" si="71"/>
        <v>1</v>
      </c>
      <c r="AB155" s="13" t="str">
        <f ca="1">IF(AA155&gt;0,Y83&amp;Sprache!$E$71&amp;X83,"")</f>
        <v>1:1</v>
      </c>
      <c r="AC155" s="2"/>
      <c r="AD155" s="144"/>
    </row>
    <row r="156" spans="25:30" x14ac:dyDescent="0.2">
      <c r="Y156" s="67" t="s">
        <v>36</v>
      </c>
      <c r="Z156" s="35" t="str">
        <f t="shared" ca="1" si="72"/>
        <v/>
      </c>
      <c r="AA156" s="13">
        <f t="shared" ca="1" si="71"/>
        <v>0</v>
      </c>
      <c r="AB156" s="13" t="str">
        <f ca="1">IF(AA156&gt;0,Y84&amp;Sprache!$E$71&amp;X84,"")</f>
        <v/>
      </c>
      <c r="AC156" s="2"/>
      <c r="AD156" s="144"/>
    </row>
    <row r="157" spans="25:30" x14ac:dyDescent="0.2">
      <c r="Y157" s="67" t="s">
        <v>37</v>
      </c>
      <c r="Z157" s="35" t="str">
        <f t="shared" ca="1" si="72"/>
        <v/>
      </c>
      <c r="AA157" s="13">
        <f t="shared" ca="1" si="71"/>
        <v>0</v>
      </c>
      <c r="AB157" s="13" t="str">
        <f ca="1">IF(AA157&gt;0,Y85&amp;Sprache!$E$71&amp;X85,"")</f>
        <v/>
      </c>
      <c r="AC157" s="2"/>
      <c r="AD157" s="144"/>
    </row>
    <row r="158" spans="25:30" x14ac:dyDescent="0.2">
      <c r="Y158" s="67" t="s">
        <v>38</v>
      </c>
      <c r="Z158" s="35" t="str">
        <f t="shared" ca="1" si="72"/>
        <v/>
      </c>
      <c r="AA158" s="13">
        <f t="shared" ca="1" si="71"/>
        <v>0</v>
      </c>
      <c r="AB158" s="13" t="str">
        <f ca="1">IF(AA158&gt;0,Y86&amp;Sprache!$E$71&amp;X86,"")</f>
        <v/>
      </c>
      <c r="AC158" s="2"/>
      <c r="AD158" s="144"/>
    </row>
    <row r="159" spans="25:30" x14ac:dyDescent="0.2">
      <c r="Y159" s="67" t="s">
        <v>39</v>
      </c>
      <c r="Z159" s="35" t="str">
        <f t="shared" ca="1" si="72"/>
        <v/>
      </c>
      <c r="AA159" s="13">
        <f t="shared" ca="1" si="71"/>
        <v>0</v>
      </c>
      <c r="AB159" s="13" t="str">
        <f ca="1">IF(AA159&gt;0,Y87&amp;Sprache!$E$71&amp;X87,"")</f>
        <v/>
      </c>
      <c r="AC159" s="2"/>
      <c r="AD159" s="144"/>
    </row>
    <row r="160" spans="25:30" x14ac:dyDescent="0.2">
      <c r="Y160" s="67" t="s">
        <v>40</v>
      </c>
      <c r="Z160" s="35" t="str">
        <f t="shared" ca="1" si="72"/>
        <v/>
      </c>
      <c r="AA160" s="13">
        <f t="shared" ca="1" si="71"/>
        <v>0</v>
      </c>
      <c r="AB160" s="13" t="str">
        <f ca="1">IF(AA160&gt;0,Y88&amp;Sprache!$E$71&amp;X88,"")</f>
        <v/>
      </c>
      <c r="AC160" s="2"/>
      <c r="AD160" s="144"/>
    </row>
    <row r="161" spans="25:30" x14ac:dyDescent="0.2">
      <c r="Y161" s="67" t="s">
        <v>41</v>
      </c>
      <c r="Z161" s="35" t="str">
        <f t="shared" ca="1" si="72"/>
        <v/>
      </c>
      <c r="AA161" s="13">
        <f t="shared" ca="1" si="71"/>
        <v>0</v>
      </c>
      <c r="AB161" s="13" t="str">
        <f ca="1">IF(AA161&gt;0,Y89&amp;Sprache!$E$71&amp;X89,"")</f>
        <v/>
      </c>
      <c r="AC161" s="2"/>
      <c r="AD161" s="144"/>
    </row>
    <row r="162" spans="25:30" x14ac:dyDescent="0.2">
      <c r="Y162" s="67" t="s">
        <v>42</v>
      </c>
      <c r="Z162" s="35" t="str">
        <f t="shared" ca="1" si="72"/>
        <v/>
      </c>
      <c r="AA162" s="13">
        <f t="shared" ca="1" si="71"/>
        <v>0</v>
      </c>
      <c r="AB162" s="13" t="str">
        <f ca="1">IF(AA162&gt;0,Y90&amp;Sprache!$E$71&amp;X90,"")</f>
        <v/>
      </c>
      <c r="AC162" s="2"/>
      <c r="AD162" s="144"/>
    </row>
    <row r="163" spans="25:30" x14ac:dyDescent="0.2">
      <c r="Y163" s="67" t="s">
        <v>43</v>
      </c>
      <c r="Z163" s="35" t="str">
        <f t="shared" ca="1" si="72"/>
        <v/>
      </c>
      <c r="AA163" s="13">
        <f t="shared" ca="1" si="71"/>
        <v>0</v>
      </c>
      <c r="AB163" s="13" t="str">
        <f ca="1">IF(AA163&gt;0,Y91&amp;Sprache!$E$71&amp;X91,"")</f>
        <v/>
      </c>
      <c r="AC163" s="2"/>
      <c r="AD163" s="144"/>
    </row>
    <row r="164" spans="25:30" x14ac:dyDescent="0.2">
      <c r="Y164" s="67" t="s">
        <v>44</v>
      </c>
      <c r="Z164" s="35" t="str">
        <f t="shared" ca="1" si="72"/>
        <v/>
      </c>
      <c r="AA164" s="13">
        <f t="shared" ca="1" si="71"/>
        <v>0</v>
      </c>
      <c r="AB164" s="13" t="str">
        <f ca="1">IF(AA164&gt;0,Y92&amp;Sprache!$E$71&amp;X92,"")</f>
        <v/>
      </c>
      <c r="AC164" s="2"/>
      <c r="AD164" s="144"/>
    </row>
    <row r="165" spans="25:30" x14ac:dyDescent="0.2">
      <c r="Y165" s="67" t="s">
        <v>45</v>
      </c>
      <c r="Z165" s="35" t="str">
        <f t="shared" ca="1" si="72"/>
        <v/>
      </c>
      <c r="AA165" s="13">
        <f t="shared" ca="1" si="71"/>
        <v>0</v>
      </c>
      <c r="AB165" s="13" t="str">
        <f ca="1">IF(AA165&gt;0,Y93&amp;Sprache!$E$71&amp;X93,"")</f>
        <v/>
      </c>
      <c r="AC165" s="2"/>
      <c r="AD165" s="144"/>
    </row>
    <row r="166" spans="25:30" x14ac:dyDescent="0.2">
      <c r="Y166" s="67" t="s">
        <v>46</v>
      </c>
      <c r="Z166" s="35" t="str">
        <f t="shared" si="72"/>
        <v/>
      </c>
      <c r="AA166" s="13">
        <f t="shared" si="71"/>
        <v>0</v>
      </c>
      <c r="AB166" s="13" t="str">
        <f>IF(AA166&gt;0,Y94&amp;Sprache!$E$71&amp;X94,"")</f>
        <v/>
      </c>
      <c r="AC166" s="2"/>
      <c r="AD166" s="144"/>
    </row>
    <row r="167" spans="25:30" x14ac:dyDescent="0.2">
      <c r="Y167" s="67" t="s">
        <v>47</v>
      </c>
      <c r="Z167" s="35" t="str">
        <f t="shared" si="72"/>
        <v/>
      </c>
      <c r="AA167" s="13">
        <f t="shared" si="71"/>
        <v>0</v>
      </c>
      <c r="AB167" s="13" t="str">
        <f>IF(AA167&gt;0,Y95&amp;Sprache!$E$71&amp;X95,"")</f>
        <v/>
      </c>
      <c r="AC167" s="2"/>
      <c r="AD167" s="144"/>
    </row>
    <row r="168" spans="25:30" x14ac:dyDescent="0.2">
      <c r="Y168" s="67" t="s">
        <v>48</v>
      </c>
      <c r="Z168" s="35" t="str">
        <f t="shared" si="72"/>
        <v/>
      </c>
      <c r="AA168" s="13">
        <f t="shared" si="71"/>
        <v>0</v>
      </c>
      <c r="AB168" s="13" t="str">
        <f>IF(AA168&gt;0,Y96&amp;Sprache!$E$71&amp;X96,"")</f>
        <v/>
      </c>
      <c r="AC168" s="2"/>
      <c r="AD168" s="144"/>
    </row>
    <row r="169" spans="25:30" x14ac:dyDescent="0.2">
      <c r="Y169" s="67" t="s">
        <v>49</v>
      </c>
      <c r="Z169" s="35" t="str">
        <f t="shared" si="72"/>
        <v/>
      </c>
      <c r="AA169" s="13">
        <f t="shared" si="71"/>
        <v>0</v>
      </c>
      <c r="AB169" s="13" t="str">
        <f>IF(AA169&gt;0,Y97&amp;Sprache!$E$71&amp;X97,"")</f>
        <v/>
      </c>
      <c r="AC169" s="2"/>
      <c r="AD169" s="144"/>
    </row>
    <row r="170" spans="25:30" x14ac:dyDescent="0.2">
      <c r="Y170" s="67" t="s">
        <v>50</v>
      </c>
      <c r="Z170" s="35" t="str">
        <f t="shared" si="72"/>
        <v/>
      </c>
      <c r="AA170" s="13">
        <f t="shared" si="71"/>
        <v>0</v>
      </c>
      <c r="AB170" s="13" t="str">
        <f>IF(AA170&gt;0,Y98&amp;Sprache!$E$71&amp;X98,"")</f>
        <v/>
      </c>
      <c r="AC170" s="2"/>
      <c r="AD170" s="144"/>
    </row>
    <row r="171" spans="25:30" x14ac:dyDescent="0.2">
      <c r="Y171" s="67" t="s">
        <v>51</v>
      </c>
      <c r="Z171" s="35" t="str">
        <f t="shared" si="72"/>
        <v/>
      </c>
      <c r="AA171" s="13">
        <f t="shared" si="71"/>
        <v>0</v>
      </c>
      <c r="AB171" s="13" t="str">
        <f>IF(AA171&gt;0,Y99&amp;Sprache!$E$71&amp;X99,"")</f>
        <v/>
      </c>
      <c r="AC171" s="2"/>
      <c r="AD171" s="144"/>
    </row>
    <row r="172" spans="25:30" x14ac:dyDescent="0.2">
      <c r="Y172" s="67" t="s">
        <v>60</v>
      </c>
      <c r="Z172" s="35" t="str">
        <f t="shared" si="72"/>
        <v/>
      </c>
      <c r="AA172" s="13">
        <f t="shared" si="71"/>
        <v>0</v>
      </c>
      <c r="AB172" s="13" t="str">
        <f>IF(AA172&gt;0,Y100&amp;Sprache!$E$71&amp;X100,"")</f>
        <v/>
      </c>
      <c r="AC172" s="2"/>
      <c r="AD172" s="144"/>
    </row>
    <row r="173" spans="25:30" x14ac:dyDescent="0.2">
      <c r="Y173" s="67" t="s">
        <v>61</v>
      </c>
      <c r="Z173" s="35" t="str">
        <f t="shared" si="72"/>
        <v/>
      </c>
      <c r="AA173" s="13">
        <f t="shared" si="71"/>
        <v>0</v>
      </c>
      <c r="AB173" s="13" t="str">
        <f>IF(AA173&gt;0,Y101&amp;Sprache!$E$71&amp;X101,"")</f>
        <v/>
      </c>
      <c r="AC173" s="2"/>
      <c r="AD173" s="144"/>
    </row>
    <row r="174" spans="25:30" x14ac:dyDescent="0.2">
      <c r="Y174" s="67" t="s">
        <v>62</v>
      </c>
      <c r="Z174" s="35" t="str">
        <f t="shared" si="72"/>
        <v/>
      </c>
      <c r="AA174" s="13">
        <f t="shared" si="71"/>
        <v>0</v>
      </c>
      <c r="AB174" s="13" t="str">
        <f>IF(AA174&gt;0,Y102&amp;Sprache!$E$71&amp;X102,"")</f>
        <v/>
      </c>
      <c r="AC174" s="2"/>
      <c r="AD174" s="144"/>
    </row>
    <row r="175" spans="25:30" x14ac:dyDescent="0.2">
      <c r="Y175" s="67" t="s">
        <v>63</v>
      </c>
      <c r="Z175" s="35" t="str">
        <f t="shared" si="72"/>
        <v/>
      </c>
      <c r="AA175" s="13">
        <f t="shared" si="71"/>
        <v>0</v>
      </c>
      <c r="AB175" s="13" t="str">
        <f>IF(AA175&gt;0,Y103&amp;Sprache!$E$71&amp;X103,"")</f>
        <v/>
      </c>
      <c r="AC175" s="2"/>
      <c r="AD175" s="144"/>
    </row>
    <row r="176" spans="25:30" x14ac:dyDescent="0.2">
      <c r="Y176" s="67" t="s">
        <v>64</v>
      </c>
      <c r="Z176" s="35" t="str">
        <f t="shared" si="72"/>
        <v/>
      </c>
      <c r="AA176" s="13">
        <f t="shared" si="71"/>
        <v>0</v>
      </c>
      <c r="AB176" s="13" t="str">
        <f>IF(AA176&gt;0,Y104&amp;Sprache!$E$71&amp;X104,"")</f>
        <v/>
      </c>
      <c r="AC176" s="2"/>
      <c r="AD176" s="144"/>
    </row>
    <row r="177" spans="25:30" x14ac:dyDescent="0.2">
      <c r="Y177" s="67" t="s">
        <v>65</v>
      </c>
      <c r="Z177" s="35" t="str">
        <f t="shared" si="72"/>
        <v/>
      </c>
      <c r="AA177" s="13">
        <f t="shared" si="71"/>
        <v>0</v>
      </c>
      <c r="AB177" s="13" t="str">
        <f>IF(AA177&gt;0,Y105&amp;Sprache!$E$71&amp;X105,"")</f>
        <v/>
      </c>
      <c r="AC177" s="2"/>
      <c r="AD177" s="144"/>
    </row>
    <row r="178" spans="25:30" x14ac:dyDescent="0.2">
      <c r="Y178" s="67" t="s">
        <v>66</v>
      </c>
      <c r="Z178" s="35" t="str">
        <f t="shared" si="72"/>
        <v/>
      </c>
      <c r="AA178" s="13">
        <f t="shared" si="71"/>
        <v>0</v>
      </c>
      <c r="AB178" s="13" t="str">
        <f>IF(AA178&gt;0,Y106&amp;Sprache!$E$71&amp;X106,"")</f>
        <v/>
      </c>
      <c r="AC178" s="2"/>
      <c r="AD178" s="144"/>
    </row>
    <row r="179" spans="25:30" x14ac:dyDescent="0.2">
      <c r="Y179" s="67" t="s">
        <v>67</v>
      </c>
      <c r="Z179" s="35" t="str">
        <f t="shared" si="72"/>
        <v/>
      </c>
      <c r="AA179" s="13">
        <f t="shared" si="71"/>
        <v>0</v>
      </c>
      <c r="AB179" s="13" t="str">
        <f>IF(AA179&gt;0,Y107&amp;Sprache!$E$71&amp;X107,"")</f>
        <v/>
      </c>
      <c r="AC179" s="2"/>
      <c r="AD179" s="144"/>
    </row>
    <row r="180" spans="25:30" x14ac:dyDescent="0.2">
      <c r="Y180" s="67" t="s">
        <v>68</v>
      </c>
      <c r="Z180" s="35" t="str">
        <f t="shared" si="72"/>
        <v/>
      </c>
      <c r="AA180" s="13">
        <f t="shared" si="71"/>
        <v>0</v>
      </c>
      <c r="AB180" s="13" t="str">
        <f>IF(AA180&gt;0,Y108&amp;Sprache!$E$71&amp;X108,"")</f>
        <v/>
      </c>
      <c r="AC180" s="2"/>
      <c r="AD180" s="144"/>
    </row>
    <row r="181" spans="25:30" x14ac:dyDescent="0.2">
      <c r="Y181" s="67" t="s">
        <v>69</v>
      </c>
      <c r="Z181" s="35" t="str">
        <f t="shared" si="72"/>
        <v/>
      </c>
      <c r="AA181" s="13">
        <f t="shared" si="71"/>
        <v>0</v>
      </c>
      <c r="AB181" s="13" t="str">
        <f>IF(AA181&gt;0,Y109&amp;Sprache!$E$71&amp;X109,"")</f>
        <v/>
      </c>
      <c r="AC181" s="2"/>
      <c r="AD181" s="144"/>
    </row>
    <row r="182" spans="25:30" x14ac:dyDescent="0.2">
      <c r="Y182" s="67" t="s">
        <v>70</v>
      </c>
      <c r="Z182" s="35" t="str">
        <f t="shared" si="72"/>
        <v/>
      </c>
      <c r="AA182" s="13">
        <f t="shared" si="71"/>
        <v>0</v>
      </c>
      <c r="AB182" s="13" t="str">
        <f>IF(AA182&gt;0,Y110&amp;Sprache!$E$71&amp;X110,"")</f>
        <v/>
      </c>
      <c r="AC182" s="2"/>
      <c r="AD182" s="144"/>
    </row>
    <row r="183" spans="25:30" x14ac:dyDescent="0.2">
      <c r="Y183" s="67" t="s">
        <v>71</v>
      </c>
      <c r="Z183" s="35" t="str">
        <f t="shared" si="72"/>
        <v/>
      </c>
      <c r="AA183" s="13">
        <f t="shared" si="71"/>
        <v>0</v>
      </c>
      <c r="AB183" s="13" t="str">
        <f>IF(AA183&gt;0,Y111&amp;Sprache!$E$71&amp;X111,"")</f>
        <v/>
      </c>
      <c r="AC183" s="2"/>
      <c r="AD183" s="144"/>
    </row>
    <row r="184" spans="25:30" x14ac:dyDescent="0.2">
      <c r="Y184" s="67" t="s">
        <v>72</v>
      </c>
      <c r="Z184" s="35" t="str">
        <f t="shared" si="72"/>
        <v/>
      </c>
      <c r="AA184" s="13">
        <f t="shared" si="71"/>
        <v>0</v>
      </c>
      <c r="AB184" s="13" t="str">
        <f>IF(AA184&gt;0,Y112&amp;Sprache!$E$71&amp;X112,"")</f>
        <v/>
      </c>
      <c r="AC184" s="2"/>
      <c r="AD184" s="144"/>
    </row>
    <row r="185" spans="25:30" x14ac:dyDescent="0.2">
      <c r="Y185" s="67" t="s">
        <v>73</v>
      </c>
      <c r="Z185" s="35" t="str">
        <f t="shared" si="72"/>
        <v/>
      </c>
      <c r="AA185" s="13">
        <f t="shared" si="71"/>
        <v>0</v>
      </c>
      <c r="AB185" s="13" t="str">
        <f>IF(AA185&gt;0,Y113&amp;Sprache!$E$71&amp;X113,"")</f>
        <v/>
      </c>
      <c r="AC185" s="2"/>
      <c r="AD185" s="144"/>
    </row>
    <row r="186" spans="25:30" x14ac:dyDescent="0.2">
      <c r="Y186" s="67" t="s">
        <v>74</v>
      </c>
      <c r="Z186" s="35" t="str">
        <f t="shared" si="72"/>
        <v/>
      </c>
      <c r="AA186" s="13">
        <f t="shared" si="71"/>
        <v>0</v>
      </c>
      <c r="AB186" s="13" t="str">
        <f>IF(AA186&gt;0,Y114&amp;Sprache!$E$71&amp;X114,"")</f>
        <v/>
      </c>
      <c r="AC186" s="2"/>
      <c r="AD186" s="144"/>
    </row>
    <row r="187" spans="25:30" x14ac:dyDescent="0.2">
      <c r="Y187" s="67" t="s">
        <v>75</v>
      </c>
      <c r="Z187" s="35" t="str">
        <f t="shared" si="72"/>
        <v/>
      </c>
      <c r="AA187" s="13">
        <f t="shared" si="71"/>
        <v>0</v>
      </c>
      <c r="AB187" s="13" t="str">
        <f>IF(AA187&gt;0,Y115&amp;Sprache!$E$71&amp;X115,"")</f>
        <v/>
      </c>
      <c r="AC187" s="2"/>
      <c r="AD187" s="144"/>
    </row>
    <row r="188" spans="25:30" x14ac:dyDescent="0.2">
      <c r="Y188" s="67" t="s">
        <v>76</v>
      </c>
      <c r="Z188" s="35" t="str">
        <f t="shared" si="72"/>
        <v/>
      </c>
      <c r="AA188" s="13">
        <f t="shared" si="71"/>
        <v>0</v>
      </c>
      <c r="AB188" s="13" t="str">
        <f>IF(AA188&gt;0,Y116&amp;Sprache!$E$71&amp;X116,"")</f>
        <v/>
      </c>
      <c r="AC188" s="2"/>
      <c r="AD188" s="144"/>
    </row>
    <row r="189" spans="25:30" x14ac:dyDescent="0.2">
      <c r="Y189" s="67" t="s">
        <v>77</v>
      </c>
      <c r="Z189" s="35" t="str">
        <f t="shared" si="72"/>
        <v/>
      </c>
      <c r="AA189" s="13">
        <f t="shared" si="71"/>
        <v>0</v>
      </c>
      <c r="AB189" s="13" t="str">
        <f>IF(AA189&gt;0,Y117&amp;Sprache!$E$71&amp;X117,"")</f>
        <v/>
      </c>
      <c r="AC189" s="2"/>
      <c r="AD189" s="144"/>
    </row>
    <row r="190" spans="25:30" x14ac:dyDescent="0.2">
      <c r="Y190" s="67" t="s">
        <v>78</v>
      </c>
      <c r="Z190" s="35" t="str">
        <f t="shared" si="72"/>
        <v/>
      </c>
      <c r="AA190" s="13">
        <f t="shared" si="71"/>
        <v>0</v>
      </c>
      <c r="AB190" s="13" t="str">
        <f>IF(AA190&gt;0,Y118&amp;Sprache!$E$71&amp;X118,"")</f>
        <v/>
      </c>
      <c r="AC190" s="2"/>
      <c r="AD190" s="144"/>
    </row>
    <row r="191" spans="25:30" x14ac:dyDescent="0.2">
      <c r="Y191" s="67" t="s">
        <v>79</v>
      </c>
      <c r="Z191" s="35" t="str">
        <f t="shared" si="72"/>
        <v/>
      </c>
      <c r="AA191" s="13">
        <f t="shared" si="71"/>
        <v>0</v>
      </c>
      <c r="AB191" s="13" t="str">
        <f>IF(AA191&gt;0,Y119&amp;Sprache!$E$71&amp;X119,"")</f>
        <v/>
      </c>
      <c r="AC191" s="2"/>
      <c r="AD191" s="144"/>
    </row>
    <row r="192" spans="25:30" x14ac:dyDescent="0.2">
      <c r="Y192" s="67" t="s">
        <v>80</v>
      </c>
      <c r="Z192" s="35" t="str">
        <f t="shared" si="72"/>
        <v/>
      </c>
      <c r="AA192" s="13">
        <f t="shared" si="71"/>
        <v>0</v>
      </c>
      <c r="AB192" s="13" t="str">
        <f>IF(AA192&gt;0,Y120&amp;Sprache!$E$71&amp;X120,"")</f>
        <v/>
      </c>
      <c r="AC192" s="2"/>
      <c r="AD192" s="144"/>
    </row>
    <row r="193" spans="25:30" x14ac:dyDescent="0.2">
      <c r="Y193" s="67" t="s">
        <v>81</v>
      </c>
      <c r="Z193" s="35" t="str">
        <f t="shared" si="72"/>
        <v/>
      </c>
      <c r="AA193" s="13">
        <f t="shared" si="71"/>
        <v>0</v>
      </c>
      <c r="AB193" s="13" t="str">
        <f>IF(AA193&gt;0,Y121&amp;Sprache!$E$71&amp;X121,"")</f>
        <v/>
      </c>
      <c r="AC193" s="2"/>
      <c r="AD193" s="144"/>
    </row>
    <row r="194" spans="25:30" x14ac:dyDescent="0.2">
      <c r="Y194" s="67" t="s">
        <v>82</v>
      </c>
      <c r="Z194" s="35" t="str">
        <f t="shared" si="72"/>
        <v/>
      </c>
      <c r="AA194" s="13">
        <f t="shared" si="71"/>
        <v>0</v>
      </c>
      <c r="AB194" s="13" t="str">
        <f>IF(AA194&gt;0,Y122&amp;Sprache!$E$71&amp;X122,"")</f>
        <v/>
      </c>
      <c r="AC194" s="2"/>
      <c r="AD194" s="144"/>
    </row>
    <row r="195" spans="25:30" x14ac:dyDescent="0.2">
      <c r="Y195" s="67" t="s">
        <v>83</v>
      </c>
      <c r="Z195" s="35" t="str">
        <f t="shared" si="72"/>
        <v/>
      </c>
      <c r="AA195" s="13">
        <f t="shared" si="71"/>
        <v>0</v>
      </c>
      <c r="AB195" s="13" t="str">
        <f>IF(AA195&gt;0,Y123&amp;Sprache!$E$71&amp;X123,"")</f>
        <v/>
      </c>
      <c r="AC195" s="2"/>
      <c r="AD195" s="144"/>
    </row>
    <row r="196" spans="25:30" x14ac:dyDescent="0.2">
      <c r="Y196" s="67" t="s">
        <v>84</v>
      </c>
      <c r="Z196" s="35" t="str">
        <f t="shared" si="72"/>
        <v/>
      </c>
      <c r="AA196" s="13">
        <f t="shared" si="71"/>
        <v>0</v>
      </c>
      <c r="AB196" s="13" t="str">
        <f>IF(AA196&gt;0,Y124&amp;Sprache!$E$71&amp;X124,"")</f>
        <v/>
      </c>
      <c r="AC196" s="2"/>
      <c r="AD196" s="144"/>
    </row>
    <row r="197" spans="25:30" x14ac:dyDescent="0.2">
      <c r="Y197" s="67" t="s">
        <v>85</v>
      </c>
      <c r="Z197" s="35" t="str">
        <f t="shared" si="72"/>
        <v/>
      </c>
      <c r="AA197" s="13">
        <f t="shared" si="71"/>
        <v>0</v>
      </c>
      <c r="AB197" s="13" t="str">
        <f>IF(AA197&gt;0,Y125&amp;Sprache!$E$71&amp;X125,"")</f>
        <v/>
      </c>
      <c r="AC197" s="2"/>
      <c r="AD197" s="144"/>
    </row>
    <row r="198" spans="25:30" x14ac:dyDescent="0.2">
      <c r="Y198" s="67" t="s">
        <v>86</v>
      </c>
      <c r="Z198" s="35" t="str">
        <f t="shared" si="72"/>
        <v/>
      </c>
      <c r="AA198" s="13">
        <f t="shared" si="71"/>
        <v>0</v>
      </c>
      <c r="AB198" s="13" t="str">
        <f>IF(AA198&gt;0,Y126&amp;Sprache!$E$71&amp;X126,"")</f>
        <v/>
      </c>
      <c r="AC198" s="2"/>
      <c r="AD198" s="144"/>
    </row>
    <row r="199" spans="25:30" x14ac:dyDescent="0.2">
      <c r="Y199" s="67" t="s">
        <v>87</v>
      </c>
      <c r="Z199" s="35" t="str">
        <f t="shared" si="72"/>
        <v/>
      </c>
      <c r="AA199" s="13">
        <f t="shared" si="71"/>
        <v>0</v>
      </c>
      <c r="AB199" s="13" t="str">
        <f>IF(AA199&gt;0,Y127&amp;Sprache!$E$71&amp;X127,"")</f>
        <v/>
      </c>
      <c r="AC199" s="2"/>
      <c r="AD199" s="144"/>
    </row>
    <row r="200" spans="25:30" x14ac:dyDescent="0.2">
      <c r="Y200" s="67" t="s">
        <v>88</v>
      </c>
      <c r="Z200" s="35" t="str">
        <f t="shared" si="72"/>
        <v/>
      </c>
      <c r="AA200" s="13">
        <f t="shared" si="71"/>
        <v>0</v>
      </c>
      <c r="AB200" s="13" t="str">
        <f>IF(AA200&gt;0,Y128&amp;Sprache!$E$71&amp;X128,"")</f>
        <v/>
      </c>
      <c r="AC200" s="2"/>
      <c r="AD200" s="144"/>
    </row>
    <row r="201" spans="25:30" x14ac:dyDescent="0.2">
      <c r="Y201" s="67" t="s">
        <v>89</v>
      </c>
      <c r="Z201" s="35" t="str">
        <f t="shared" si="72"/>
        <v/>
      </c>
      <c r="AA201" s="13">
        <f t="shared" ref="AA201:AA207" si="73">AA129</f>
        <v>0</v>
      </c>
      <c r="AB201" s="13" t="str">
        <f>IF(AA201&gt;0,Y129&amp;Sprache!$E$71&amp;X129,"")</f>
        <v/>
      </c>
      <c r="AC201" s="2"/>
      <c r="AD201" s="144"/>
    </row>
    <row r="202" spans="25:30" x14ac:dyDescent="0.2">
      <c r="Y202" s="67" t="s">
        <v>90</v>
      </c>
      <c r="Z202" s="35" t="str">
        <f t="shared" ref="Z202:Z206" si="74">W130&amp;V130</f>
        <v/>
      </c>
      <c r="AA202" s="13">
        <f t="shared" si="73"/>
        <v>0</v>
      </c>
      <c r="AB202" s="13" t="str">
        <f>IF(AA202&gt;0,Y130&amp;Sprache!$E$71&amp;X130,"")</f>
        <v/>
      </c>
      <c r="AC202" s="2"/>
      <c r="AD202" s="144"/>
    </row>
    <row r="203" spans="25:30" x14ac:dyDescent="0.2">
      <c r="Y203" s="67" t="s">
        <v>91</v>
      </c>
      <c r="Z203" s="35" t="str">
        <f t="shared" si="74"/>
        <v/>
      </c>
      <c r="AA203" s="13">
        <f t="shared" si="73"/>
        <v>0</v>
      </c>
      <c r="AB203" s="13" t="str">
        <f>IF(AA203&gt;0,Y131&amp;Sprache!$E$71&amp;X131,"")</f>
        <v/>
      </c>
      <c r="AC203" s="2"/>
      <c r="AD203" s="144"/>
    </row>
    <row r="204" spans="25:30" x14ac:dyDescent="0.2">
      <c r="Y204" s="67" t="s">
        <v>92</v>
      </c>
      <c r="Z204" s="35" t="str">
        <f t="shared" si="74"/>
        <v/>
      </c>
      <c r="AA204" s="13">
        <f t="shared" si="73"/>
        <v>0</v>
      </c>
      <c r="AB204" s="13" t="str">
        <f>IF(AA204&gt;0,Y132&amp;Sprache!$E$71&amp;X132,"")</f>
        <v/>
      </c>
      <c r="AC204" s="2"/>
      <c r="AD204" s="144"/>
    </row>
    <row r="205" spans="25:30" x14ac:dyDescent="0.2">
      <c r="Y205" s="67" t="s">
        <v>93</v>
      </c>
      <c r="Z205" s="35" t="str">
        <f t="shared" si="74"/>
        <v/>
      </c>
      <c r="AA205" s="13">
        <f t="shared" si="73"/>
        <v>0</v>
      </c>
      <c r="AB205" s="13" t="str">
        <f>IF(AA205&gt;0,Y133&amp;Sprache!$E$71&amp;X133,"")</f>
        <v/>
      </c>
      <c r="AC205" s="2"/>
      <c r="AD205" s="144"/>
    </row>
    <row r="206" spans="25:30" x14ac:dyDescent="0.2">
      <c r="Y206" s="67" t="s">
        <v>94</v>
      </c>
      <c r="Z206" s="35" t="str">
        <f t="shared" si="74"/>
        <v/>
      </c>
      <c r="AA206" s="13">
        <f t="shared" si="73"/>
        <v>0</v>
      </c>
      <c r="AB206" s="13" t="str">
        <f>IF(AA206&gt;0,Y134&amp;Sprache!$E$71&amp;X134,"")</f>
        <v/>
      </c>
      <c r="AC206" s="2"/>
      <c r="AD206" s="144"/>
    </row>
    <row r="207" spans="25:30" ht="12.75" thickBot="1" x14ac:dyDescent="0.25">
      <c r="Y207" s="68" t="s">
        <v>95</v>
      </c>
      <c r="Z207" s="37" t="str">
        <f>W135&amp;V135</f>
        <v/>
      </c>
      <c r="AA207" s="38">
        <f t="shared" si="73"/>
        <v>0</v>
      </c>
      <c r="AB207" s="145" t="str">
        <f>IF(AA207&gt;0,Y135&amp;Sprache!$E$71&amp;X135,"")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48"/>
      <c r="X3" s="849"/>
      <c r="Y3" s="849"/>
      <c r="Z3" s="849"/>
      <c r="AA3" s="849"/>
      <c r="AB3" s="848"/>
      <c r="AC3" s="849"/>
      <c r="AD3" s="849"/>
      <c r="AE3" s="849"/>
      <c r="AF3" s="849"/>
      <c r="AG3" s="848"/>
      <c r="AH3" s="849"/>
      <c r="AI3" s="849"/>
      <c r="AJ3" s="849"/>
      <c r="AK3" s="849"/>
      <c r="AL3" s="848"/>
      <c r="AM3" s="849"/>
      <c r="AN3" s="849"/>
      <c r="AO3" s="849"/>
      <c r="AP3" s="849"/>
    </row>
    <row r="4" spans="1:42" s="2" customFormat="1" ht="12.75" thickTop="1" x14ac:dyDescent="0.2">
      <c r="A4" s="242"/>
      <c r="B4" s="1">
        <v>1</v>
      </c>
      <c r="C4" s="21">
        <f ca="1">RANK(D4,$D$4:$D$12,1)</f>
        <v>1</v>
      </c>
      <c r="D4" s="13">
        <f ca="1">E4+ROW()/1000+(F4="")*10</f>
        <v>1.004</v>
      </c>
      <c r="E4" s="255">
        <f ca="1">IF($AI$15,RANK(AH17,AH$17:AH$25,1),RANK(X17,X$17:X$25,1))</f>
        <v>1</v>
      </c>
      <c r="F4" s="1" t="str">
        <f ca="1">$Q64</f>
        <v>FC Barcelona</v>
      </c>
      <c r="G4" s="1">
        <f t="shared" ref="G4:G12" ca="1" si="1">SUMIFS($X$64:$X$135,$V$64:$V$135,$F4)+SUMIFS($Y$64:$Y$135,$W$64:$W$135,$F4)</f>
        <v>8</v>
      </c>
      <c r="H4" s="1">
        <f t="shared" ref="H4:H12" ca="1" si="2">SUMIFS($Y$64:$Y$135,$V$64:$V$135,$F4)+SUMIFS($X$64:$X$135,$W$64:$W$135,$F4)</f>
        <v>2</v>
      </c>
      <c r="I4" s="13">
        <f t="shared" ref="I4:I12" ca="1" si="3">G4-H4</f>
        <v>6</v>
      </c>
      <c r="J4" s="1">
        <f ca="1">SUMIF($V$64:$V$135,F4,$AE$64:$AE$135)+SUMIF($W$64:$W$135,F4,$AF$64:$AF$135)</f>
        <v>9</v>
      </c>
      <c r="K4" s="1">
        <f t="shared" ref="K4:K12" ca="1" si="4">SUMPRODUCT(($V$64:$V$135=F4)*($X$64:$X$135&lt;&gt;""))+SUMPRODUCT(($W$64:$W$135=F4)*($Y$64:$Y$135&lt;&gt;""))</f>
        <v>3</v>
      </c>
      <c r="L4" s="1">
        <f t="shared" ref="L4:L12" ca="1" si="5">SUMPRODUCT(($V$64:$V$135=F4)*($X$64:$X$135&gt;$Y$64:$Y$135))+SUMPRODUCT(($W$64:$W$135=F4)*($X$64:$X$135&lt;$Y$64:$Y$135))</f>
        <v>3</v>
      </c>
      <c r="M4" s="1">
        <f t="shared" ref="M4:M12" ca="1" si="6">SUMPRODUCT(($V$64:$W$135=F4)*($X$64:$X$135=$Y$64:$Y$135)*($X$64:$X$135&lt;&gt;"")*($Y$64:$Y$135&lt;&gt;""))</f>
        <v>0</v>
      </c>
      <c r="N4" s="1">
        <f t="shared" ref="N4:N12" ca="1" si="7">SUMPRODUCT(($V$64:$V$135=F4)*($X$64:$X$135&lt;$Y$64:$Y$135))+SUMPRODUCT(($W$64:$W$135=F4)*($X$64:$X$135&gt;$Y$64:$Y$135))</f>
        <v>0</v>
      </c>
      <c r="O4" s="120">
        <f ca="1">SMALL($O$3:$V$3,1)</f>
        <v>99999</v>
      </c>
      <c r="P4" s="120">
        <f ca="1">SMALL($O$3:$V$3,2)</f>
        <v>99999</v>
      </c>
      <c r="Q4" s="120">
        <f ca="1">SMALL($O$3:$V$3,3)</f>
        <v>99999</v>
      </c>
      <c r="R4" s="120">
        <f ca="1">SMALL($O$3:$V$3,4)</f>
        <v>99999</v>
      </c>
      <c r="V4" s="1"/>
      <c r="W4" s="610"/>
      <c r="X4" s="611"/>
      <c r="Y4" s="612"/>
      <c r="Z4" s="613"/>
      <c r="AA4" s="614"/>
      <c r="AB4" s="615"/>
      <c r="AC4" s="616"/>
      <c r="AD4" s="617"/>
      <c r="AE4" s="613"/>
      <c r="AF4" s="613"/>
      <c r="AG4" s="615"/>
      <c r="AH4" s="616"/>
      <c r="AI4" s="617"/>
      <c r="AJ4" s="613"/>
      <c r="AK4" s="618"/>
      <c r="AL4" s="616"/>
      <c r="AM4" s="616"/>
      <c r="AN4" s="617"/>
      <c r="AO4" s="613"/>
      <c r="AP4" s="618"/>
    </row>
    <row r="5" spans="1:42" s="2" customFormat="1" x14ac:dyDescent="0.2">
      <c r="A5" s="242"/>
      <c r="B5" s="1">
        <v>2</v>
      </c>
      <c r="C5" s="22">
        <f t="shared" ref="C5:C12" ca="1" si="8">RANK(D5,$D$4:$D$12,1)</f>
        <v>2</v>
      </c>
      <c r="D5" s="13">
        <f t="shared" ref="D5:D12" ca="1" si="9">E5+ROW()/1000+(F5="")*10</f>
        <v>2.0049999999999999</v>
      </c>
      <c r="E5" s="255">
        <f t="shared" ref="E5:E12" ca="1" si="10">IF($AI$15,RANK(AH18,AH$17:AH$25,1),RANK(X18,X$17:X$25,1))</f>
        <v>2</v>
      </c>
      <c r="F5" s="1" t="str">
        <f t="shared" ref="F5:F12" ca="1" si="11">$Q65</f>
        <v>Manchester City</v>
      </c>
      <c r="G5" s="1">
        <f t="shared" ca="1" si="1"/>
        <v>6</v>
      </c>
      <c r="H5" s="1">
        <f t="shared" ca="1" si="2"/>
        <v>7</v>
      </c>
      <c r="I5" s="13">
        <f t="shared" ca="1" si="3"/>
        <v>-1</v>
      </c>
      <c r="J5" s="1">
        <f t="shared" ref="J5:J12" ca="1" si="12">SUMIF($V$64:$V$135,F5,$AE$64:$AE$135)+SUMIF($W$64:$W$135,F5,$AF$64:$AF$135)</f>
        <v>6</v>
      </c>
      <c r="K5" s="1">
        <f t="shared" ca="1" si="4"/>
        <v>3</v>
      </c>
      <c r="L5" s="1">
        <f t="shared" ca="1" si="5"/>
        <v>2</v>
      </c>
      <c r="M5" s="1">
        <f t="shared" ca="1" si="6"/>
        <v>0</v>
      </c>
      <c r="N5" s="1">
        <f t="shared" ca="1" si="7"/>
        <v>1</v>
      </c>
      <c r="O5" s="24"/>
      <c r="P5" s="25"/>
      <c r="V5" s="1"/>
      <c r="W5" s="615"/>
      <c r="X5" s="616"/>
      <c r="Y5" s="613"/>
      <c r="Z5" s="613"/>
      <c r="AA5" s="618"/>
      <c r="AB5" s="615"/>
      <c r="AC5" s="616"/>
      <c r="AD5" s="617"/>
      <c r="AE5" s="613"/>
      <c r="AF5" s="613"/>
      <c r="AG5" s="615"/>
      <c r="AH5" s="616"/>
      <c r="AI5" s="617"/>
      <c r="AJ5" s="613"/>
      <c r="AK5" s="618"/>
      <c r="AL5" s="616"/>
      <c r="AM5" s="616"/>
      <c r="AN5" s="617"/>
      <c r="AO5" s="613"/>
      <c r="AP5" s="618"/>
    </row>
    <row r="6" spans="1:42" s="2" customFormat="1" x14ac:dyDescent="0.2">
      <c r="A6" s="242"/>
      <c r="B6" s="1">
        <v>3</v>
      </c>
      <c r="C6" s="22">
        <f t="shared" ca="1" si="8"/>
        <v>4</v>
      </c>
      <c r="D6" s="13">
        <f t="shared" ca="1" si="9"/>
        <v>4.0060000000000002</v>
      </c>
      <c r="E6" s="255">
        <f t="shared" ca="1" si="10"/>
        <v>4</v>
      </c>
      <c r="F6" s="1" t="str">
        <f t="shared" ca="1" si="11"/>
        <v>Eintracht Frankfurt</v>
      </c>
      <c r="G6" s="1">
        <f t="shared" ca="1" si="1"/>
        <v>5</v>
      </c>
      <c r="H6" s="1">
        <f t="shared" ca="1" si="2"/>
        <v>8</v>
      </c>
      <c r="I6" s="13">
        <f t="shared" ca="1" si="3"/>
        <v>-3</v>
      </c>
      <c r="J6" s="1">
        <f t="shared" ca="1" si="12"/>
        <v>1</v>
      </c>
      <c r="K6" s="1">
        <f t="shared" ca="1" si="4"/>
        <v>3</v>
      </c>
      <c r="L6" s="1">
        <f t="shared" ca="1" si="5"/>
        <v>0</v>
      </c>
      <c r="M6" s="1">
        <f t="shared" ca="1" si="6"/>
        <v>1</v>
      </c>
      <c r="N6" s="1">
        <f t="shared" ca="1" si="7"/>
        <v>2</v>
      </c>
      <c r="O6" s="24"/>
      <c r="P6" s="25"/>
      <c r="V6" s="1"/>
      <c r="W6" s="615"/>
      <c r="X6" s="616"/>
      <c r="Y6" s="613"/>
      <c r="Z6" s="613"/>
      <c r="AA6" s="618"/>
      <c r="AB6" s="615"/>
      <c r="AC6" s="616"/>
      <c r="AD6" s="617"/>
      <c r="AE6" s="613"/>
      <c r="AF6" s="613"/>
      <c r="AG6" s="615"/>
      <c r="AH6" s="616"/>
      <c r="AI6" s="617"/>
      <c r="AJ6" s="613"/>
      <c r="AK6" s="618"/>
      <c r="AL6" s="616"/>
      <c r="AM6" s="616"/>
      <c r="AN6" s="617"/>
      <c r="AO6" s="613"/>
      <c r="AP6" s="618"/>
    </row>
    <row r="7" spans="1:42" s="2" customFormat="1" x14ac:dyDescent="0.2">
      <c r="A7" s="242"/>
      <c r="B7" s="1">
        <v>4</v>
      </c>
      <c r="C7" s="22">
        <f t="shared" ca="1" si="8"/>
        <v>3</v>
      </c>
      <c r="D7" s="13">
        <f t="shared" ca="1" si="9"/>
        <v>3.0070000000000001</v>
      </c>
      <c r="E7" s="255">
        <f t="shared" ca="1" si="10"/>
        <v>3</v>
      </c>
      <c r="F7" s="1" t="str">
        <f t="shared" ca="1" si="11"/>
        <v>Inter Mailand</v>
      </c>
      <c r="G7" s="1">
        <f t="shared" ca="1" si="1"/>
        <v>8</v>
      </c>
      <c r="H7" s="1">
        <f t="shared" ca="1" si="2"/>
        <v>10</v>
      </c>
      <c r="I7" s="13">
        <f t="shared" ca="1" si="3"/>
        <v>-2</v>
      </c>
      <c r="J7" s="1">
        <f t="shared" ca="1" si="12"/>
        <v>1</v>
      </c>
      <c r="K7" s="1">
        <f t="shared" ca="1" si="4"/>
        <v>3</v>
      </c>
      <c r="L7" s="1">
        <f t="shared" ca="1" si="5"/>
        <v>0</v>
      </c>
      <c r="M7" s="1">
        <f t="shared" ca="1" si="6"/>
        <v>1</v>
      </c>
      <c r="N7" s="1">
        <f t="shared" ca="1" si="7"/>
        <v>2</v>
      </c>
      <c r="O7" s="24"/>
      <c r="P7" s="25"/>
      <c r="V7" s="1"/>
      <c r="W7" s="615"/>
      <c r="X7" s="616"/>
      <c r="Y7" s="613"/>
      <c r="Z7" s="613"/>
      <c r="AA7" s="618"/>
      <c r="AB7" s="615"/>
      <c r="AC7" s="616"/>
      <c r="AD7" s="617"/>
      <c r="AE7" s="613"/>
      <c r="AF7" s="613"/>
      <c r="AG7" s="615"/>
      <c r="AH7" s="616"/>
      <c r="AI7" s="617"/>
      <c r="AJ7" s="613"/>
      <c r="AK7" s="618"/>
      <c r="AL7" s="616"/>
      <c r="AM7" s="616"/>
      <c r="AN7" s="617"/>
      <c r="AO7" s="613"/>
      <c r="AP7" s="618"/>
    </row>
    <row r="8" spans="1:42" s="2" customFormat="1" x14ac:dyDescent="0.2">
      <c r="A8" s="242"/>
      <c r="B8" s="1">
        <v>5</v>
      </c>
      <c r="C8" s="22">
        <f t="shared" ca="1" si="8"/>
        <v>5</v>
      </c>
      <c r="D8" s="13">
        <f t="shared" ca="1" si="9"/>
        <v>15.007999999999999</v>
      </c>
      <c r="E8" s="255">
        <f t="shared" ca="1" si="10"/>
        <v>5</v>
      </c>
      <c r="F8" s="1" t="str">
        <f t="shared" si="11"/>
        <v/>
      </c>
      <c r="G8" s="1">
        <f t="shared" ca="1" si="1"/>
        <v>0</v>
      </c>
      <c r="H8" s="1">
        <f t="shared" ca="1" si="2"/>
        <v>0</v>
      </c>
      <c r="I8" s="13">
        <f t="shared" ca="1" si="3"/>
        <v>0</v>
      </c>
      <c r="J8" s="1">
        <f t="shared" ca="1" si="12"/>
        <v>0</v>
      </c>
      <c r="K8" s="1">
        <f t="shared" ca="1" si="4"/>
        <v>0</v>
      </c>
      <c r="L8" s="1">
        <f t="shared" ca="1" si="5"/>
        <v>0</v>
      </c>
      <c r="M8" s="1">
        <f t="shared" ca="1" si="6"/>
        <v>0</v>
      </c>
      <c r="N8" s="1">
        <f t="shared" ca="1" si="7"/>
        <v>0</v>
      </c>
      <c r="P8" s="25"/>
      <c r="W8" s="615"/>
      <c r="X8" s="616"/>
      <c r="Y8" s="613"/>
      <c r="Z8" s="613"/>
      <c r="AA8" s="618"/>
      <c r="AB8" s="615"/>
      <c r="AC8" s="616"/>
      <c r="AD8" s="617"/>
      <c r="AE8" s="613"/>
      <c r="AF8" s="613"/>
      <c r="AG8" s="615"/>
      <c r="AH8" s="616"/>
      <c r="AI8" s="617"/>
      <c r="AJ8" s="613"/>
      <c r="AK8" s="618"/>
      <c r="AL8" s="616"/>
      <c r="AM8" s="616"/>
      <c r="AN8" s="617"/>
      <c r="AO8" s="613"/>
      <c r="AP8" s="618"/>
    </row>
    <row r="9" spans="1:42" s="2" customFormat="1" x14ac:dyDescent="0.2">
      <c r="A9" s="242"/>
      <c r="B9" s="1">
        <v>6</v>
      </c>
      <c r="C9" s="22">
        <f t="shared" ca="1" si="8"/>
        <v>6</v>
      </c>
      <c r="D9" s="13">
        <f t="shared" ca="1" si="9"/>
        <v>15.009</v>
      </c>
      <c r="E9" s="255">
        <f t="shared" ca="1" si="10"/>
        <v>5</v>
      </c>
      <c r="F9" s="1" t="str">
        <f t="shared" si="11"/>
        <v/>
      </c>
      <c r="G9" s="1">
        <f t="shared" ca="1" si="1"/>
        <v>0</v>
      </c>
      <c r="H9" s="1">
        <f t="shared" ca="1" si="2"/>
        <v>0</v>
      </c>
      <c r="I9" s="13">
        <f t="shared" ca="1" si="3"/>
        <v>0</v>
      </c>
      <c r="J9" s="1">
        <f t="shared" ca="1" si="12"/>
        <v>0</v>
      </c>
      <c r="K9" s="1">
        <f t="shared" ca="1" si="4"/>
        <v>0</v>
      </c>
      <c r="L9" s="1">
        <f t="shared" ca="1" si="5"/>
        <v>0</v>
      </c>
      <c r="M9" s="1">
        <f t="shared" ca="1" si="6"/>
        <v>0</v>
      </c>
      <c r="N9" s="1">
        <f t="shared" ca="1" si="7"/>
        <v>0</v>
      </c>
      <c r="P9" s="25"/>
      <c r="W9" s="615"/>
      <c r="X9" s="616"/>
      <c r="Y9" s="613"/>
      <c r="Z9" s="613"/>
      <c r="AA9" s="618"/>
      <c r="AB9" s="615"/>
      <c r="AC9" s="616"/>
      <c r="AD9" s="617"/>
      <c r="AE9" s="613"/>
      <c r="AF9" s="613"/>
      <c r="AG9" s="615"/>
      <c r="AH9" s="616"/>
      <c r="AI9" s="617"/>
      <c r="AJ9" s="613"/>
      <c r="AK9" s="618"/>
      <c r="AL9" s="616"/>
      <c r="AM9" s="616"/>
      <c r="AN9" s="617"/>
      <c r="AO9" s="613"/>
      <c r="AP9" s="618"/>
    </row>
    <row r="10" spans="1:42" s="2" customFormat="1" x14ac:dyDescent="0.2">
      <c r="A10" s="242"/>
      <c r="B10" s="1">
        <v>7</v>
      </c>
      <c r="C10" s="22">
        <f t="shared" ca="1" si="8"/>
        <v>7</v>
      </c>
      <c r="D10" s="13">
        <f t="shared" ca="1" si="9"/>
        <v>15.01</v>
      </c>
      <c r="E10" s="255">
        <f t="shared" ca="1" si="10"/>
        <v>5</v>
      </c>
      <c r="F10" s="1" t="str">
        <f t="shared" si="11"/>
        <v/>
      </c>
      <c r="G10" s="1">
        <f t="shared" ca="1" si="1"/>
        <v>0</v>
      </c>
      <c r="H10" s="1">
        <f t="shared" ca="1" si="2"/>
        <v>0</v>
      </c>
      <c r="I10" s="13">
        <f t="shared" ca="1" si="3"/>
        <v>0</v>
      </c>
      <c r="J10" s="1">
        <f t="shared" ca="1" si="12"/>
        <v>0</v>
      </c>
      <c r="K10" s="1">
        <f t="shared" ca="1" si="4"/>
        <v>0</v>
      </c>
      <c r="L10" s="1">
        <f t="shared" ca="1" si="5"/>
        <v>0</v>
      </c>
      <c r="M10" s="1">
        <f t="shared" ca="1" si="6"/>
        <v>0</v>
      </c>
      <c r="N10" s="1">
        <f t="shared" ca="1" si="7"/>
        <v>0</v>
      </c>
      <c r="P10" s="25"/>
      <c r="W10" s="615"/>
      <c r="X10" s="616"/>
      <c r="Y10" s="613"/>
      <c r="Z10" s="613"/>
      <c r="AA10" s="618"/>
      <c r="AB10" s="615"/>
      <c r="AC10" s="616"/>
      <c r="AD10" s="617"/>
      <c r="AE10" s="613"/>
      <c r="AF10" s="613"/>
      <c r="AG10" s="615"/>
      <c r="AH10" s="616"/>
      <c r="AI10" s="617"/>
      <c r="AJ10" s="613"/>
      <c r="AK10" s="618"/>
      <c r="AL10" s="616"/>
      <c r="AM10" s="616"/>
      <c r="AN10" s="617"/>
      <c r="AO10" s="613"/>
      <c r="AP10" s="618"/>
    </row>
    <row r="11" spans="1:42" s="2" customFormat="1" x14ac:dyDescent="0.2">
      <c r="A11" s="242"/>
      <c r="B11" s="1">
        <v>8</v>
      </c>
      <c r="C11" s="22">
        <f t="shared" ca="1" si="8"/>
        <v>8</v>
      </c>
      <c r="D11" s="13">
        <f t="shared" ca="1" si="9"/>
        <v>15.010999999999999</v>
      </c>
      <c r="E11" s="255">
        <f t="shared" ca="1" si="10"/>
        <v>5</v>
      </c>
      <c r="F11" s="1" t="str">
        <f t="shared" si="11"/>
        <v/>
      </c>
      <c r="G11" s="1">
        <f t="shared" ca="1" si="1"/>
        <v>0</v>
      </c>
      <c r="H11" s="1">
        <f t="shared" ca="1" si="2"/>
        <v>0</v>
      </c>
      <c r="I11" s="13">
        <f t="shared" ca="1" si="3"/>
        <v>0</v>
      </c>
      <c r="J11" s="1">
        <f t="shared" ca="1" si="12"/>
        <v>0</v>
      </c>
      <c r="K11" s="1">
        <f t="shared" ca="1" si="4"/>
        <v>0</v>
      </c>
      <c r="L11" s="1">
        <f t="shared" ca="1" si="5"/>
        <v>0</v>
      </c>
      <c r="M11" s="1">
        <f t="shared" ca="1" si="6"/>
        <v>0</v>
      </c>
      <c r="N11" s="1">
        <f t="shared" ca="1" si="7"/>
        <v>0</v>
      </c>
      <c r="O11" s="13"/>
      <c r="P11" s="13"/>
      <c r="Q11" s="13"/>
      <c r="R11" s="13"/>
      <c r="S11" s="13"/>
      <c r="T11" s="13"/>
      <c r="U11" s="13"/>
      <c r="V11" s="13"/>
      <c r="W11" s="615"/>
      <c r="X11" s="616"/>
      <c r="Y11" s="613"/>
      <c r="Z11" s="613"/>
      <c r="AA11" s="618"/>
      <c r="AB11" s="615"/>
      <c r="AC11" s="616"/>
      <c r="AD11" s="617"/>
      <c r="AE11" s="613"/>
      <c r="AF11" s="613"/>
      <c r="AG11" s="615"/>
      <c r="AH11" s="616"/>
      <c r="AI11" s="617"/>
      <c r="AJ11" s="613"/>
      <c r="AK11" s="618"/>
      <c r="AL11" s="616"/>
      <c r="AM11" s="616"/>
      <c r="AN11" s="617"/>
      <c r="AO11" s="613"/>
      <c r="AP11" s="618"/>
    </row>
    <row r="12" spans="1:42" s="2" customFormat="1" ht="12.75" thickBot="1" x14ac:dyDescent="0.25">
      <c r="A12" s="242"/>
      <c r="B12" s="1">
        <v>9</v>
      </c>
      <c r="C12" s="23">
        <f t="shared" ca="1" si="8"/>
        <v>9</v>
      </c>
      <c r="D12" s="13">
        <f t="shared" ca="1" si="9"/>
        <v>15.012</v>
      </c>
      <c r="E12" s="255">
        <f t="shared" ca="1" si="10"/>
        <v>5</v>
      </c>
      <c r="F12" s="1" t="str">
        <f t="shared" si="11"/>
        <v/>
      </c>
      <c r="G12" s="1">
        <f t="shared" ca="1" si="1"/>
        <v>0</v>
      </c>
      <c r="H12" s="1">
        <f t="shared" ca="1" si="2"/>
        <v>0</v>
      </c>
      <c r="I12" s="13">
        <f t="shared" ca="1" si="3"/>
        <v>0</v>
      </c>
      <c r="J12" s="1">
        <f t="shared" ca="1" si="12"/>
        <v>0</v>
      </c>
      <c r="K12" s="29">
        <f t="shared" ca="1" si="4"/>
        <v>0</v>
      </c>
      <c r="L12" s="1">
        <f t="shared" ca="1" si="5"/>
        <v>0</v>
      </c>
      <c r="M12" s="1">
        <f t="shared" ca="1" si="6"/>
        <v>0</v>
      </c>
      <c r="N12" s="1">
        <f t="shared" ca="1" si="7"/>
        <v>0</v>
      </c>
      <c r="O12" s="1"/>
      <c r="P12" s="1"/>
      <c r="Q12" s="1"/>
      <c r="R12" s="1"/>
      <c r="S12" s="1"/>
      <c r="T12" s="1"/>
      <c r="U12" s="1"/>
      <c r="V12" s="1"/>
      <c r="W12" s="619"/>
      <c r="X12" s="620"/>
      <c r="Y12" s="621"/>
      <c r="Z12" s="621"/>
      <c r="AA12" s="622"/>
      <c r="AB12" s="619"/>
      <c r="AC12" s="620"/>
      <c r="AD12" s="623"/>
      <c r="AE12" s="621"/>
      <c r="AF12" s="621"/>
      <c r="AG12" s="619"/>
      <c r="AH12" s="620"/>
      <c r="AI12" s="623"/>
      <c r="AJ12" s="621"/>
      <c r="AK12" s="622"/>
      <c r="AL12" s="620"/>
      <c r="AM12" s="620"/>
      <c r="AN12" s="623"/>
      <c r="AO12" s="621"/>
      <c r="AP12" s="622"/>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0" t="s">
        <v>190</v>
      </c>
      <c r="AE15" s="851"/>
      <c r="AF15" s="851"/>
      <c r="AG15" s="851"/>
      <c r="AH15" s="852"/>
      <c r="AI15" s="2" t="b">
        <f>(Einstellungen!$B$9=Sprache!$E$76)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 ca="1">$Q64</f>
        <v>FC Barcelona</v>
      </c>
      <c r="D17" s="1">
        <f t="shared" ref="D17:G25" ca="1" si="13">K4</f>
        <v>3</v>
      </c>
      <c r="E17" s="1">
        <f t="shared" ca="1" si="13"/>
        <v>3</v>
      </c>
      <c r="F17" s="1">
        <f t="shared" ca="1" si="13"/>
        <v>0</v>
      </c>
      <c r="G17" s="1">
        <f t="shared" ca="1" si="13"/>
        <v>0</v>
      </c>
      <c r="H17" s="1">
        <f t="shared" ref="H17:K25" ca="1" si="14">G4</f>
        <v>8</v>
      </c>
      <c r="I17" s="1">
        <f t="shared" ca="1" si="14"/>
        <v>2</v>
      </c>
      <c r="J17" s="13">
        <f t="shared" ca="1" si="14"/>
        <v>6</v>
      </c>
      <c r="K17" s="1">
        <f t="shared" ca="1" si="14"/>
        <v>9</v>
      </c>
      <c r="L17" s="30">
        <f t="shared" ref="L17:L25" ca="1" si="15">K17*$F$64+(J17+$H$65)*$F$65+H17*$F$66</f>
        <v>9506008</v>
      </c>
      <c r="M17" s="14">
        <f ca="1">IF($AI$15,COUNTIF($K$17:$K$25,K17),COUNTIF($L$17:$L$25,L17))</f>
        <v>1</v>
      </c>
      <c r="N17" s="14">
        <f t="array" aca="1" ref="N17" ca="1">IF($AI$15,SUM(($K$17:$K$25&gt;=K17)/COUNTIF($K$17:$K$25,$K$17:$K$25)),SUM(($L$17:$L$25&gt;=L17)/COUNTIF($L$17:$L$25,$L$17:$L$25)))</f>
        <v>1</v>
      </c>
      <c r="O17" s="54" t="str">
        <f t="shared" ref="O17:O25" ca="1" si="16">IF(AND(M17&gt;1,N17=1),C17,"")</f>
        <v/>
      </c>
      <c r="P17" s="55" t="str">
        <f t="shared" ref="P17:P25" ca="1" si="17">IF(AND(M17&gt;1,N17=2),C17,"")</f>
        <v/>
      </c>
      <c r="Q17" s="55" t="str">
        <f t="shared" ref="Q17:Q25" ca="1" si="18">IF(AND(M17&gt;1,N17=3),C17,"")</f>
        <v/>
      </c>
      <c r="R17" s="55" t="str">
        <f t="shared" ref="R17:R25" ca="1" si="19">IF(AND(M17&gt;1,N17=4),C17,"")</f>
        <v/>
      </c>
      <c r="S17" s="55" t="str">
        <f t="shared" ref="S17:S25" ca="1" si="20">IF(AND(M17&gt;1,N17=5),C17,"")</f>
        <v/>
      </c>
      <c r="T17" s="55" t="str">
        <f t="shared" ref="T17:T25" ca="1" si="21">IF(AND($M17&gt;1,$N17=6),$C17,"")</f>
        <v/>
      </c>
      <c r="U17" s="55" t="str">
        <f t="shared" ref="U17:U25" ca="1" si="22">IF(AND($M17&gt;1,$N17=7),$C17,"")</f>
        <v/>
      </c>
      <c r="V17" s="56" t="str">
        <f t="shared" ref="V17:V25" ca="1" si="23">IF(AND($M17&gt;1,$N17=8),$C17,"")</f>
        <v/>
      </c>
      <c r="W17" s="64">
        <f ca="1">AA17*$F$64+(AB17+$H$65)*$F$65+AC17*$F$66</f>
        <v>500000</v>
      </c>
      <c r="X17" s="21">
        <f ca="1">RANK($L17,$L$17:$L$25)+RANK($W17,$W$17:$W$25)/100+(9-$Y17)/10000</f>
        <v>1.0108999999999999</v>
      </c>
      <c r="Y17" s="13">
        <f>'Endrunde 4'!$AF12</f>
        <v>0</v>
      </c>
      <c r="Z17" s="1">
        <f ca="1">RANK($W17,$W$17:$W$25)+(9-$Y17)/10</f>
        <v>1.9</v>
      </c>
      <c r="AA17" s="1">
        <f ca="1">SUM(E30:BP30)</f>
        <v>0</v>
      </c>
      <c r="AB17" s="1">
        <f ca="1">SUM(E41:BP41)</f>
        <v>0</v>
      </c>
      <c r="AC17" s="1">
        <f ca="1">SUM(E52:BP52)</f>
        <v>0</v>
      </c>
      <c r="AD17" s="249">
        <f ca="1">RANK($K17,$K$17:$K$25)</f>
        <v>1</v>
      </c>
      <c r="AE17" s="30">
        <f ca="1">(J17+$H$65)*$F$65+H17*$F$66</f>
        <v>506008</v>
      </c>
      <c r="AF17" s="1">
        <f ca="1">RANK($AE17,$AE$17:$AE$25)</f>
        <v>1</v>
      </c>
      <c r="AG17" s="1">
        <f ca="1">RANK($W17,$W$17:$W$25)</f>
        <v>1</v>
      </c>
      <c r="AH17" s="251">
        <f ca="1">AD17+AG17/100+AF17/10000+(10-Y17)/1000000</f>
        <v>1.0101100000000001</v>
      </c>
      <c r="AI17" s="1"/>
    </row>
    <row r="18" spans="2:80" s="2" customFormat="1" x14ac:dyDescent="0.2">
      <c r="C18" s="2" t="str">
        <f t="shared" ref="C18:C25" ca="1" si="24">$Q65</f>
        <v>Manchester City</v>
      </c>
      <c r="D18" s="1">
        <f t="shared" ca="1" si="13"/>
        <v>3</v>
      </c>
      <c r="E18" s="1">
        <f t="shared" ca="1" si="13"/>
        <v>2</v>
      </c>
      <c r="F18" s="1">
        <f t="shared" ca="1" si="13"/>
        <v>0</v>
      </c>
      <c r="G18" s="1">
        <f t="shared" ca="1" si="13"/>
        <v>1</v>
      </c>
      <c r="H18" s="1">
        <f t="shared" ca="1" si="14"/>
        <v>6</v>
      </c>
      <c r="I18" s="1">
        <f t="shared" ca="1" si="14"/>
        <v>7</v>
      </c>
      <c r="J18" s="13">
        <f t="shared" ca="1" si="14"/>
        <v>-1</v>
      </c>
      <c r="K18" s="1">
        <f t="shared" ca="1" si="14"/>
        <v>6</v>
      </c>
      <c r="L18" s="30">
        <f t="shared" ca="1" si="15"/>
        <v>6499006</v>
      </c>
      <c r="M18" s="14">
        <f t="shared" ref="M18:M25" ca="1" si="25">IF($AI$15,COUNTIF($K$17:$K$25,K18),COUNTIF($L$17:$L$25,L18))</f>
        <v>1</v>
      </c>
      <c r="N18" s="14">
        <f t="array" aca="1" ref="N18" ca="1">IF($AI$15,SUM(($K$17:$K$25&gt;=K18)/COUNTIF($K$17:$K$25,$K$17:$K$25)),SUM(($L$17:$L$25&gt;=L18)/COUNTIF($L$17:$L$25,$L$17:$L$25)))</f>
        <v>2</v>
      </c>
      <c r="O18" s="6" t="str">
        <f t="shared" ca="1" si="16"/>
        <v/>
      </c>
      <c r="P18" s="4" t="str">
        <f t="shared" ca="1" si="17"/>
        <v/>
      </c>
      <c r="Q18" s="4" t="str">
        <f t="shared" ca="1" si="18"/>
        <v/>
      </c>
      <c r="R18" s="4" t="str">
        <f t="shared" ca="1" si="19"/>
        <v/>
      </c>
      <c r="S18" s="4" t="str">
        <f t="shared" ca="1" si="20"/>
        <v/>
      </c>
      <c r="T18" s="4" t="str">
        <f t="shared" ca="1" si="21"/>
        <v/>
      </c>
      <c r="U18" s="4" t="str">
        <f t="shared" ca="1" si="22"/>
        <v/>
      </c>
      <c r="V18" s="57" t="str">
        <f t="shared" ca="1" si="23"/>
        <v/>
      </c>
      <c r="W18" s="64">
        <f ca="1">AA18*$F$64+(AB18+$H$65)*$F$65+AC18*$F$66</f>
        <v>500000</v>
      </c>
      <c r="X18" s="22">
        <f t="shared" ref="X18:X25" ca="1" si="26">RANK($L18,$L$17:$L$25)+RANK($W18,$W$17:$W$25)/100+(9-$Y18)/10000</f>
        <v>2.0108999999999999</v>
      </c>
      <c r="Y18" s="13">
        <f>'Endrunde 4'!$AF13</f>
        <v>0</v>
      </c>
      <c r="Z18" s="1">
        <f t="shared" ref="Z18:Z25" ca="1" si="27">RANK($W18,$W$17:$W$25)+(9-$Y18)/10</f>
        <v>1.9</v>
      </c>
      <c r="AA18" s="1">
        <f t="shared" ref="AA18:AA25" ca="1" si="28">SUM(E31:BP31)</f>
        <v>0</v>
      </c>
      <c r="AB18" s="1">
        <f t="shared" ref="AB18:AB25" ca="1" si="29">SUM(E42:BP42)</f>
        <v>0</v>
      </c>
      <c r="AC18" s="1">
        <f t="shared" ref="AC18:AC25" ca="1" si="30">SUM(E53:BP53)</f>
        <v>0</v>
      </c>
      <c r="AD18" s="249">
        <f t="shared" ref="AD18:AD25" ca="1" si="31">RANK($K18,$K$17:$K$25)</f>
        <v>2</v>
      </c>
      <c r="AE18" s="30">
        <f ca="1">(J18+$H$65)*$F$65+H18*$F$66</f>
        <v>499006</v>
      </c>
      <c r="AF18" s="1">
        <f t="shared" ref="AF18:AF25" ca="1" si="32">RANK($AE18,$AE$17:$AE$25)</f>
        <v>2</v>
      </c>
      <c r="AG18" s="1">
        <f t="shared" ref="AG18:AG25" ca="1" si="33">RANK($W18,$W$17:$W$25)</f>
        <v>1</v>
      </c>
      <c r="AH18" s="252">
        <f t="shared" ref="AH18:AH25" ca="1" si="34">AD18+AG18/100+AF18/10000+(10-Y18)/1000000</f>
        <v>2.0102099999999998</v>
      </c>
      <c r="AI18" s="1"/>
    </row>
    <row r="19" spans="2:80" s="2" customFormat="1" x14ac:dyDescent="0.2">
      <c r="C19" s="2" t="str">
        <f t="shared" ca="1" si="24"/>
        <v>Eintracht Frankfurt</v>
      </c>
      <c r="D19" s="1">
        <f t="shared" ca="1" si="13"/>
        <v>3</v>
      </c>
      <c r="E19" s="1">
        <f t="shared" ca="1" si="13"/>
        <v>0</v>
      </c>
      <c r="F19" s="1">
        <f t="shared" ca="1" si="13"/>
        <v>1</v>
      </c>
      <c r="G19" s="1">
        <f t="shared" ca="1" si="13"/>
        <v>2</v>
      </c>
      <c r="H19" s="1">
        <f t="shared" ca="1" si="14"/>
        <v>5</v>
      </c>
      <c r="I19" s="1">
        <f t="shared" ca="1" si="14"/>
        <v>8</v>
      </c>
      <c r="J19" s="13">
        <f t="shared" ca="1" si="14"/>
        <v>-3</v>
      </c>
      <c r="K19" s="1">
        <f t="shared" ca="1" si="14"/>
        <v>1</v>
      </c>
      <c r="L19" s="30">
        <f t="shared" ca="1" si="15"/>
        <v>1497005</v>
      </c>
      <c r="M19" s="14">
        <f t="shared" ca="1" si="25"/>
        <v>1</v>
      </c>
      <c r="N19" s="14">
        <f t="array" aca="1" ref="N19" ca="1">IF($AI$15,SUM(($K$17:$K$25&gt;=K19)/COUNTIF($K$17:$K$25,$K$17:$K$25)),SUM(($L$17:$L$25&gt;=L19)/COUNTIF($L$17:$L$25,$L$17:$L$25)))</f>
        <v>4</v>
      </c>
      <c r="O19" s="6" t="str">
        <f t="shared" ca="1" si="16"/>
        <v/>
      </c>
      <c r="P19" s="4" t="str">
        <f t="shared" ca="1" si="17"/>
        <v/>
      </c>
      <c r="Q19" s="4" t="str">
        <f t="shared" ca="1" si="18"/>
        <v/>
      </c>
      <c r="R19" s="4" t="str">
        <f t="shared" ca="1" si="19"/>
        <v/>
      </c>
      <c r="S19" s="4" t="str">
        <f t="shared" ca="1" si="20"/>
        <v/>
      </c>
      <c r="T19" s="4" t="str">
        <f t="shared" ca="1" si="21"/>
        <v/>
      </c>
      <c r="U19" s="4" t="str">
        <f t="shared" ca="1" si="22"/>
        <v/>
      </c>
      <c r="V19" s="57" t="str">
        <f t="shared" ca="1" si="23"/>
        <v/>
      </c>
      <c r="W19" s="64">
        <f ca="1">AA19*$F$64+(AB19+$H$65)*$F$65+AC19*$F$66</f>
        <v>500000</v>
      </c>
      <c r="X19" s="22">
        <f t="shared" ca="1" si="26"/>
        <v>4.0108999999999995</v>
      </c>
      <c r="Y19" s="13">
        <f>'Endrunde 4'!$AF14</f>
        <v>0</v>
      </c>
      <c r="Z19" s="1">
        <f t="shared" ca="1" si="27"/>
        <v>1.9</v>
      </c>
      <c r="AA19" s="1">
        <f t="shared" ca="1" si="28"/>
        <v>0</v>
      </c>
      <c r="AB19" s="1">
        <f t="shared" ca="1" si="29"/>
        <v>0</v>
      </c>
      <c r="AC19" s="1">
        <f t="shared" ca="1" si="30"/>
        <v>0</v>
      </c>
      <c r="AD19" s="249">
        <f t="shared" ca="1" si="31"/>
        <v>3</v>
      </c>
      <c r="AE19" s="30">
        <f ca="1">(J19+$H$65)*$F$65+H19*$F$66</f>
        <v>497005</v>
      </c>
      <c r="AF19" s="1">
        <f t="shared" ca="1" si="32"/>
        <v>4</v>
      </c>
      <c r="AG19" s="1">
        <f t="shared" ca="1" si="33"/>
        <v>1</v>
      </c>
      <c r="AH19" s="252">
        <f t="shared" ca="1" si="34"/>
        <v>3.0104099999999998</v>
      </c>
      <c r="AI19" s="1"/>
    </row>
    <row r="20" spans="2:80" s="2" customFormat="1" x14ac:dyDescent="0.2">
      <c r="C20" s="2" t="str">
        <f t="shared" ca="1" si="24"/>
        <v>Inter Mailand</v>
      </c>
      <c r="D20" s="1">
        <f t="shared" ca="1" si="13"/>
        <v>3</v>
      </c>
      <c r="E20" s="1">
        <f t="shared" ca="1" si="13"/>
        <v>0</v>
      </c>
      <c r="F20" s="1">
        <f t="shared" ca="1" si="13"/>
        <v>1</v>
      </c>
      <c r="G20" s="1">
        <f t="shared" ca="1" si="13"/>
        <v>2</v>
      </c>
      <c r="H20" s="1">
        <f t="shared" ca="1" si="14"/>
        <v>8</v>
      </c>
      <c r="I20" s="1">
        <f t="shared" ca="1" si="14"/>
        <v>10</v>
      </c>
      <c r="J20" s="13">
        <f t="shared" ca="1" si="14"/>
        <v>-2</v>
      </c>
      <c r="K20" s="1">
        <f t="shared" ca="1" si="14"/>
        <v>1</v>
      </c>
      <c r="L20" s="30">
        <f t="shared" ca="1" si="15"/>
        <v>1498008</v>
      </c>
      <c r="M20" s="14">
        <f t="shared" ca="1" si="25"/>
        <v>1</v>
      </c>
      <c r="N20" s="14">
        <f t="array" aca="1" ref="N20" ca="1">IF($AI$15,SUM(($K$17:$K$25&gt;=K20)/COUNTIF($K$17:$K$25,$K$17:$K$25)),SUM(($L$17:$L$25&gt;=L20)/COUNTIF($L$17:$L$25,$L$17:$L$25)))</f>
        <v>3</v>
      </c>
      <c r="O20" s="6" t="str">
        <f t="shared" ca="1" si="16"/>
        <v/>
      </c>
      <c r="P20" s="4" t="str">
        <f t="shared" ca="1" si="17"/>
        <v/>
      </c>
      <c r="Q20" s="4" t="str">
        <f t="shared" ca="1" si="18"/>
        <v/>
      </c>
      <c r="R20" s="4" t="str">
        <f t="shared" ca="1" si="19"/>
        <v/>
      </c>
      <c r="S20" s="4" t="str">
        <f t="shared" ca="1" si="20"/>
        <v/>
      </c>
      <c r="T20" s="4" t="str">
        <f t="shared" ca="1" si="21"/>
        <v/>
      </c>
      <c r="U20" s="4" t="str">
        <f t="shared" ca="1" si="22"/>
        <v/>
      </c>
      <c r="V20" s="57" t="str">
        <f t="shared" ca="1" si="23"/>
        <v/>
      </c>
      <c r="W20" s="64">
        <f ca="1">AA20*$F$64+(AB20+$H$65)*$F$65+AC20*$F$66</f>
        <v>500000</v>
      </c>
      <c r="X20" s="22">
        <f t="shared" ca="1" si="26"/>
        <v>3.0108999999999999</v>
      </c>
      <c r="Y20" s="13">
        <f>'Endrunde 4'!$AF15</f>
        <v>0</v>
      </c>
      <c r="Z20" s="1">
        <f t="shared" ca="1" si="27"/>
        <v>1.9</v>
      </c>
      <c r="AA20" s="1">
        <f t="shared" ca="1" si="28"/>
        <v>0</v>
      </c>
      <c r="AB20" s="1">
        <f t="shared" ca="1" si="29"/>
        <v>0</v>
      </c>
      <c r="AC20" s="1">
        <f t="shared" ca="1" si="30"/>
        <v>0</v>
      </c>
      <c r="AD20" s="249">
        <f t="shared" ca="1" si="31"/>
        <v>3</v>
      </c>
      <c r="AE20" s="30">
        <f ca="1">(J20+$H$65)*$F$65+H20*$F$66</f>
        <v>498008</v>
      </c>
      <c r="AF20" s="1">
        <f t="shared" ca="1" si="32"/>
        <v>3</v>
      </c>
      <c r="AG20" s="1">
        <f t="shared" ca="1" si="33"/>
        <v>1</v>
      </c>
      <c r="AH20" s="252">
        <f t="shared" ca="1" si="34"/>
        <v>3.01031</v>
      </c>
      <c r="AI20" s="1"/>
    </row>
    <row r="21" spans="2:80" s="2" customFormat="1" x14ac:dyDescent="0.2">
      <c r="C21" s="2" t="str">
        <f t="shared" si="24"/>
        <v/>
      </c>
      <c r="D21" s="1">
        <f t="shared" ca="1" si="13"/>
        <v>0</v>
      </c>
      <c r="E21" s="1">
        <f t="shared" ca="1" si="13"/>
        <v>0</v>
      </c>
      <c r="F21" s="1">
        <f t="shared" ca="1" si="13"/>
        <v>0</v>
      </c>
      <c r="G21" s="1">
        <f t="shared" ca="1" si="13"/>
        <v>0</v>
      </c>
      <c r="H21" s="1">
        <f t="shared" ca="1" si="14"/>
        <v>0</v>
      </c>
      <c r="I21" s="1">
        <f t="shared" ca="1" si="14"/>
        <v>0</v>
      </c>
      <c r="J21" s="13">
        <f t="shared" ca="1" si="14"/>
        <v>0</v>
      </c>
      <c r="K21" s="1">
        <f t="shared" ca="1" si="14"/>
        <v>0</v>
      </c>
      <c r="L21" s="30">
        <f t="shared" ca="1" si="15"/>
        <v>500000</v>
      </c>
      <c r="M21" s="14">
        <f t="shared" ca="1" si="25"/>
        <v>5</v>
      </c>
      <c r="N21" s="14">
        <f t="array" aca="1" ref="N21" ca="1">IF($AI$15,SUM(($K$17:$K$25&gt;=K21)/COUNTIF($K$17:$K$25,$K$17:$K$25)),SUM(($L$17:$L$25&gt;=L21)/COUNTIF($L$17:$L$25,$L$17:$L$25)))</f>
        <v>5.0000000000000009</v>
      </c>
      <c r="O21" s="6" t="str">
        <f t="shared" ca="1" si="16"/>
        <v/>
      </c>
      <c r="P21" s="4" t="str">
        <f t="shared" ca="1" si="17"/>
        <v/>
      </c>
      <c r="Q21" s="4" t="str">
        <f t="shared" ca="1" si="18"/>
        <v/>
      </c>
      <c r="R21" s="4" t="str">
        <f t="shared" ca="1" si="19"/>
        <v/>
      </c>
      <c r="S21" s="4" t="str">
        <f t="shared" ca="1" si="20"/>
        <v/>
      </c>
      <c r="T21" s="4" t="str">
        <f t="shared" ca="1" si="21"/>
        <v/>
      </c>
      <c r="U21" s="4" t="str">
        <f t="shared" ca="1" si="22"/>
        <v/>
      </c>
      <c r="V21" s="57" t="str">
        <f t="shared" ca="1" si="23"/>
        <v/>
      </c>
      <c r="W21" s="64">
        <v>0</v>
      </c>
      <c r="X21" s="22">
        <f t="shared" ca="1" si="26"/>
        <v>5.0508999999999995</v>
      </c>
      <c r="Y21" s="13">
        <v>0</v>
      </c>
      <c r="Z21" s="1">
        <f t="shared" ca="1" si="27"/>
        <v>5.9</v>
      </c>
      <c r="AA21" s="1">
        <f t="shared" ca="1" si="28"/>
        <v>0</v>
      </c>
      <c r="AB21" s="1">
        <f t="shared" ca="1" si="29"/>
        <v>0</v>
      </c>
      <c r="AC21" s="1">
        <f t="shared" ca="1" si="30"/>
        <v>0</v>
      </c>
      <c r="AD21" s="249">
        <f t="shared" ca="1" si="31"/>
        <v>5</v>
      </c>
      <c r="AE21" s="30">
        <v>0</v>
      </c>
      <c r="AF21" s="1">
        <f t="shared" ca="1" si="32"/>
        <v>5</v>
      </c>
      <c r="AG21" s="1">
        <f t="shared" ca="1" si="33"/>
        <v>5</v>
      </c>
      <c r="AH21" s="252">
        <f t="shared" ca="1" si="34"/>
        <v>5.0505099999999992</v>
      </c>
      <c r="AI21" s="1"/>
    </row>
    <row r="22" spans="2:80" s="2" customFormat="1" x14ac:dyDescent="0.2">
      <c r="C22" s="2" t="str">
        <f t="shared" si="24"/>
        <v/>
      </c>
      <c r="D22" s="1">
        <f t="shared" ca="1" si="13"/>
        <v>0</v>
      </c>
      <c r="E22" s="1">
        <f t="shared" ca="1" si="13"/>
        <v>0</v>
      </c>
      <c r="F22" s="1">
        <f t="shared" ca="1" si="13"/>
        <v>0</v>
      </c>
      <c r="G22" s="1">
        <f t="shared" ca="1" si="13"/>
        <v>0</v>
      </c>
      <c r="H22" s="1">
        <f t="shared" ca="1" si="14"/>
        <v>0</v>
      </c>
      <c r="I22" s="1">
        <f t="shared" ca="1" si="14"/>
        <v>0</v>
      </c>
      <c r="J22" s="13">
        <f t="shared" ca="1" si="14"/>
        <v>0</v>
      </c>
      <c r="K22" s="1">
        <f t="shared" ca="1" si="14"/>
        <v>0</v>
      </c>
      <c r="L22" s="30">
        <f t="shared" ca="1" si="15"/>
        <v>500000</v>
      </c>
      <c r="M22" s="14">
        <f t="shared" ca="1" si="25"/>
        <v>5</v>
      </c>
      <c r="N22" s="14">
        <f t="array" aca="1" ref="N22" ca="1">IF($AI$15,SUM(($K$17:$K$25&gt;=K22)/COUNTIF($K$17:$K$25,$K$17:$K$25)),SUM(($L$17:$L$25&gt;=L22)/COUNTIF($L$17:$L$25,$L$17:$L$25)))</f>
        <v>5.0000000000000009</v>
      </c>
      <c r="O22" s="6" t="str">
        <f t="shared" ca="1" si="16"/>
        <v/>
      </c>
      <c r="P22" s="4" t="str">
        <f t="shared" ca="1" si="17"/>
        <v/>
      </c>
      <c r="Q22" s="4" t="str">
        <f t="shared" ca="1" si="18"/>
        <v/>
      </c>
      <c r="R22" s="4" t="str">
        <f t="shared" ca="1" si="19"/>
        <v/>
      </c>
      <c r="S22" s="4" t="str">
        <f t="shared" ca="1" si="20"/>
        <v/>
      </c>
      <c r="T22" s="4" t="str">
        <f t="shared" ca="1" si="21"/>
        <v/>
      </c>
      <c r="U22" s="4" t="str">
        <f t="shared" ca="1" si="22"/>
        <v/>
      </c>
      <c r="V22" s="57" t="str">
        <f t="shared" ca="1" si="23"/>
        <v/>
      </c>
      <c r="W22" s="64">
        <v>0</v>
      </c>
      <c r="X22" s="22">
        <f t="shared" ca="1" si="26"/>
        <v>5.0508999999999995</v>
      </c>
      <c r="Y22" s="13">
        <v>0</v>
      </c>
      <c r="Z22" s="1">
        <f t="shared" ca="1" si="27"/>
        <v>5.9</v>
      </c>
      <c r="AA22" s="1">
        <f t="shared" ca="1" si="28"/>
        <v>0</v>
      </c>
      <c r="AB22" s="1">
        <f t="shared" ca="1" si="29"/>
        <v>0</v>
      </c>
      <c r="AC22" s="1">
        <f t="shared" ca="1" si="30"/>
        <v>0</v>
      </c>
      <c r="AD22" s="249">
        <f t="shared" ca="1" si="31"/>
        <v>5</v>
      </c>
      <c r="AE22" s="30">
        <v>0</v>
      </c>
      <c r="AF22" s="1">
        <f t="shared" ca="1" si="32"/>
        <v>5</v>
      </c>
      <c r="AG22" s="1">
        <f t="shared" ca="1" si="33"/>
        <v>5</v>
      </c>
      <c r="AH22" s="252">
        <f t="shared" ca="1" si="34"/>
        <v>5.0505099999999992</v>
      </c>
      <c r="AI22" s="1"/>
    </row>
    <row r="23" spans="2:80" s="2" customFormat="1" x14ac:dyDescent="0.2">
      <c r="C23" s="2" t="str">
        <f t="shared" si="24"/>
        <v/>
      </c>
      <c r="D23" s="1">
        <f t="shared" ca="1" si="13"/>
        <v>0</v>
      </c>
      <c r="E23" s="1">
        <f t="shared" ca="1" si="13"/>
        <v>0</v>
      </c>
      <c r="F23" s="1">
        <f t="shared" ca="1" si="13"/>
        <v>0</v>
      </c>
      <c r="G23" s="1">
        <f t="shared" ca="1" si="13"/>
        <v>0</v>
      </c>
      <c r="H23" s="1">
        <f t="shared" ca="1" si="14"/>
        <v>0</v>
      </c>
      <c r="I23" s="1">
        <f t="shared" ca="1" si="14"/>
        <v>0</v>
      </c>
      <c r="J23" s="13">
        <f t="shared" ca="1" si="14"/>
        <v>0</v>
      </c>
      <c r="K23" s="1">
        <f t="shared" ca="1" si="14"/>
        <v>0</v>
      </c>
      <c r="L23" s="30">
        <f t="shared" ca="1" si="15"/>
        <v>500000</v>
      </c>
      <c r="M23" s="14">
        <f t="shared" ca="1" si="25"/>
        <v>5</v>
      </c>
      <c r="N23" s="14">
        <f t="array" aca="1" ref="N23" ca="1">IF($AI$15,SUM(($K$17:$K$25&gt;=K23)/COUNTIF($K$17:$K$25,$K$17:$K$25)),SUM(($L$17:$L$25&gt;=L23)/COUNTIF($L$17:$L$25,$L$17:$L$25)))</f>
        <v>5.0000000000000009</v>
      </c>
      <c r="O23" s="6" t="str">
        <f t="shared" ca="1" si="16"/>
        <v/>
      </c>
      <c r="P23" s="4" t="str">
        <f t="shared" ca="1" si="17"/>
        <v/>
      </c>
      <c r="Q23" s="4" t="str">
        <f t="shared" ca="1" si="18"/>
        <v/>
      </c>
      <c r="R23" s="4" t="str">
        <f t="shared" ca="1" si="19"/>
        <v/>
      </c>
      <c r="S23" s="4" t="str">
        <f t="shared" ca="1" si="20"/>
        <v/>
      </c>
      <c r="T23" s="4" t="str">
        <f t="shared" ca="1" si="21"/>
        <v/>
      </c>
      <c r="U23" s="4" t="str">
        <f t="shared" ca="1" si="22"/>
        <v/>
      </c>
      <c r="V23" s="57" t="str">
        <f t="shared" ca="1" si="23"/>
        <v/>
      </c>
      <c r="W23" s="64">
        <v>0</v>
      </c>
      <c r="X23" s="22">
        <f t="shared" ca="1" si="26"/>
        <v>5.0508999999999995</v>
      </c>
      <c r="Y23" s="13">
        <v>0</v>
      </c>
      <c r="Z23" s="1">
        <f t="shared" ca="1" si="27"/>
        <v>5.9</v>
      </c>
      <c r="AA23" s="1">
        <f t="shared" ca="1" si="28"/>
        <v>0</v>
      </c>
      <c r="AB23" s="1">
        <f t="shared" ca="1" si="29"/>
        <v>0</v>
      </c>
      <c r="AC23" s="1">
        <f t="shared" ca="1" si="30"/>
        <v>0</v>
      </c>
      <c r="AD23" s="249">
        <f t="shared" ca="1" si="31"/>
        <v>5</v>
      </c>
      <c r="AE23" s="30">
        <v>0</v>
      </c>
      <c r="AF23" s="1">
        <f t="shared" ca="1" si="32"/>
        <v>5</v>
      </c>
      <c r="AG23" s="1">
        <f t="shared" ca="1" si="33"/>
        <v>5</v>
      </c>
      <c r="AH23" s="252">
        <f t="shared" ca="1" si="34"/>
        <v>5.0505099999999992</v>
      </c>
      <c r="AI23" s="1"/>
    </row>
    <row r="24" spans="2:80" s="2" customFormat="1" x14ac:dyDescent="0.2">
      <c r="C24" s="2" t="str">
        <f t="shared" si="24"/>
        <v/>
      </c>
      <c r="D24" s="1">
        <f t="shared" ca="1" si="13"/>
        <v>0</v>
      </c>
      <c r="E24" s="1">
        <f t="shared" ca="1" si="13"/>
        <v>0</v>
      </c>
      <c r="F24" s="1">
        <f t="shared" ca="1" si="13"/>
        <v>0</v>
      </c>
      <c r="G24" s="1">
        <f t="shared" ca="1" si="13"/>
        <v>0</v>
      </c>
      <c r="H24" s="1">
        <f t="shared" ca="1" si="14"/>
        <v>0</v>
      </c>
      <c r="I24" s="1">
        <f t="shared" ca="1" si="14"/>
        <v>0</v>
      </c>
      <c r="J24" s="13">
        <f t="shared" ca="1" si="14"/>
        <v>0</v>
      </c>
      <c r="K24" s="1">
        <f t="shared" ca="1" si="14"/>
        <v>0</v>
      </c>
      <c r="L24" s="30">
        <f t="shared" ca="1" si="15"/>
        <v>500000</v>
      </c>
      <c r="M24" s="14">
        <f t="shared" ca="1" si="25"/>
        <v>5</v>
      </c>
      <c r="N24" s="14">
        <f t="array" aca="1" ref="N24" ca="1">IF($AI$15,SUM(($K$17:$K$25&gt;=K24)/COUNTIF($K$17:$K$25,$K$17:$K$25)),SUM(($L$17:$L$25&gt;=L24)/COUNTIF($L$17:$L$25,$L$17:$L$25)))</f>
        <v>5.0000000000000009</v>
      </c>
      <c r="O24" s="6" t="str">
        <f t="shared" ca="1" si="16"/>
        <v/>
      </c>
      <c r="P24" s="4" t="str">
        <f t="shared" ca="1" si="17"/>
        <v/>
      </c>
      <c r="Q24" s="4" t="str">
        <f t="shared" ca="1" si="18"/>
        <v/>
      </c>
      <c r="R24" s="4" t="str">
        <f t="shared" ca="1" si="19"/>
        <v/>
      </c>
      <c r="S24" s="4" t="str">
        <f t="shared" ca="1" si="20"/>
        <v/>
      </c>
      <c r="T24" s="4" t="str">
        <f t="shared" ca="1" si="21"/>
        <v/>
      </c>
      <c r="U24" s="4" t="str">
        <f t="shared" ca="1" si="22"/>
        <v/>
      </c>
      <c r="V24" s="57" t="str">
        <f t="shared" ca="1" si="23"/>
        <v/>
      </c>
      <c r="W24" s="64">
        <v>0</v>
      </c>
      <c r="X24" s="22">
        <f t="shared" ca="1" si="26"/>
        <v>5.0508999999999995</v>
      </c>
      <c r="Y24" s="13">
        <v>0</v>
      </c>
      <c r="Z24" s="1">
        <f t="shared" ca="1" si="27"/>
        <v>5.9</v>
      </c>
      <c r="AA24" s="1">
        <f t="shared" ca="1" si="28"/>
        <v>0</v>
      </c>
      <c r="AB24" s="1">
        <f t="shared" ca="1" si="29"/>
        <v>0</v>
      </c>
      <c r="AC24" s="1">
        <f t="shared" ca="1" si="30"/>
        <v>0</v>
      </c>
      <c r="AD24" s="249">
        <f t="shared" ca="1" si="31"/>
        <v>5</v>
      </c>
      <c r="AE24" s="30">
        <v>0</v>
      </c>
      <c r="AF24" s="1">
        <f t="shared" ca="1" si="32"/>
        <v>5</v>
      </c>
      <c r="AG24" s="1">
        <f t="shared" ca="1" si="33"/>
        <v>5</v>
      </c>
      <c r="AH24" s="252">
        <f t="shared" ca="1" si="34"/>
        <v>5.0505099999999992</v>
      </c>
      <c r="AI24" s="1"/>
    </row>
    <row r="25" spans="2:80" s="2" customFormat="1" ht="12.75" thickBot="1" x14ac:dyDescent="0.25">
      <c r="C25" s="2" t="str">
        <f t="shared" si="24"/>
        <v/>
      </c>
      <c r="D25" s="1">
        <f t="shared" ca="1" si="13"/>
        <v>0</v>
      </c>
      <c r="E25" s="1">
        <f t="shared" ca="1" si="13"/>
        <v>0</v>
      </c>
      <c r="F25" s="1">
        <f t="shared" ca="1" si="13"/>
        <v>0</v>
      </c>
      <c r="G25" s="1">
        <f t="shared" ca="1" si="13"/>
        <v>0</v>
      </c>
      <c r="H25" s="1">
        <f t="shared" ca="1" si="14"/>
        <v>0</v>
      </c>
      <c r="I25" s="1">
        <f t="shared" ca="1" si="14"/>
        <v>0</v>
      </c>
      <c r="J25" s="13">
        <f t="shared" ca="1" si="14"/>
        <v>0</v>
      </c>
      <c r="K25" s="1">
        <f t="shared" ca="1" si="14"/>
        <v>0</v>
      </c>
      <c r="L25" s="30">
        <f t="shared" ca="1" si="15"/>
        <v>500000</v>
      </c>
      <c r="M25" s="14">
        <f t="shared" ca="1" si="25"/>
        <v>5</v>
      </c>
      <c r="N25" s="14">
        <f t="array" aca="1" ref="N25" ca="1">IF($AI$15,SUM(($K$17:$K$25&gt;=K25)/COUNTIF($K$17:$K$25,$K$17:$K$25)),SUM(($L$17:$L$25&gt;=L25)/COUNTIF($L$17:$L$25,$L$17:$L$25)))</f>
        <v>5.0000000000000009</v>
      </c>
      <c r="O25" s="58" t="str">
        <f t="shared" ca="1" si="16"/>
        <v/>
      </c>
      <c r="P25" s="59" t="str">
        <f t="shared" ca="1" si="17"/>
        <v/>
      </c>
      <c r="Q25" s="59" t="str">
        <f t="shared" ca="1" si="18"/>
        <v/>
      </c>
      <c r="R25" s="59" t="str">
        <f t="shared" ca="1" si="19"/>
        <v/>
      </c>
      <c r="S25" s="59" t="str">
        <f t="shared" ca="1" si="20"/>
        <v/>
      </c>
      <c r="T25" s="59" t="str">
        <f t="shared" ca="1" si="21"/>
        <v/>
      </c>
      <c r="U25" s="59" t="str">
        <f t="shared" ca="1" si="22"/>
        <v/>
      </c>
      <c r="V25" s="60" t="str">
        <f t="shared" ca="1" si="23"/>
        <v/>
      </c>
      <c r="W25" s="64">
        <v>0</v>
      </c>
      <c r="X25" s="23">
        <f t="shared" ca="1" si="26"/>
        <v>5.0508999999999995</v>
      </c>
      <c r="Y25" s="13">
        <v>0</v>
      </c>
      <c r="Z25" s="1">
        <f t="shared" ca="1" si="27"/>
        <v>5.9</v>
      </c>
      <c r="AA25" s="1">
        <f t="shared" ca="1" si="28"/>
        <v>0</v>
      </c>
      <c r="AB25" s="1">
        <f t="shared" ca="1" si="29"/>
        <v>0</v>
      </c>
      <c r="AC25" s="1">
        <f t="shared" ca="1" si="30"/>
        <v>0</v>
      </c>
      <c r="AD25" s="249">
        <f t="shared" ca="1" si="31"/>
        <v>5</v>
      </c>
      <c r="AE25" s="30">
        <v>0</v>
      </c>
      <c r="AF25" s="1">
        <f t="shared" ca="1" si="32"/>
        <v>5</v>
      </c>
      <c r="AG25" s="1">
        <f t="shared" ca="1" si="33"/>
        <v>5</v>
      </c>
      <c r="AH25" s="253">
        <f t="shared" ca="1" si="34"/>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7">
        <v>1</v>
      </c>
      <c r="F29" s="854"/>
      <c r="G29" s="854"/>
      <c r="H29" s="854"/>
      <c r="I29" s="854"/>
      <c r="J29" s="854"/>
      <c r="K29" s="854"/>
      <c r="L29" s="856"/>
      <c r="M29" s="853">
        <v>2</v>
      </c>
      <c r="N29" s="854"/>
      <c r="O29" s="854"/>
      <c r="P29" s="854"/>
      <c r="Q29" s="854"/>
      <c r="R29" s="854"/>
      <c r="S29" s="854"/>
      <c r="T29" s="856"/>
      <c r="U29" s="853">
        <v>3</v>
      </c>
      <c r="V29" s="854"/>
      <c r="W29" s="854"/>
      <c r="X29" s="854"/>
      <c r="Y29" s="854"/>
      <c r="Z29" s="854"/>
      <c r="AA29" s="854"/>
      <c r="AB29" s="856"/>
      <c r="AC29" s="853">
        <v>4</v>
      </c>
      <c r="AD29" s="854"/>
      <c r="AE29" s="854"/>
      <c r="AF29" s="854"/>
      <c r="AG29" s="854"/>
      <c r="AH29" s="854"/>
      <c r="AI29" s="854"/>
      <c r="AJ29" s="856"/>
      <c r="AK29" s="853">
        <v>5</v>
      </c>
      <c r="AL29" s="854"/>
      <c r="AM29" s="854"/>
      <c r="AN29" s="854"/>
      <c r="AO29" s="854"/>
      <c r="AP29" s="854"/>
      <c r="AQ29" s="854"/>
      <c r="AR29" s="856"/>
      <c r="AS29" s="853">
        <v>6</v>
      </c>
      <c r="AT29" s="854"/>
      <c r="AU29" s="854"/>
      <c r="AV29" s="854"/>
      <c r="AW29" s="854"/>
      <c r="AX29" s="854"/>
      <c r="AY29" s="854"/>
      <c r="AZ29" s="856"/>
      <c r="BA29" s="853">
        <v>7</v>
      </c>
      <c r="BB29" s="854"/>
      <c r="BC29" s="854"/>
      <c r="BD29" s="854"/>
      <c r="BE29" s="854"/>
      <c r="BF29" s="854"/>
      <c r="BG29" s="854"/>
      <c r="BH29" s="856"/>
      <c r="BI29" s="853">
        <v>8</v>
      </c>
      <c r="BJ29" s="854"/>
      <c r="BK29" s="854"/>
      <c r="BL29" s="854"/>
      <c r="BM29" s="854"/>
      <c r="BN29" s="854"/>
      <c r="BO29" s="854"/>
      <c r="BP29" s="855"/>
      <c r="BQ29" s="13"/>
      <c r="BR29" s="5" t="s">
        <v>96</v>
      </c>
      <c r="BS29" s="2" t="str">
        <f ca="1">$F$4</f>
        <v>FC Barcelona</v>
      </c>
      <c r="BT29" s="2" t="str">
        <f ca="1">$F$5</f>
        <v>Manchester City</v>
      </c>
      <c r="BU29" s="2" t="str">
        <f ca="1">$F$6</f>
        <v>Eintracht Frankfurt</v>
      </c>
      <c r="BV29" s="2" t="str">
        <f ca="1">$F$7</f>
        <v>Inter Mailand</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FC Barcelona</v>
      </c>
      <c r="BS30" s="7"/>
      <c r="BT30" s="8">
        <f t="shared" ref="BT30:CA32" ca="1" si="36">SUMIFS($X$64:$X$135,$V$64:$V$135,$BR30,$W$64:$W$135,BT$29)+SUMIFS($Y$64:$Y$135,$W$64:$W$135,$BR30,$V$64:$V$135,BT$29)</f>
        <v>4</v>
      </c>
      <c r="BU30" s="8">
        <f t="shared" ca="1" si="36"/>
        <v>2</v>
      </c>
      <c r="BV30" s="8">
        <f t="shared" ca="1" si="36"/>
        <v>2</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Manchester City</v>
      </c>
      <c r="BS31" s="9">
        <f t="shared" ref="BS31:BU38" ca="1" si="38">SUMIFS($X$64:$X$135,$V$64:$V$135,$BR31,$W$64:$W$135,BS$29)+SUMIFS($Y$64:$Y$135,$W$64:$W$135,$BR31,$V$64:$V$135,BS$29)</f>
        <v>0</v>
      </c>
      <c r="BT31" s="7"/>
      <c r="BU31" s="8">
        <f t="shared" ca="1" si="36"/>
        <v>2</v>
      </c>
      <c r="BV31" s="8">
        <f t="shared" ca="1" si="36"/>
        <v>4</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Eintracht Frankfurt</v>
      </c>
      <c r="BS32" s="9">
        <f t="shared" ca="1" si="38"/>
        <v>1</v>
      </c>
      <c r="BT32" s="9">
        <f t="shared" ca="1" si="38"/>
        <v>0</v>
      </c>
      <c r="BU32" s="7"/>
      <c r="BV32" s="8">
        <f t="shared" ca="1" si="36"/>
        <v>4</v>
      </c>
      <c r="BW32" s="8">
        <f t="shared" ca="1" si="36"/>
        <v>0</v>
      </c>
      <c r="BX32" s="8">
        <f t="shared" ca="1" si="36"/>
        <v>0</v>
      </c>
      <c r="BY32" s="8">
        <f t="shared" ca="1" si="36"/>
        <v>0</v>
      </c>
      <c r="BZ32" s="8">
        <f t="shared" ca="1" si="36"/>
        <v>0</v>
      </c>
      <c r="CA32" s="8">
        <f t="shared" ca="1" si="36"/>
        <v>0</v>
      </c>
      <c r="CB32" s="4"/>
    </row>
    <row r="33" spans="2:80" s="2" customFormat="1" x14ac:dyDescent="0.2">
      <c r="C33" s="2" t="str">
        <f t="shared" ca="1" si="37"/>
        <v>Inter Mailand</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5"/>
        <v>Inter Mailand</v>
      </c>
      <c r="BS33" s="9">
        <f t="shared" ca="1" si="38"/>
        <v>1</v>
      </c>
      <c r="BT33" s="9">
        <f t="shared" ca="1" si="38"/>
        <v>3</v>
      </c>
      <c r="BU33" s="9">
        <f t="shared" ca="1" si="38"/>
        <v>4</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Eintracht Frankfurt</v>
      </c>
      <c r="BV40" s="2" t="str">
        <f ca="1">$F$7</f>
        <v>Inter Mailand</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FC Barcelona</v>
      </c>
      <c r="BS41" s="7"/>
      <c r="BT41" s="8">
        <f ca="1">BT30-BS31</f>
        <v>4</v>
      </c>
      <c r="BU41" s="8">
        <f ca="1">BU30-BS32</f>
        <v>1</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Manchester City</v>
      </c>
      <c r="BS42" s="9">
        <f ca="1">IF(BT41="","",-1*BT41)</f>
        <v>-4</v>
      </c>
      <c r="BT42" s="7"/>
      <c r="BU42" s="8">
        <f ca="1">BU31-BT32</f>
        <v>2</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Eintracht Frankfurt</v>
      </c>
      <c r="BS43" s="9">
        <f ca="1">IF(BU41="","",-1*BU41)</f>
        <v>-1</v>
      </c>
      <c r="BT43" s="9">
        <f ca="1">IF(BU42="","",-1*BU42)</f>
        <v>-2</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9"/>
        <v>Inter Mailand</v>
      </c>
      <c r="BS44" s="9">
        <f ca="1">IF(BV41="","",-1*BV41)</f>
        <v>-1</v>
      </c>
      <c r="BT44" s="9">
        <f ca="1">IF(BV42="","",-1*BV42)</f>
        <v>-1</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Eintracht Frankfurt</v>
      </c>
      <c r="BV51" s="2" t="str">
        <f ca="1">$F$7</f>
        <v>Inter Mailand</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FC Barcelona</v>
      </c>
      <c r="BS52" s="7"/>
      <c r="BT52" s="8">
        <f t="shared" ref="BT52:CA58" ca="1" si="42">SUMIFS($AE$64:$AE$135,$V$64:$V$135,$BR52,$W$64:$W$135,BT$51)+SUMIFS($AF$64:$AF$135,$W$64:$W$135,$BR52,$V$64:$V$135,BT$51)</f>
        <v>3</v>
      </c>
      <c r="BU52" s="8">
        <f t="shared" ca="1" si="42"/>
        <v>3</v>
      </c>
      <c r="BV52" s="8">
        <f t="shared" ca="1" si="42"/>
        <v>3</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Manchester City</v>
      </c>
      <c r="BS53" s="9">
        <f t="shared" ref="BS53:BU60" ca="1" si="43">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Eintracht Frankfurt</v>
      </c>
      <c r="BS54" s="9">
        <f t="shared" ca="1" si="43"/>
        <v>0</v>
      </c>
      <c r="BT54" s="9">
        <f t="shared" ca="1" si="43"/>
        <v>0</v>
      </c>
      <c r="BU54" s="7"/>
      <c r="BV54" s="8">
        <f ca="1">SUMIFS($AE$64:$AE$135,$V$64:$V$135,$BR54,$W$64:$W$135,BV$51)+SUMIFS($AF$64:$AF$135,$W$64:$W$135,$BR54,$V$64:$V$135,BV$51)</f>
        <v>1</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1"/>
        <v>Inter Mailand</v>
      </c>
      <c r="BS55" s="9">
        <f t="shared" ca="1" si="43"/>
        <v>0</v>
      </c>
      <c r="BT55" s="9">
        <f t="shared" ca="1" si="43"/>
        <v>0</v>
      </c>
      <c r="BU55" s="9">
        <f t="shared" ca="1" si="43"/>
        <v>1</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551" t="s">
        <v>163</v>
      </c>
      <c r="AD63" s="164" t="s">
        <v>161</v>
      </c>
      <c r="AE63" s="847" t="s">
        <v>112</v>
      </c>
      <c r="AF63" s="847"/>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 ca="1">IF('Endrunde 4'!$AE12="","",'Endrunde 4'!$AE12)</f>
        <v>FC Barcelona</v>
      </c>
      <c r="U64" s="66" t="s">
        <v>7</v>
      </c>
      <c r="V64" s="40" t="str">
        <f ca="1">'Endrunde 4'!$I12</f>
        <v>Maibach 1822 eV</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Maibach 1822 eV</v>
      </c>
      <c r="AA64" s="33">
        <f ca="1">IF(AND(V64&lt;&gt;"",W64&lt;&gt;"",V64&lt;&gt;W64,X64&lt;&gt;"",Y64&lt;&gt;""),1,0)</f>
        <v>0</v>
      </c>
      <c r="AB64" s="142" t="str">
        <f ca="1">IF(AA64&gt;0,X64&amp;Sprache!$E$71&amp;Y64,"")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 ca="1">IF('Endrunde 4'!$AE13="","",'Endrunde 4'!$AE13)</f>
        <v>Manchester City</v>
      </c>
      <c r="U65" s="67" t="s">
        <v>8</v>
      </c>
      <c r="V65" s="41" t="str">
        <f ca="1">'Endrunde 4'!$I13</f>
        <v>1. FC Riedwald</v>
      </c>
      <c r="W65" s="13" t="str">
        <f ca="1">'Endrunde 4'!$K13</f>
        <v>FC Grönlingen</v>
      </c>
      <c r="X65" s="13">
        <f ca="1">IF(AND('Endrunde 4'!$L13&lt;&gt;"",'Endrunde 4'!$N13&lt;&gt;"",$V65&lt;&gt;$W65,$V65&lt;&gt;"",$W65&lt;&gt;""),'Endrunde 4'!$L13,"")</f>
        <v>2</v>
      </c>
      <c r="Y65" s="36">
        <f ca="1">IF(AND('Endrunde 4'!$L13&lt;&gt;"",'Endrunde 4'!$N13&lt;&gt;"",$V65&lt;&gt;$W65,$V65&lt;&gt;"",$W65&lt;&gt;""),'Endrunde 4'!$N13,"")</f>
        <v>4</v>
      </c>
      <c r="Z65" s="35" t="str">
        <f t="shared" ref="Z65:Z73" ca="1" si="44">V65&amp;W65</f>
        <v>1. FC RiedwaldFC Grönlingen</v>
      </c>
      <c r="AA65" s="13">
        <f t="shared" ref="AA65:AA128" ca="1" si="45">IF(AND(V65&lt;&gt;"",W65&lt;&gt;"",V65&lt;&gt;W65,X65&lt;&gt;"",Y65&lt;&gt;""),1,0)</f>
        <v>1</v>
      </c>
      <c r="AB65" s="13" t="str">
        <f ca="1">IF(AA65&gt;0,X65&amp;Sprache!$E$71&amp;Y65,"")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 ca="1">IF('Endrunde 4'!$AE14="","",'Endrunde 4'!$AE14)</f>
        <v>Eintracht Frankfurt</v>
      </c>
      <c r="U66" s="67" t="s">
        <v>9</v>
      </c>
      <c r="V66" s="41" t="str">
        <f ca="1">'Endrunde 4'!$I14</f>
        <v>FC Barcelona</v>
      </c>
      <c r="W66" s="13" t="str">
        <f ca="1">'Endrunde 4'!$K14</f>
        <v>Inter Mailand</v>
      </c>
      <c r="X66" s="13">
        <f ca="1">IF(AND('Endrunde 4'!$L14&lt;&gt;"",'Endrunde 4'!$N14&lt;&gt;"",$V66&lt;&gt;$W66,$V66&lt;&gt;"",$W66&lt;&gt;""),'Endrunde 4'!$L14,"")</f>
        <v>2</v>
      </c>
      <c r="Y66" s="36">
        <f ca="1">IF(AND('Endrunde 4'!$L14&lt;&gt;"",'Endrunde 4'!$N14&lt;&gt;"",$V66&lt;&gt;$W66,$V66&lt;&gt;"",$W66&lt;&gt;""),'Endrunde 4'!$N14,"")</f>
        <v>1</v>
      </c>
      <c r="Z66" s="35" t="str">
        <f t="shared" ca="1" si="44"/>
        <v>FC BarcelonaInter Mailand</v>
      </c>
      <c r="AA66" s="13">
        <f t="shared" ca="1" si="45"/>
        <v>1</v>
      </c>
      <c r="AB66" s="13" t="str">
        <f ca="1">IF(AA66&gt;0,X66&amp;Sprache!$E$71&amp;Y66,"")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4'!$AE15="","",'Endrunde 4'!$AE15)</f>
        <v>Inter Mailand</v>
      </c>
      <c r="U67" s="67" t="s">
        <v>10</v>
      </c>
      <c r="V67" s="41" t="str">
        <f ca="1">'Endrunde 4'!$I15</f>
        <v>SSV Wildbach</v>
      </c>
      <c r="W67" s="13" t="str">
        <f ca="1">'Endrunde 4'!$K15</f>
        <v/>
      </c>
      <c r="X67" s="13" t="str">
        <f ca="1">IF(AND('Endrunde 4'!$L15&lt;&gt;"",'Endrunde 4'!$N15&lt;&gt;"",$V67&lt;&gt;$W67,$V67&lt;&gt;"",$W67&lt;&gt;""),'Endrunde 4'!$L15,"")</f>
        <v/>
      </c>
      <c r="Y67" s="36" t="str">
        <f ca="1">IF(AND('Endrunde 4'!$L15&lt;&gt;"",'Endrunde 4'!$N15&lt;&gt;"",$V67&lt;&gt;$W67,$V67&lt;&gt;"",$W67&lt;&gt;""),'Endrunde 4'!$N15,"")</f>
        <v/>
      </c>
      <c r="Z67" s="35" t="str">
        <f t="shared" ca="1" si="44"/>
        <v>SSV Wildbach</v>
      </c>
      <c r="AA67" s="13">
        <f t="shared" ca="1" si="45"/>
        <v>0</v>
      </c>
      <c r="AB67" s="13" t="str">
        <f ca="1">IF(AA67&gt;0,X67&amp;Sprache!$E$71&amp;Y67,"")</f>
        <v/>
      </c>
      <c r="AD67" s="144"/>
      <c r="AE67" s="149" t="str">
        <f ca="1">IF($AA67=0,"",IF($X67&gt;$Y67,Einstellungen!$C$4,IF($X67=$Y67,1,0)))</f>
        <v/>
      </c>
      <c r="AF67" s="144" t="str">
        <f ca="1">IF($AA67=0,"",IF($X67&lt;$Y67,Einstellungen!$C$4,IF($X67=$Y67,1,0)))</f>
        <v/>
      </c>
      <c r="AH67" s="4"/>
      <c r="AI67" s="13"/>
      <c r="AJ67" s="13"/>
      <c r="AK67" s="4"/>
      <c r="AL67" s="13"/>
      <c r="AM67" s="13"/>
      <c r="AN67" s="13"/>
      <c r="AO67" s="13"/>
      <c r="AP67" s="13"/>
      <c r="AQ67" s="13"/>
    </row>
    <row r="68" spans="2:43" s="2" customFormat="1" x14ac:dyDescent="0.2">
      <c r="P68" s="47"/>
      <c r="Q68" s="62" t="str">
        <f>""</f>
        <v/>
      </c>
      <c r="U68" s="67" t="s">
        <v>11</v>
      </c>
      <c r="V68" s="41" t="str">
        <f ca="1">'Endrunde 4'!$I16</f>
        <v>Mainz 05</v>
      </c>
      <c r="W68" s="13" t="str">
        <f ca="1">'Endrunde 4'!$K16</f>
        <v>VFB Essenheim</v>
      </c>
      <c r="X68" s="13">
        <f ca="1">IF(AND('Endrunde 4'!$L16&lt;&gt;"",'Endrunde 4'!$N16&lt;&gt;"",$V68&lt;&gt;$W68,$V68&lt;&gt;"",$W68&lt;&gt;""),'Endrunde 4'!$L16,"")</f>
        <v>5</v>
      </c>
      <c r="Y68" s="36">
        <f ca="1">IF(AND('Endrunde 4'!$L16&lt;&gt;"",'Endrunde 4'!$N16&lt;&gt;"",$V68&lt;&gt;$W68,$V68&lt;&gt;"",$W68&lt;&gt;""),'Endrunde 4'!$N16,"")</f>
        <v>1</v>
      </c>
      <c r="Z68" s="35" t="str">
        <f t="shared" ca="1" si="44"/>
        <v>Mainz 05VFB Essenheim</v>
      </c>
      <c r="AA68" s="13">
        <f t="shared" ca="1" si="45"/>
        <v>1</v>
      </c>
      <c r="AB68" s="13" t="str">
        <f ca="1">IF(AA68&gt;0,X68&amp;Sprache!$E$71&amp;Y68,"")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Manchester City</v>
      </c>
      <c r="W69" s="13" t="str">
        <f ca="1">'Endrunde 4'!$K17</f>
        <v>Eintracht Frankfurt</v>
      </c>
      <c r="X69" s="13">
        <f ca="1">IF(AND('Endrunde 4'!$L17&lt;&gt;"",'Endrunde 4'!$N17&lt;&gt;"",$V69&lt;&gt;$W69,$V69&lt;&gt;"",$W69&lt;&gt;""),'Endrunde 4'!$L17,"")</f>
        <v>2</v>
      </c>
      <c r="Y69" s="36">
        <f ca="1">IF(AND('Endrunde 4'!$L17&lt;&gt;"",'Endrunde 4'!$N17&lt;&gt;"",$V69&lt;&gt;$W69,$V69&lt;&gt;"",$W69&lt;&gt;""),'Endrunde 4'!$N17,"")</f>
        <v>0</v>
      </c>
      <c r="Z69" s="35" t="str">
        <f t="shared" ca="1" si="44"/>
        <v>Manchester CityEintracht Frankfurt</v>
      </c>
      <c r="AA69" s="13">
        <f t="shared" ca="1" si="45"/>
        <v>1</v>
      </c>
      <c r="AB69" s="13" t="str">
        <f ca="1">IF(AA69&gt;0,X69&amp;Sprache!$E$71&amp;Y69,"")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4"/>
        <v>Maibach 1822 eV</v>
      </c>
      <c r="AA70" s="13">
        <f t="shared" ca="1" si="45"/>
        <v>0</v>
      </c>
      <c r="AB70" s="13" t="str">
        <f ca="1">IF(AA70&gt;0,X70&amp;Sprache!$E$71&amp;Y70,"")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1. FC Riedwald</v>
      </c>
      <c r="W71" s="13" t="str">
        <f ca="1">'Endrunde 4'!$K19</f>
        <v>VFB Essenheim</v>
      </c>
      <c r="X71" s="13">
        <f ca="1">IF(AND('Endrunde 4'!$L19&lt;&gt;"",'Endrunde 4'!$N19&lt;&gt;"",$V71&lt;&gt;$W71,$V71&lt;&gt;"",$W71&lt;&gt;""),'Endrunde 4'!$L19,"")</f>
        <v>5</v>
      </c>
      <c r="Y71" s="36">
        <f ca="1">IF(AND('Endrunde 4'!$L19&lt;&gt;"",'Endrunde 4'!$N19&lt;&gt;"",$V71&lt;&gt;$W71,$V71&lt;&gt;"",$W71&lt;&gt;""),'Endrunde 4'!$N19,"")</f>
        <v>3</v>
      </c>
      <c r="Z71" s="35" t="str">
        <f t="shared" ca="1" si="44"/>
        <v>1. FC RiedwaldVFB Essenheim</v>
      </c>
      <c r="AA71" s="13">
        <f t="shared" ca="1" si="45"/>
        <v>1</v>
      </c>
      <c r="AB71" s="13" t="str">
        <f ca="1">IF(AA71&gt;0,X71&amp;Sprache!$E$71&amp;Y71,"")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FC Barcelona</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4"/>
        <v>FC BarcelonaEintracht Frankfurt</v>
      </c>
      <c r="AA72" s="13">
        <f t="shared" ca="1" si="45"/>
        <v>1</v>
      </c>
      <c r="AB72" s="13" t="str">
        <f ca="1">IF(AA72&gt;0,X72&amp;Sprache!$E$71&amp;Y72,"")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SSV Wildbach</v>
      </c>
      <c r="W73" s="13" t="str">
        <f ca="1">'Endrunde 4'!$K21</f>
        <v/>
      </c>
      <c r="X73" s="13" t="str">
        <f ca="1">IF(AND('Endrunde 4'!$L21&lt;&gt;"",'Endrunde 4'!$N21&lt;&gt;"",$V73&lt;&gt;$W73,$V73&lt;&gt;"",$W73&lt;&gt;""),'Endrunde 4'!$L21,"")</f>
        <v/>
      </c>
      <c r="Y73" s="36" t="str">
        <f ca="1">IF(AND('Endrunde 4'!$L21&lt;&gt;"",'Endrunde 4'!$N21&lt;&gt;"",$V73&lt;&gt;$W73,$V73&lt;&gt;"",$W73&lt;&gt;""),'Endrunde 4'!$N21,"")</f>
        <v/>
      </c>
      <c r="Z73" s="35" t="str">
        <f t="shared" ca="1" si="44"/>
        <v>SSV Wildbach</v>
      </c>
      <c r="AA73" s="13">
        <f t="shared" ca="1" si="45"/>
        <v>0</v>
      </c>
      <c r="AB73" s="13" t="str">
        <f ca="1">IF(AA73&gt;0,X73&amp;Sprache!$E$71&amp;Y73,"")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Mainz 05</v>
      </c>
      <c r="W74" s="13" t="str">
        <f ca="1">'Endrunde 4'!$K22</f>
        <v>FC Grönlingen</v>
      </c>
      <c r="X74" s="13">
        <f ca="1">IF(AND('Endrunde 4'!$L22&lt;&gt;"",'Endrunde 4'!$N22&lt;&gt;"",$V74&lt;&gt;$W74,$V74&lt;&gt;"",$W74&lt;&gt;""),'Endrunde 4'!$L22,"")</f>
        <v>4</v>
      </c>
      <c r="Y74" s="36">
        <f ca="1">IF(AND('Endrunde 4'!$L22&lt;&gt;"",'Endrunde 4'!$N22&lt;&gt;"",$V74&lt;&gt;$W74,$V74&lt;&gt;"",$W74&lt;&gt;""),'Endrunde 4'!$N22,"")</f>
        <v>2</v>
      </c>
      <c r="Z74" s="35" t="str">
        <f ca="1">V74&amp;W74</f>
        <v>Mainz 05FC Grönlingen</v>
      </c>
      <c r="AA74" s="13">
        <f t="shared" ca="1" si="45"/>
        <v>1</v>
      </c>
      <c r="AB74" s="13" t="str">
        <f ca="1">IF(AA74&gt;0,X74&amp;Sprache!$E$71&amp;Y74,"")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Manchester City</v>
      </c>
      <c r="W75" s="13" t="str">
        <f ca="1">'Endrunde 4'!$K23</f>
        <v>Inter Mailand</v>
      </c>
      <c r="X75" s="13">
        <f ca="1">IF(AND('Endrunde 4'!$L23&lt;&gt;"",'Endrunde 4'!$N23&lt;&gt;"",$V75&lt;&gt;$W75,$V75&lt;&gt;"",$W75&lt;&gt;""),'Endrunde 4'!$L23,"")</f>
        <v>4</v>
      </c>
      <c r="Y75" s="36">
        <f ca="1">IF(AND('Endrunde 4'!$L23&lt;&gt;"",'Endrunde 4'!$N23&lt;&gt;"",$V75&lt;&gt;$W75,$V75&lt;&gt;"",$W75&lt;&gt;""),'Endrunde 4'!$N23,"")</f>
        <v>3</v>
      </c>
      <c r="Z75" s="35" t="str">
        <f t="shared" ref="Z75:Z93" ca="1" si="46">V75&amp;W75</f>
        <v>Manchester CityInter Mailand</v>
      </c>
      <c r="AA75" s="13">
        <f t="shared" ca="1" si="45"/>
        <v>1</v>
      </c>
      <c r="AB75" s="13" t="str">
        <f ca="1">IF(AA75&gt;0,X75&amp;Sprache!$E$71&amp;Y75,"")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6"/>
        <v/>
      </c>
      <c r="AA76" s="13">
        <f t="shared" ca="1" si="45"/>
        <v>0</v>
      </c>
      <c r="AB76" s="13" t="str">
        <f ca="1">IF(AA76&gt;0,X76&amp;Sprache!$E$71&amp;Y76,"")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VFB Essenheim</v>
      </c>
      <c r="W77" s="13" t="str">
        <f ca="1">'Endrunde 4'!$K25</f>
        <v>FC Grönlingen</v>
      </c>
      <c r="X77" s="13">
        <f ca="1">IF(AND('Endrunde 4'!$L25&lt;&gt;"",'Endrunde 4'!$N25&lt;&gt;"",$V77&lt;&gt;$W77,$V77&lt;&gt;"",$W77&lt;&gt;""),'Endrunde 4'!$L25,"")</f>
        <v>1</v>
      </c>
      <c r="Y77" s="36">
        <f ca="1">IF(AND('Endrunde 4'!$L25&lt;&gt;"",'Endrunde 4'!$N25&lt;&gt;"",$V77&lt;&gt;$W77,$V77&lt;&gt;"",$W77&lt;&gt;""),'Endrunde 4'!$N25,"")</f>
        <v>5</v>
      </c>
      <c r="Z77" s="35" t="str">
        <f t="shared" ca="1" si="46"/>
        <v>VFB EssenheimFC Grönlingen</v>
      </c>
      <c r="AA77" s="13">
        <f t="shared" ca="1" si="45"/>
        <v>1</v>
      </c>
      <c r="AB77" s="13" t="str">
        <f ca="1">IF(AA77&gt;0,X77&amp;Sprache!$E$71&amp;Y77,"")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Eintracht Frankfurt</v>
      </c>
      <c r="W78" s="13" t="str">
        <f ca="1">'Endrunde 4'!$K26</f>
        <v>Inter Mailand</v>
      </c>
      <c r="X78" s="13">
        <f ca="1">IF(AND('Endrunde 4'!$L26&lt;&gt;"",'Endrunde 4'!$N26&lt;&gt;"",$V78&lt;&gt;$W78,$V78&lt;&gt;"",$W78&lt;&gt;""),'Endrunde 4'!$L26,"")</f>
        <v>4</v>
      </c>
      <c r="Y78" s="36">
        <f ca="1">IF(AND('Endrunde 4'!$L26&lt;&gt;"",'Endrunde 4'!$N26&lt;&gt;"",$V78&lt;&gt;$W78,$V78&lt;&gt;"",$W78&lt;&gt;""),'Endrunde 4'!$N26,"")</f>
        <v>4</v>
      </c>
      <c r="Z78" s="35" t="str">
        <f t="shared" ca="1" si="46"/>
        <v>Eintracht FrankfurtInter Mailand</v>
      </c>
      <c r="AA78" s="13">
        <f t="shared" ca="1" si="45"/>
        <v>1</v>
      </c>
      <c r="AB78" s="13" t="str">
        <f ca="1">IF(AA78&gt;0,X78&amp;Sprache!$E$71&amp;Y78,"")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Maibach 1822 eV</v>
      </c>
      <c r="W79" s="13" t="str">
        <f ca="1">'Endrunde 4'!$K27</f>
        <v>SSV Wildbach</v>
      </c>
      <c r="X79" s="13">
        <f ca="1">IF(AND('Endrunde 4'!$L27&lt;&gt;"",'Endrunde 4'!$N27&lt;&gt;"",$V79&lt;&gt;$W79,$V79&lt;&gt;"",$W79&lt;&gt;""),'Endrunde 4'!$L27,"")</f>
        <v>0</v>
      </c>
      <c r="Y79" s="36">
        <f ca="1">IF(AND('Endrunde 4'!$L27&lt;&gt;"",'Endrunde 4'!$N27&lt;&gt;"",$V79&lt;&gt;$W79,$V79&lt;&gt;"",$W79&lt;&gt;""),'Endrunde 4'!$N27,"")</f>
        <v>7</v>
      </c>
      <c r="Z79" s="35" t="str">
        <f t="shared" ca="1" si="46"/>
        <v>Maibach 1822 eVSSV Wildbach</v>
      </c>
      <c r="AA79" s="13">
        <f t="shared" ca="1" si="45"/>
        <v>1</v>
      </c>
      <c r="AB79" s="13" t="str">
        <f ca="1">IF(AA79&gt;0,X79&amp;Sprache!$E$71&amp;Y79,"")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1. FC Riedwald</v>
      </c>
      <c r="W80" s="13" t="str">
        <f ca="1">'Endrunde 4'!$K28</f>
        <v>Mainz 05</v>
      </c>
      <c r="X80" s="13">
        <f ca="1">IF(AND('Endrunde 4'!$L28&lt;&gt;"",'Endrunde 4'!$N28&lt;&gt;"",$V80&lt;&gt;$W80,$V80&lt;&gt;"",$W80&lt;&gt;""),'Endrunde 4'!$L28,"")</f>
        <v>2</v>
      </c>
      <c r="Y80" s="36">
        <f ca="1">IF(AND('Endrunde 4'!$L28&lt;&gt;"",'Endrunde 4'!$N28&lt;&gt;"",$V80&lt;&gt;$W80,$V80&lt;&gt;"",$W80&lt;&gt;""),'Endrunde 4'!$N28,"")</f>
        <v>8</v>
      </c>
      <c r="Z80" s="35" t="str">
        <f t="shared" ca="1" si="46"/>
        <v>1. FC RiedwaldMainz 05</v>
      </c>
      <c r="AA80" s="13">
        <f t="shared" ca="1" si="45"/>
        <v>1</v>
      </c>
      <c r="AB80" s="13" t="str">
        <f ca="1">IF(AA80&gt;0,X80&amp;Sprache!$E$71&amp;Y80,"")</f>
        <v>2:8</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577" t="s">
        <v>33</v>
      </c>
      <c r="V81" s="578" t="str">
        <f ca="1">'Endrunde 4'!$I29</f>
        <v>FC Barcelona</v>
      </c>
      <c r="W81" s="579" t="str">
        <f ca="1">'Endrunde 4'!$K29</f>
        <v>Manchester City</v>
      </c>
      <c r="X81" s="579">
        <f ca="1">IF(AND('Endrunde 4'!$L29&lt;&gt;"",'Endrunde 4'!$N29&lt;&gt;"",$V81&lt;&gt;$W81,$V81&lt;&gt;"",$W81&lt;&gt;""),'Endrunde 4'!$L29,"")</f>
        <v>4</v>
      </c>
      <c r="Y81" s="580">
        <f ca="1">IF(AND('Endrunde 4'!$L29&lt;&gt;"",'Endrunde 4'!$N29&lt;&gt;"",$V81&lt;&gt;$W81,$V81&lt;&gt;"",$W81&lt;&gt;""),'Endrunde 4'!$N29,"")</f>
        <v>0</v>
      </c>
      <c r="Z81" s="581" t="str">
        <f t="shared" ca="1" si="46"/>
        <v>FC BarcelonaManchester City</v>
      </c>
      <c r="AA81" s="579">
        <f t="shared" ca="1" si="45"/>
        <v>1</v>
      </c>
      <c r="AB81" s="579" t="str">
        <f ca="1">IF(AA81&gt;0,X81&amp;Sprache!$E$71&amp;Y81,"")</f>
        <v>4:0</v>
      </c>
      <c r="AC81" s="582"/>
      <c r="AD81" s="583"/>
      <c r="AE81" s="584">
        <f ca="1">IF($AA81=0,"",IF($X81&gt;$Y81,Einstellungen!$C$4,IF($X81=$Y81,1,0)))</f>
        <v>3</v>
      </c>
      <c r="AF81" s="583">
        <f ca="1">IF($AA81=0,"",IF($X81&lt;$Y81,Einstellungen!$C$4,IF($X81=$Y81,1,0)))</f>
        <v>0</v>
      </c>
    </row>
    <row r="82" spans="2:32" s="2" customFormat="1" ht="12.75" thickTop="1" x14ac:dyDescent="0.2">
      <c r="B82" s="4"/>
      <c r="C82" s="4"/>
      <c r="D82" s="4"/>
      <c r="E82" s="4"/>
      <c r="F82" s="13"/>
      <c r="G82" s="13"/>
      <c r="H82" s="13"/>
      <c r="I82" s="13"/>
      <c r="J82" s="13"/>
      <c r="K82" s="13"/>
      <c r="L82" s="13"/>
      <c r="M82" s="13"/>
      <c r="U82" s="585" t="s">
        <v>34</v>
      </c>
      <c r="V82" s="586" t="str">
        <f>""</f>
        <v/>
      </c>
      <c r="W82" s="587" t="str">
        <f>""</f>
        <v/>
      </c>
      <c r="X82" s="587" t="str">
        <f>""</f>
        <v/>
      </c>
      <c r="Y82" s="588" t="str">
        <f>""</f>
        <v/>
      </c>
      <c r="Z82" s="589" t="str">
        <f t="shared" si="46"/>
        <v/>
      </c>
      <c r="AA82" s="587">
        <f t="shared" si="45"/>
        <v>0</v>
      </c>
      <c r="AB82" s="587" t="str">
        <f>IF(AA82&gt;0,X82&amp;Sprache!$E$71&amp;Y82,"")</f>
        <v/>
      </c>
      <c r="AC82" s="590"/>
      <c r="AD82" s="591"/>
      <c r="AE82" s="592" t="str">
        <f>IF($AA82=0,"",IF($X82&gt;$Y82,Einstellungen!$C$4,IF($X82=$Y82,1,0)))</f>
        <v/>
      </c>
      <c r="AF82" s="591"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6"/>
        <v/>
      </c>
      <c r="AA83" s="13">
        <f t="shared" si="45"/>
        <v>0</v>
      </c>
      <c r="AB83" s="13" t="str">
        <f>IF(AA83&gt;0,X83&amp;Sprache!$E$71&amp;Y83,"")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6"/>
        <v/>
      </c>
      <c r="AA84" s="13">
        <f t="shared" si="45"/>
        <v>0</v>
      </c>
      <c r="AB84" s="13" t="str">
        <f>IF(AA84&gt;0,X84&amp;Sprache!$E$71&amp;Y84,"")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6"/>
        <v/>
      </c>
      <c r="AA85" s="13">
        <f t="shared" si="45"/>
        <v>0</v>
      </c>
      <c r="AB85" s="13" t="str">
        <f>IF(AA85&gt;0,X85&amp;Sprache!$E$71&amp;Y85,"")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6"/>
        <v/>
      </c>
      <c r="AA86" s="13">
        <f t="shared" si="45"/>
        <v>0</v>
      </c>
      <c r="AB86" s="13" t="str">
        <f>IF(AA86&gt;0,X86&amp;Sprache!$E$71&amp;Y86,"")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6"/>
        <v/>
      </c>
      <c r="AA87" s="13">
        <f t="shared" si="45"/>
        <v>0</v>
      </c>
      <c r="AB87" s="13" t="str">
        <f>IF(AA87&gt;0,X87&amp;Sprache!$E$71&amp;Y87,"")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6"/>
        <v/>
      </c>
      <c r="AA88" s="13">
        <f t="shared" si="45"/>
        <v>0</v>
      </c>
      <c r="AB88" s="13" t="str">
        <f>IF(AA88&gt;0,X88&amp;Sprache!$E$71&amp;Y88,"")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6"/>
        <v/>
      </c>
      <c r="AA89" s="13">
        <f t="shared" si="45"/>
        <v>0</v>
      </c>
      <c r="AB89" s="13" t="str">
        <f>IF(AA89&gt;0,X89&amp;Sprache!$E$71&amp;Y89,"")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5"/>
        <v>0</v>
      </c>
      <c r="AB90" s="13" t="str">
        <f>IF(AA90&gt;0,X90&amp;Sprache!$E$71&amp;Y90,"")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5"/>
        <v>0</v>
      </c>
      <c r="AB91" s="13" t="str">
        <f>IF(AA91&gt;0,X91&amp;Sprache!$E$71&amp;Y91,"")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5"/>
        <v>0</v>
      </c>
      <c r="AB92" s="13" t="str">
        <f>IF(AA92&gt;0,X92&amp;Sprache!$E$71&amp;Y92,"")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5"/>
        <v>0</v>
      </c>
      <c r="AB93" s="13" t="str">
        <f>IF(AA93&gt;0,X93&amp;Sprache!$E$71&amp;Y93,"")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5"/>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5"/>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5"/>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5"/>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5"/>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5"/>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5"/>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5"/>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5"/>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5"/>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5"/>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5"/>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5"/>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5"/>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5"/>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5"/>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Maibach 1822 eV</v>
      </c>
      <c r="AA136" s="33">
        <f ca="1">AA64</f>
        <v>0</v>
      </c>
      <c r="AB136" s="13" t="str">
        <f ca="1">IF(AA136&gt;0,Y64&amp;Sprache!$E$71&amp;X64,"")</f>
        <v/>
      </c>
      <c r="AD136" s="144"/>
    </row>
    <row r="137" spans="2:32" x14ac:dyDescent="0.2">
      <c r="Y137" s="67" t="s">
        <v>8</v>
      </c>
      <c r="Z137" s="35" t="str">
        <f ca="1">W65&amp;V65</f>
        <v>FC Grönlingen1. FC Riedwald</v>
      </c>
      <c r="AA137" s="13">
        <f t="shared" ref="AA137:AA200" ca="1" si="48">AA65</f>
        <v>1</v>
      </c>
      <c r="AB137" s="13" t="str">
        <f ca="1">IF(AA137&gt;0,Y65&amp;Sprache!$E$71&amp;X65,"")</f>
        <v>4:2</v>
      </c>
      <c r="AC137" s="2"/>
      <c r="AD137" s="144"/>
    </row>
    <row r="138" spans="2:32" x14ac:dyDescent="0.2">
      <c r="Y138" s="67" t="s">
        <v>9</v>
      </c>
      <c r="Z138" s="35" t="str">
        <f t="shared" ref="Z138:Z201" ca="1" si="49">W66&amp;V66</f>
        <v>Inter MailandFC Barcelona</v>
      </c>
      <c r="AA138" s="13">
        <f t="shared" ca="1" si="48"/>
        <v>1</v>
      </c>
      <c r="AB138" s="13" t="str">
        <f ca="1">IF(AA138&gt;0,Y66&amp;Sprache!$E$71&amp;X66,"")</f>
        <v>1:2</v>
      </c>
      <c r="AC138" s="2"/>
      <c r="AD138" s="144"/>
    </row>
    <row r="139" spans="2:32" x14ac:dyDescent="0.2">
      <c r="Y139" s="67" t="s">
        <v>10</v>
      </c>
      <c r="Z139" s="35" t="str">
        <f t="shared" ca="1" si="49"/>
        <v>SSV Wildbach</v>
      </c>
      <c r="AA139" s="13">
        <f t="shared" ca="1" si="48"/>
        <v>0</v>
      </c>
      <c r="AB139" s="13" t="str">
        <f ca="1">IF(AA139&gt;0,Y67&amp;Sprache!$E$71&amp;X67,"")</f>
        <v/>
      </c>
      <c r="AC139" s="2"/>
      <c r="AD139" s="144"/>
    </row>
    <row r="140" spans="2:32" x14ac:dyDescent="0.2">
      <c r="Y140" s="67" t="s">
        <v>11</v>
      </c>
      <c r="Z140" s="35" t="str">
        <f t="shared" ca="1" si="49"/>
        <v>VFB EssenheimMainz 05</v>
      </c>
      <c r="AA140" s="13">
        <f t="shared" ca="1" si="48"/>
        <v>1</v>
      </c>
      <c r="AB140" s="13" t="str">
        <f ca="1">IF(AA140&gt;0,Y68&amp;Sprache!$E$71&amp;X68,"")</f>
        <v>1:5</v>
      </c>
      <c r="AC140" s="2"/>
      <c r="AD140" s="144"/>
    </row>
    <row r="141" spans="2:32" x14ac:dyDescent="0.2">
      <c r="Y141" s="67" t="s">
        <v>12</v>
      </c>
      <c r="Z141" s="35" t="str">
        <f t="shared" ca="1" si="49"/>
        <v>Eintracht FrankfurtManchester City</v>
      </c>
      <c r="AA141" s="13">
        <f t="shared" ca="1" si="48"/>
        <v>1</v>
      </c>
      <c r="AB141" s="13" t="str">
        <f ca="1">IF(AA141&gt;0,Y69&amp;Sprache!$E$71&amp;X69,"")</f>
        <v>0:2</v>
      </c>
      <c r="AC141" s="2"/>
      <c r="AD141" s="144"/>
    </row>
    <row r="142" spans="2:32" x14ac:dyDescent="0.2">
      <c r="Y142" s="67" t="s">
        <v>17</v>
      </c>
      <c r="Z142" s="35" t="str">
        <f t="shared" ca="1" si="49"/>
        <v>Maibach 1822 eV</v>
      </c>
      <c r="AA142" s="13">
        <f t="shared" ca="1" si="48"/>
        <v>0</v>
      </c>
      <c r="AB142" s="13" t="str">
        <f ca="1">IF(AA142&gt;0,Y70&amp;Sprache!$E$71&amp;X70,"")</f>
        <v/>
      </c>
      <c r="AC142" s="2"/>
      <c r="AD142" s="144"/>
    </row>
    <row r="143" spans="2:32" x14ac:dyDescent="0.2">
      <c r="Y143" s="67" t="s">
        <v>18</v>
      </c>
      <c r="Z143" s="35" t="str">
        <f t="shared" ca="1" si="49"/>
        <v>VFB Essenheim1. FC Riedwald</v>
      </c>
      <c r="AA143" s="13">
        <f t="shared" ca="1" si="48"/>
        <v>1</v>
      </c>
      <c r="AB143" s="13" t="str">
        <f ca="1">IF(AA143&gt;0,Y71&amp;Sprache!$E$71&amp;X71,"")</f>
        <v>3:5</v>
      </c>
      <c r="AC143" s="2"/>
      <c r="AD143" s="144"/>
    </row>
    <row r="144" spans="2:32" x14ac:dyDescent="0.2">
      <c r="Y144" s="67" t="s">
        <v>19</v>
      </c>
      <c r="Z144" s="35" t="str">
        <f t="shared" ca="1" si="49"/>
        <v>Eintracht FrankfurtFC Barcelona</v>
      </c>
      <c r="AA144" s="13">
        <f t="shared" ca="1" si="48"/>
        <v>1</v>
      </c>
      <c r="AB144" s="13" t="str">
        <f ca="1">IF(AA144&gt;0,Y72&amp;Sprache!$E$71&amp;X72,"")</f>
        <v>1:2</v>
      </c>
      <c r="AC144" s="2"/>
      <c r="AD144" s="144"/>
    </row>
    <row r="145" spans="25:30" x14ac:dyDescent="0.2">
      <c r="Y145" s="67" t="s">
        <v>25</v>
      </c>
      <c r="Z145" s="35" t="str">
        <f t="shared" ca="1" si="49"/>
        <v>SSV Wildbach</v>
      </c>
      <c r="AA145" s="13">
        <f t="shared" ca="1" si="48"/>
        <v>0</v>
      </c>
      <c r="AB145" s="13" t="str">
        <f ca="1">IF(AA145&gt;0,Y73&amp;Sprache!$E$71&amp;X73,"")</f>
        <v/>
      </c>
      <c r="AC145" s="2"/>
      <c r="AD145" s="144"/>
    </row>
    <row r="146" spans="25:30" x14ac:dyDescent="0.2">
      <c r="Y146" s="67" t="s">
        <v>26</v>
      </c>
      <c r="Z146" s="35" t="str">
        <f t="shared" ca="1" si="49"/>
        <v>FC GrönlingenMainz 05</v>
      </c>
      <c r="AA146" s="13">
        <f t="shared" ca="1" si="48"/>
        <v>1</v>
      </c>
      <c r="AB146" s="13" t="str">
        <f ca="1">IF(AA146&gt;0,Y74&amp;Sprache!$E$71&amp;X74,"")</f>
        <v>2:4</v>
      </c>
      <c r="AC146" s="2"/>
      <c r="AD146" s="144"/>
    </row>
    <row r="147" spans="25:30" x14ac:dyDescent="0.2">
      <c r="Y147" s="67" t="s">
        <v>27</v>
      </c>
      <c r="Z147" s="35" t="str">
        <f t="shared" ca="1" si="49"/>
        <v>Inter MailandManchester City</v>
      </c>
      <c r="AA147" s="13">
        <f t="shared" ca="1" si="48"/>
        <v>1</v>
      </c>
      <c r="AB147" s="13" t="str">
        <f ca="1">IF(AA147&gt;0,Y75&amp;Sprache!$E$71&amp;X75,"")</f>
        <v>3:4</v>
      </c>
      <c r="AC147" s="2"/>
      <c r="AD147" s="144"/>
    </row>
    <row r="148" spans="25:30" x14ac:dyDescent="0.2">
      <c r="Y148" s="67" t="s">
        <v>28</v>
      </c>
      <c r="Z148" s="35" t="str">
        <f t="shared" ca="1" si="49"/>
        <v/>
      </c>
      <c r="AA148" s="13">
        <f t="shared" ca="1" si="48"/>
        <v>0</v>
      </c>
      <c r="AB148" s="13" t="str">
        <f ca="1">IF(AA148&gt;0,Y76&amp;Sprache!$E$71&amp;X76,"")</f>
        <v/>
      </c>
      <c r="AC148" s="2"/>
      <c r="AD148" s="144"/>
    </row>
    <row r="149" spans="25:30" x14ac:dyDescent="0.2">
      <c r="Y149" s="67" t="s">
        <v>29</v>
      </c>
      <c r="Z149" s="35" t="str">
        <f t="shared" ca="1" si="49"/>
        <v>FC GrönlingenVFB Essenheim</v>
      </c>
      <c r="AA149" s="13">
        <f t="shared" ca="1" si="48"/>
        <v>1</v>
      </c>
      <c r="AB149" s="13" t="str">
        <f ca="1">IF(AA149&gt;0,Y77&amp;Sprache!$E$71&amp;X77,"")</f>
        <v>5:1</v>
      </c>
      <c r="AC149" s="2"/>
      <c r="AD149" s="144"/>
    </row>
    <row r="150" spans="25:30" x14ac:dyDescent="0.2">
      <c r="Y150" s="67" t="s">
        <v>30</v>
      </c>
      <c r="Z150" s="35" t="str">
        <f t="shared" ca="1" si="49"/>
        <v>Inter MailandEintracht Frankfurt</v>
      </c>
      <c r="AA150" s="13">
        <f t="shared" ca="1" si="48"/>
        <v>1</v>
      </c>
      <c r="AB150" s="13" t="str">
        <f ca="1">IF(AA150&gt;0,Y78&amp;Sprache!$E$71&amp;X78,"")</f>
        <v>4:4</v>
      </c>
      <c r="AC150" s="2"/>
      <c r="AD150" s="144"/>
    </row>
    <row r="151" spans="25:30" x14ac:dyDescent="0.2">
      <c r="Y151" s="67" t="s">
        <v>31</v>
      </c>
      <c r="Z151" s="35" t="str">
        <f t="shared" ca="1" si="49"/>
        <v>SSV WildbachMaibach 1822 eV</v>
      </c>
      <c r="AA151" s="13">
        <f t="shared" ca="1" si="48"/>
        <v>1</v>
      </c>
      <c r="AB151" s="13" t="str">
        <f ca="1">IF(AA151&gt;0,Y79&amp;Sprache!$E$71&amp;X79,"")</f>
        <v>7:0</v>
      </c>
      <c r="AC151" s="2"/>
      <c r="AD151" s="144"/>
    </row>
    <row r="152" spans="25:30" x14ac:dyDescent="0.2">
      <c r="Y152" s="67" t="s">
        <v>32</v>
      </c>
      <c r="Z152" s="35" t="str">
        <f t="shared" ca="1" si="49"/>
        <v>Mainz 051. FC Riedwald</v>
      </c>
      <c r="AA152" s="13">
        <f t="shared" ca="1" si="48"/>
        <v>1</v>
      </c>
      <c r="AB152" s="13" t="str">
        <f ca="1">IF(AA152&gt;0,Y80&amp;Sprache!$E$71&amp;X80,"")</f>
        <v>8:2</v>
      </c>
      <c r="AC152" s="2"/>
      <c r="AD152" s="144"/>
    </row>
    <row r="153" spans="25:30" x14ac:dyDescent="0.2">
      <c r="Y153" s="67" t="s">
        <v>33</v>
      </c>
      <c r="Z153" s="35" t="str">
        <f t="shared" ca="1" si="49"/>
        <v>Manchester CityFC Barcelona</v>
      </c>
      <c r="AA153" s="13">
        <f t="shared" ca="1" si="48"/>
        <v>1</v>
      </c>
      <c r="AB153" s="13" t="str">
        <f ca="1">IF(AA153&gt;0,Y81&amp;Sprache!$E$71&amp;X81,"")</f>
        <v>0:4</v>
      </c>
      <c r="AC153" s="2"/>
      <c r="AD153" s="144"/>
    </row>
    <row r="154" spans="25:30" x14ac:dyDescent="0.2">
      <c r="Y154" s="67" t="s">
        <v>34</v>
      </c>
      <c r="Z154" s="35" t="str">
        <f t="shared" si="49"/>
        <v/>
      </c>
      <c r="AA154" s="13">
        <f t="shared" si="48"/>
        <v>0</v>
      </c>
      <c r="AB154" s="13" t="str">
        <f>IF(AA154&gt;0,Y82&amp;Sprache!$E$71&amp;X82,"")</f>
        <v/>
      </c>
      <c r="AC154" s="2"/>
      <c r="AD154" s="144"/>
    </row>
    <row r="155" spans="25:30" x14ac:dyDescent="0.2">
      <c r="Y155" s="67" t="s">
        <v>35</v>
      </c>
      <c r="Z155" s="35" t="str">
        <f t="shared" si="49"/>
        <v/>
      </c>
      <c r="AA155" s="13">
        <f t="shared" si="48"/>
        <v>0</v>
      </c>
      <c r="AB155" s="13" t="str">
        <f>IF(AA155&gt;0,Y83&amp;Sprache!$E$71&amp;X83,"")</f>
        <v/>
      </c>
      <c r="AC155" s="2"/>
      <c r="AD155" s="144"/>
    </row>
    <row r="156" spans="25:30" x14ac:dyDescent="0.2">
      <c r="Y156" s="67" t="s">
        <v>36</v>
      </c>
      <c r="Z156" s="35" t="str">
        <f t="shared" si="49"/>
        <v/>
      </c>
      <c r="AA156" s="13">
        <f t="shared" si="48"/>
        <v>0</v>
      </c>
      <c r="AB156" s="13" t="str">
        <f>IF(AA156&gt;0,Y84&amp;Sprache!$E$71&amp;X84,"")</f>
        <v/>
      </c>
      <c r="AC156" s="2"/>
      <c r="AD156" s="144"/>
    </row>
    <row r="157" spans="25:30" x14ac:dyDescent="0.2">
      <c r="Y157" s="67" t="s">
        <v>37</v>
      </c>
      <c r="Z157" s="35" t="str">
        <f t="shared" si="49"/>
        <v/>
      </c>
      <c r="AA157" s="13">
        <f t="shared" si="48"/>
        <v>0</v>
      </c>
      <c r="AB157" s="13" t="str">
        <f>IF(AA157&gt;0,Y85&amp;Sprache!$E$71&amp;X85,"")</f>
        <v/>
      </c>
      <c r="AC157" s="2"/>
      <c r="AD157" s="144"/>
    </row>
    <row r="158" spans="25:30" x14ac:dyDescent="0.2">
      <c r="Y158" s="67" t="s">
        <v>38</v>
      </c>
      <c r="Z158" s="35" t="str">
        <f t="shared" si="49"/>
        <v/>
      </c>
      <c r="AA158" s="13">
        <f t="shared" si="48"/>
        <v>0</v>
      </c>
      <c r="AB158" s="13" t="str">
        <f>IF(AA158&gt;0,Y86&amp;Sprache!$E$71&amp;X86,"")</f>
        <v/>
      </c>
      <c r="AC158" s="2"/>
      <c r="AD158" s="144"/>
    </row>
    <row r="159" spans="25:30" x14ac:dyDescent="0.2">
      <c r="Y159" s="67" t="s">
        <v>39</v>
      </c>
      <c r="Z159" s="35" t="str">
        <f t="shared" si="49"/>
        <v/>
      </c>
      <c r="AA159" s="13">
        <f t="shared" si="48"/>
        <v>0</v>
      </c>
      <c r="AB159" s="13" t="str">
        <f>IF(AA159&gt;0,Y87&amp;Sprache!$E$71&amp;X87,"")</f>
        <v/>
      </c>
      <c r="AC159" s="2"/>
      <c r="AD159" s="144"/>
    </row>
    <row r="160" spans="25:30" x14ac:dyDescent="0.2">
      <c r="Y160" s="67" t="s">
        <v>40</v>
      </c>
      <c r="Z160" s="35" t="str">
        <f t="shared" si="49"/>
        <v/>
      </c>
      <c r="AA160" s="13">
        <f t="shared" si="48"/>
        <v>0</v>
      </c>
      <c r="AB160" s="13" t="str">
        <f>IF(AA160&gt;0,Y88&amp;Sprache!$E$71&amp;X88,"")</f>
        <v/>
      </c>
      <c r="AC160" s="2"/>
      <c r="AD160" s="144"/>
    </row>
    <row r="161" spans="25:30" x14ac:dyDescent="0.2">
      <c r="Y161" s="67" t="s">
        <v>41</v>
      </c>
      <c r="Z161" s="35" t="str">
        <f t="shared" si="49"/>
        <v/>
      </c>
      <c r="AA161" s="13">
        <f t="shared" si="48"/>
        <v>0</v>
      </c>
      <c r="AB161" s="13" t="str">
        <f>IF(AA161&gt;0,Y89&amp;Sprache!$E$71&amp;X89,"")</f>
        <v/>
      </c>
      <c r="AC161" s="2"/>
      <c r="AD161" s="144"/>
    </row>
    <row r="162" spans="25:30" x14ac:dyDescent="0.2">
      <c r="Y162" s="67" t="s">
        <v>42</v>
      </c>
      <c r="Z162" s="35" t="str">
        <f t="shared" si="49"/>
        <v/>
      </c>
      <c r="AA162" s="13">
        <f t="shared" si="48"/>
        <v>0</v>
      </c>
      <c r="AB162" s="13" t="str">
        <f>IF(AA162&gt;0,Y90&amp;Sprache!$E$71&amp;X90,"")</f>
        <v/>
      </c>
      <c r="AC162" s="2"/>
      <c r="AD162" s="144"/>
    </row>
    <row r="163" spans="25:30" x14ac:dyDescent="0.2">
      <c r="Y163" s="67" t="s">
        <v>43</v>
      </c>
      <c r="Z163" s="35" t="str">
        <f t="shared" si="49"/>
        <v/>
      </c>
      <c r="AA163" s="13">
        <f t="shared" si="48"/>
        <v>0</v>
      </c>
      <c r="AB163" s="13" t="str">
        <f>IF(AA163&gt;0,Y91&amp;Sprache!$E$71&amp;X91,"")</f>
        <v/>
      </c>
      <c r="AC163" s="2"/>
      <c r="AD163" s="144"/>
    </row>
    <row r="164" spans="25:30" x14ac:dyDescent="0.2">
      <c r="Y164" s="67" t="s">
        <v>44</v>
      </c>
      <c r="Z164" s="35" t="str">
        <f t="shared" si="49"/>
        <v/>
      </c>
      <c r="AA164" s="13">
        <f t="shared" si="48"/>
        <v>0</v>
      </c>
      <c r="AB164" s="13" t="str">
        <f>IF(AA164&gt;0,Y92&amp;Sprache!$E$71&amp;X92,"")</f>
        <v/>
      </c>
      <c r="AC164" s="2"/>
      <c r="AD164" s="144"/>
    </row>
    <row r="165" spans="25:30" x14ac:dyDescent="0.2">
      <c r="Y165" s="67" t="s">
        <v>45</v>
      </c>
      <c r="Z165" s="35" t="str">
        <f t="shared" si="49"/>
        <v/>
      </c>
      <c r="AA165" s="13">
        <f t="shared" si="48"/>
        <v>0</v>
      </c>
      <c r="AB165" s="13" t="str">
        <f>IF(AA165&gt;0,Y93&amp;Sprache!$E$71&amp;X93,"")</f>
        <v/>
      </c>
      <c r="AC165" s="2"/>
      <c r="AD165" s="144"/>
    </row>
    <row r="166" spans="25:30" x14ac:dyDescent="0.2">
      <c r="Y166" s="67" t="s">
        <v>46</v>
      </c>
      <c r="Z166" s="35" t="str">
        <f t="shared" si="49"/>
        <v/>
      </c>
      <c r="AA166" s="13">
        <f t="shared" si="48"/>
        <v>0</v>
      </c>
      <c r="AB166" s="13" t="str">
        <f>IF(AA166&gt;0,Y94&amp;Sprache!$E$71&amp;X94,"")</f>
        <v/>
      </c>
      <c r="AC166" s="2"/>
      <c r="AD166" s="144"/>
    </row>
    <row r="167" spans="25:30" x14ac:dyDescent="0.2">
      <c r="Y167" s="67" t="s">
        <v>47</v>
      </c>
      <c r="Z167" s="35" t="str">
        <f t="shared" si="49"/>
        <v/>
      </c>
      <c r="AA167" s="13">
        <f t="shared" si="48"/>
        <v>0</v>
      </c>
      <c r="AB167" s="13" t="str">
        <f>IF(AA167&gt;0,Y95&amp;Sprache!$E$71&amp;X95,"")</f>
        <v/>
      </c>
      <c r="AC167" s="2"/>
      <c r="AD167" s="144"/>
    </row>
    <row r="168" spans="25:30" x14ac:dyDescent="0.2">
      <c r="Y168" s="67" t="s">
        <v>48</v>
      </c>
      <c r="Z168" s="35" t="str">
        <f t="shared" si="49"/>
        <v/>
      </c>
      <c r="AA168" s="13">
        <f t="shared" si="48"/>
        <v>0</v>
      </c>
      <c r="AB168" s="13" t="str">
        <f>IF(AA168&gt;0,Y96&amp;Sprache!$E$71&amp;X96,"")</f>
        <v/>
      </c>
      <c r="AC168" s="2"/>
      <c r="AD168" s="144"/>
    </row>
    <row r="169" spans="25:30" x14ac:dyDescent="0.2">
      <c r="Y169" s="67" t="s">
        <v>49</v>
      </c>
      <c r="Z169" s="35" t="str">
        <f t="shared" si="49"/>
        <v/>
      </c>
      <c r="AA169" s="13">
        <f t="shared" si="48"/>
        <v>0</v>
      </c>
      <c r="AB169" s="13" t="str">
        <f>IF(AA169&gt;0,Y97&amp;Sprache!$E$71&amp;X97,"")</f>
        <v/>
      </c>
      <c r="AC169" s="2"/>
      <c r="AD169" s="144"/>
    </row>
    <row r="170" spans="25:30" x14ac:dyDescent="0.2">
      <c r="Y170" s="67" t="s">
        <v>50</v>
      </c>
      <c r="Z170" s="35" t="str">
        <f t="shared" si="49"/>
        <v/>
      </c>
      <c r="AA170" s="13">
        <f t="shared" si="48"/>
        <v>0</v>
      </c>
      <c r="AB170" s="13" t="str">
        <f>IF(AA170&gt;0,Y98&amp;Sprache!$E$71&amp;X98,"")</f>
        <v/>
      </c>
      <c r="AC170" s="2"/>
      <c r="AD170" s="144"/>
    </row>
    <row r="171" spans="25:30" x14ac:dyDescent="0.2">
      <c r="Y171" s="67" t="s">
        <v>51</v>
      </c>
      <c r="Z171" s="35" t="str">
        <f t="shared" si="49"/>
        <v/>
      </c>
      <c r="AA171" s="13">
        <f t="shared" si="48"/>
        <v>0</v>
      </c>
      <c r="AB171" s="13" t="str">
        <f>IF(AA171&gt;0,Y99&amp;Sprache!$E$71&amp;X99,"")</f>
        <v/>
      </c>
      <c r="AC171" s="2"/>
      <c r="AD171" s="144"/>
    </row>
    <row r="172" spans="25:30" x14ac:dyDescent="0.2">
      <c r="Y172" s="67" t="s">
        <v>60</v>
      </c>
      <c r="Z172" s="35" t="str">
        <f t="shared" si="49"/>
        <v/>
      </c>
      <c r="AA172" s="13">
        <f t="shared" si="48"/>
        <v>0</v>
      </c>
      <c r="AB172" s="13" t="str">
        <f>IF(AA172&gt;0,Y100&amp;Sprache!$E$71&amp;X100,"")</f>
        <v/>
      </c>
      <c r="AC172" s="2"/>
      <c r="AD172" s="144"/>
    </row>
    <row r="173" spans="25:30" x14ac:dyDescent="0.2">
      <c r="Y173" s="67" t="s">
        <v>61</v>
      </c>
      <c r="Z173" s="35" t="str">
        <f t="shared" si="49"/>
        <v/>
      </c>
      <c r="AA173" s="13">
        <f t="shared" si="48"/>
        <v>0</v>
      </c>
      <c r="AB173" s="13" t="str">
        <f>IF(AA173&gt;0,Y101&amp;Sprache!$E$71&amp;X101,"")</f>
        <v/>
      </c>
      <c r="AC173" s="2"/>
      <c r="AD173" s="144"/>
    </row>
    <row r="174" spans="25:30" x14ac:dyDescent="0.2">
      <c r="Y174" s="67" t="s">
        <v>62</v>
      </c>
      <c r="Z174" s="35" t="str">
        <f t="shared" si="49"/>
        <v/>
      </c>
      <c r="AA174" s="13">
        <f t="shared" si="48"/>
        <v>0</v>
      </c>
      <c r="AB174" s="13" t="str">
        <f>IF(AA174&gt;0,Y102&amp;Sprache!$E$71&amp;X102,"")</f>
        <v/>
      </c>
      <c r="AC174" s="2"/>
      <c r="AD174" s="144"/>
    </row>
    <row r="175" spans="25:30" x14ac:dyDescent="0.2">
      <c r="Y175" s="67" t="s">
        <v>63</v>
      </c>
      <c r="Z175" s="35" t="str">
        <f t="shared" si="49"/>
        <v/>
      </c>
      <c r="AA175" s="13">
        <f t="shared" si="48"/>
        <v>0</v>
      </c>
      <c r="AB175" s="13" t="str">
        <f>IF(AA175&gt;0,Y103&amp;Sprache!$E$71&amp;X103,"")</f>
        <v/>
      </c>
      <c r="AC175" s="2"/>
      <c r="AD175" s="144"/>
    </row>
    <row r="176" spans="25:30" x14ac:dyDescent="0.2">
      <c r="Y176" s="67" t="s">
        <v>64</v>
      </c>
      <c r="Z176" s="35" t="str">
        <f t="shared" si="49"/>
        <v/>
      </c>
      <c r="AA176" s="13">
        <f t="shared" si="48"/>
        <v>0</v>
      </c>
      <c r="AB176" s="13" t="str">
        <f>IF(AA176&gt;0,Y104&amp;Sprache!$E$71&amp;X104,"")</f>
        <v/>
      </c>
      <c r="AC176" s="2"/>
      <c r="AD176" s="144"/>
    </row>
    <row r="177" spans="25:30" x14ac:dyDescent="0.2">
      <c r="Y177" s="67" t="s">
        <v>65</v>
      </c>
      <c r="Z177" s="35" t="str">
        <f t="shared" si="49"/>
        <v/>
      </c>
      <c r="AA177" s="13">
        <f t="shared" si="48"/>
        <v>0</v>
      </c>
      <c r="AB177" s="13" t="str">
        <f>IF(AA177&gt;0,Y105&amp;Sprache!$E$71&amp;X105,"")</f>
        <v/>
      </c>
      <c r="AC177" s="2"/>
      <c r="AD177" s="144"/>
    </row>
    <row r="178" spans="25:30" x14ac:dyDescent="0.2">
      <c r="Y178" s="67" t="s">
        <v>66</v>
      </c>
      <c r="Z178" s="35" t="str">
        <f t="shared" si="49"/>
        <v/>
      </c>
      <c r="AA178" s="13">
        <f t="shared" si="48"/>
        <v>0</v>
      </c>
      <c r="AB178" s="13" t="str">
        <f>IF(AA178&gt;0,Y106&amp;Sprache!$E$71&amp;X106,"")</f>
        <v/>
      </c>
      <c r="AC178" s="2"/>
      <c r="AD178" s="144"/>
    </row>
    <row r="179" spans="25:30" x14ac:dyDescent="0.2">
      <c r="Y179" s="67" t="s">
        <v>67</v>
      </c>
      <c r="Z179" s="35" t="str">
        <f t="shared" si="49"/>
        <v/>
      </c>
      <c r="AA179" s="13">
        <f t="shared" si="48"/>
        <v>0</v>
      </c>
      <c r="AB179" s="13" t="str">
        <f>IF(AA179&gt;0,Y107&amp;Sprache!$E$71&amp;X107,"")</f>
        <v/>
      </c>
      <c r="AC179" s="2"/>
      <c r="AD179" s="144"/>
    </row>
    <row r="180" spans="25:30" x14ac:dyDescent="0.2">
      <c r="Y180" s="67" t="s">
        <v>68</v>
      </c>
      <c r="Z180" s="35" t="str">
        <f t="shared" si="49"/>
        <v/>
      </c>
      <c r="AA180" s="13">
        <f t="shared" si="48"/>
        <v>0</v>
      </c>
      <c r="AB180" s="13" t="str">
        <f>IF(AA180&gt;0,Y108&amp;Sprache!$E$71&amp;X108,"")</f>
        <v/>
      </c>
      <c r="AC180" s="2"/>
      <c r="AD180" s="144"/>
    </row>
    <row r="181" spans="25:30" x14ac:dyDescent="0.2">
      <c r="Y181" s="67" t="s">
        <v>69</v>
      </c>
      <c r="Z181" s="35" t="str">
        <f t="shared" si="49"/>
        <v/>
      </c>
      <c r="AA181" s="13">
        <f t="shared" si="48"/>
        <v>0</v>
      </c>
      <c r="AB181" s="13" t="str">
        <f>IF(AA181&gt;0,Y109&amp;Sprache!$E$71&amp;X109,"")</f>
        <v/>
      </c>
      <c r="AC181" s="2"/>
      <c r="AD181" s="144"/>
    </row>
    <row r="182" spans="25:30" x14ac:dyDescent="0.2">
      <c r="Y182" s="67" t="s">
        <v>70</v>
      </c>
      <c r="Z182" s="35" t="str">
        <f t="shared" si="49"/>
        <v/>
      </c>
      <c r="AA182" s="13">
        <f t="shared" si="48"/>
        <v>0</v>
      </c>
      <c r="AB182" s="13" t="str">
        <f>IF(AA182&gt;0,Y110&amp;Sprache!$E$71&amp;X110,"")</f>
        <v/>
      </c>
      <c r="AC182" s="2"/>
      <c r="AD182" s="144"/>
    </row>
    <row r="183" spans="25:30" x14ac:dyDescent="0.2">
      <c r="Y183" s="67" t="s">
        <v>71</v>
      </c>
      <c r="Z183" s="35" t="str">
        <f t="shared" si="49"/>
        <v/>
      </c>
      <c r="AA183" s="13">
        <f t="shared" si="48"/>
        <v>0</v>
      </c>
      <c r="AB183" s="13" t="str">
        <f>IF(AA183&gt;0,Y111&amp;Sprache!$E$71&amp;X111,"")</f>
        <v/>
      </c>
      <c r="AC183" s="2"/>
      <c r="AD183" s="144"/>
    </row>
    <row r="184" spans="25:30" x14ac:dyDescent="0.2">
      <c r="Y184" s="67" t="s">
        <v>72</v>
      </c>
      <c r="Z184" s="35" t="str">
        <f t="shared" si="49"/>
        <v/>
      </c>
      <c r="AA184" s="13">
        <f t="shared" si="48"/>
        <v>0</v>
      </c>
      <c r="AB184" s="13" t="str">
        <f>IF(AA184&gt;0,Y112&amp;Sprache!$E$71&amp;X112,"")</f>
        <v/>
      </c>
      <c r="AC184" s="2"/>
      <c r="AD184" s="144"/>
    </row>
    <row r="185" spans="25:30" x14ac:dyDescent="0.2">
      <c r="Y185" s="67" t="s">
        <v>73</v>
      </c>
      <c r="Z185" s="35" t="str">
        <f t="shared" si="49"/>
        <v/>
      </c>
      <c r="AA185" s="13">
        <f t="shared" si="48"/>
        <v>0</v>
      </c>
      <c r="AB185" s="13" t="str">
        <f>IF(AA185&gt;0,Y113&amp;Sprache!$E$71&amp;X113,"")</f>
        <v/>
      </c>
      <c r="AC185" s="2"/>
      <c r="AD185" s="144"/>
    </row>
    <row r="186" spans="25:30" x14ac:dyDescent="0.2">
      <c r="Y186" s="67" t="s">
        <v>74</v>
      </c>
      <c r="Z186" s="35" t="str">
        <f t="shared" si="49"/>
        <v/>
      </c>
      <c r="AA186" s="13">
        <f t="shared" si="48"/>
        <v>0</v>
      </c>
      <c r="AB186" s="13" t="str">
        <f>IF(AA186&gt;0,Y114&amp;Sprache!$E$71&amp;X114,"")</f>
        <v/>
      </c>
      <c r="AC186" s="2"/>
      <c r="AD186" s="144"/>
    </row>
    <row r="187" spans="25:30" x14ac:dyDescent="0.2">
      <c r="Y187" s="67" t="s">
        <v>75</v>
      </c>
      <c r="Z187" s="35" t="str">
        <f t="shared" si="49"/>
        <v/>
      </c>
      <c r="AA187" s="13">
        <f t="shared" si="48"/>
        <v>0</v>
      </c>
      <c r="AB187" s="13" t="str">
        <f>IF(AA187&gt;0,Y115&amp;Sprache!$E$71&amp;X115,"")</f>
        <v/>
      </c>
      <c r="AC187" s="2"/>
      <c r="AD187" s="144"/>
    </row>
    <row r="188" spans="25:30" x14ac:dyDescent="0.2">
      <c r="Y188" s="67" t="s">
        <v>76</v>
      </c>
      <c r="Z188" s="35" t="str">
        <f t="shared" si="49"/>
        <v/>
      </c>
      <c r="AA188" s="13">
        <f t="shared" si="48"/>
        <v>0</v>
      </c>
      <c r="AB188" s="13" t="str">
        <f>IF(AA188&gt;0,Y116&amp;Sprache!$E$71&amp;X116,"")</f>
        <v/>
      </c>
      <c r="AC188" s="2"/>
      <c r="AD188" s="144"/>
    </row>
    <row r="189" spans="25:30" x14ac:dyDescent="0.2">
      <c r="Y189" s="67" t="s">
        <v>77</v>
      </c>
      <c r="Z189" s="35" t="str">
        <f t="shared" si="49"/>
        <v/>
      </c>
      <c r="AA189" s="13">
        <f t="shared" si="48"/>
        <v>0</v>
      </c>
      <c r="AB189" s="13" t="str">
        <f>IF(AA189&gt;0,Y117&amp;Sprache!$E$71&amp;X117,"")</f>
        <v/>
      </c>
      <c r="AC189" s="2"/>
      <c r="AD189" s="144"/>
    </row>
    <row r="190" spans="25:30" x14ac:dyDescent="0.2">
      <c r="Y190" s="67" t="s">
        <v>78</v>
      </c>
      <c r="Z190" s="35" t="str">
        <f t="shared" si="49"/>
        <v/>
      </c>
      <c r="AA190" s="13">
        <f t="shared" si="48"/>
        <v>0</v>
      </c>
      <c r="AB190" s="13" t="str">
        <f>IF(AA190&gt;0,Y118&amp;Sprache!$E$71&amp;X118,"")</f>
        <v/>
      </c>
      <c r="AC190" s="2"/>
      <c r="AD190" s="144"/>
    </row>
    <row r="191" spans="25:30" x14ac:dyDescent="0.2">
      <c r="Y191" s="67" t="s">
        <v>79</v>
      </c>
      <c r="Z191" s="35" t="str">
        <f t="shared" si="49"/>
        <v/>
      </c>
      <c r="AA191" s="13">
        <f t="shared" si="48"/>
        <v>0</v>
      </c>
      <c r="AB191" s="13" t="str">
        <f>IF(AA191&gt;0,Y119&amp;Sprache!$E$71&amp;X119,"")</f>
        <v/>
      </c>
      <c r="AC191" s="2"/>
      <c r="AD191" s="144"/>
    </row>
    <row r="192" spans="25:30" x14ac:dyDescent="0.2">
      <c r="Y192" s="67" t="s">
        <v>80</v>
      </c>
      <c r="Z192" s="35" t="str">
        <f t="shared" si="49"/>
        <v/>
      </c>
      <c r="AA192" s="13">
        <f t="shared" si="48"/>
        <v>0</v>
      </c>
      <c r="AB192" s="13" t="str">
        <f>IF(AA192&gt;0,Y120&amp;Sprache!$E$71&amp;X120,"")</f>
        <v/>
      </c>
      <c r="AC192" s="2"/>
      <c r="AD192" s="144"/>
    </row>
    <row r="193" spans="25:30" x14ac:dyDescent="0.2">
      <c r="Y193" s="67" t="s">
        <v>81</v>
      </c>
      <c r="Z193" s="35" t="str">
        <f t="shared" si="49"/>
        <v/>
      </c>
      <c r="AA193" s="13">
        <f t="shared" si="48"/>
        <v>0</v>
      </c>
      <c r="AB193" s="13" t="str">
        <f>IF(AA193&gt;0,Y121&amp;Sprache!$E$71&amp;X121,"")</f>
        <v/>
      </c>
      <c r="AC193" s="2"/>
      <c r="AD193" s="144"/>
    </row>
    <row r="194" spans="25:30" x14ac:dyDescent="0.2">
      <c r="Y194" s="67" t="s">
        <v>82</v>
      </c>
      <c r="Z194" s="35" t="str">
        <f t="shared" si="49"/>
        <v/>
      </c>
      <c r="AA194" s="13">
        <f t="shared" si="48"/>
        <v>0</v>
      </c>
      <c r="AB194" s="13" t="str">
        <f>IF(AA194&gt;0,Y122&amp;Sprache!$E$71&amp;X122,"")</f>
        <v/>
      </c>
      <c r="AC194" s="2"/>
      <c r="AD194" s="144"/>
    </row>
    <row r="195" spans="25:30" x14ac:dyDescent="0.2">
      <c r="Y195" s="67" t="s">
        <v>83</v>
      </c>
      <c r="Z195" s="35" t="str">
        <f t="shared" si="49"/>
        <v/>
      </c>
      <c r="AA195" s="13">
        <f t="shared" si="48"/>
        <v>0</v>
      </c>
      <c r="AB195" s="13" t="str">
        <f>IF(AA195&gt;0,Y123&amp;Sprache!$E$71&amp;X123,"")</f>
        <v/>
      </c>
      <c r="AC195" s="2"/>
      <c r="AD195" s="144"/>
    </row>
    <row r="196" spans="25:30" x14ac:dyDescent="0.2">
      <c r="Y196" s="67" t="s">
        <v>84</v>
      </c>
      <c r="Z196" s="35" t="str">
        <f t="shared" si="49"/>
        <v/>
      </c>
      <c r="AA196" s="13">
        <f t="shared" si="48"/>
        <v>0</v>
      </c>
      <c r="AB196" s="13" t="str">
        <f>IF(AA196&gt;0,Y124&amp;Sprache!$E$71&amp;X124,"")</f>
        <v/>
      </c>
      <c r="AC196" s="2"/>
      <c r="AD196" s="144"/>
    </row>
    <row r="197" spans="25:30" x14ac:dyDescent="0.2">
      <c r="Y197" s="67" t="s">
        <v>85</v>
      </c>
      <c r="Z197" s="35" t="str">
        <f t="shared" si="49"/>
        <v/>
      </c>
      <c r="AA197" s="13">
        <f t="shared" si="48"/>
        <v>0</v>
      </c>
      <c r="AB197" s="13" t="str">
        <f>IF(AA197&gt;0,Y125&amp;Sprache!$E$71&amp;X125,"")</f>
        <v/>
      </c>
      <c r="AC197" s="2"/>
      <c r="AD197" s="144"/>
    </row>
    <row r="198" spans="25:30" x14ac:dyDescent="0.2">
      <c r="Y198" s="67" t="s">
        <v>86</v>
      </c>
      <c r="Z198" s="35" t="str">
        <f t="shared" si="49"/>
        <v/>
      </c>
      <c r="AA198" s="13">
        <f t="shared" si="48"/>
        <v>0</v>
      </c>
      <c r="AB198" s="13" t="str">
        <f>IF(AA198&gt;0,Y126&amp;Sprache!$E$71&amp;X126,"")</f>
        <v/>
      </c>
      <c r="AC198" s="2"/>
      <c r="AD198" s="144"/>
    </row>
    <row r="199" spans="25:30" x14ac:dyDescent="0.2">
      <c r="Y199" s="67" t="s">
        <v>87</v>
      </c>
      <c r="Z199" s="35" t="str">
        <f t="shared" si="49"/>
        <v/>
      </c>
      <c r="AA199" s="13">
        <f t="shared" si="48"/>
        <v>0</v>
      </c>
      <c r="AB199" s="13" t="str">
        <f>IF(AA199&gt;0,Y127&amp;Sprache!$E$71&amp;X127,"")</f>
        <v/>
      </c>
      <c r="AC199" s="2"/>
      <c r="AD199" s="144"/>
    </row>
    <row r="200" spans="25:30" x14ac:dyDescent="0.2">
      <c r="Y200" s="67" t="s">
        <v>88</v>
      </c>
      <c r="Z200" s="35" t="str">
        <f t="shared" si="49"/>
        <v/>
      </c>
      <c r="AA200" s="13">
        <f t="shared" si="48"/>
        <v>0</v>
      </c>
      <c r="AB200" s="13" t="str">
        <f>IF(AA200&gt;0,Y128&amp;Sprache!$E$71&amp;X128,"")</f>
        <v/>
      </c>
      <c r="AC200" s="2"/>
      <c r="AD200" s="144"/>
    </row>
    <row r="201" spans="25:30" x14ac:dyDescent="0.2">
      <c r="Y201" s="67" t="s">
        <v>89</v>
      </c>
      <c r="Z201" s="35" t="str">
        <f t="shared" si="49"/>
        <v/>
      </c>
      <c r="AA201" s="13">
        <f t="shared" ref="AA201:AA207" si="50">AA129</f>
        <v>0</v>
      </c>
      <c r="AB201" s="13" t="str">
        <f>IF(AA201&gt;0,Y129&amp;Sprache!$E$71&amp;X129,"")</f>
        <v/>
      </c>
      <c r="AC201" s="2"/>
      <c r="AD201" s="144"/>
    </row>
    <row r="202" spans="25:30" x14ac:dyDescent="0.2">
      <c r="Y202" s="67" t="s">
        <v>90</v>
      </c>
      <c r="Z202" s="35" t="str">
        <f t="shared" ref="Z202:Z206" si="51">W130&amp;V130</f>
        <v/>
      </c>
      <c r="AA202" s="13">
        <f t="shared" si="50"/>
        <v>0</v>
      </c>
      <c r="AB202" s="13" t="str">
        <f>IF(AA202&gt;0,Y130&amp;Sprache!$E$71&amp;X130,"")</f>
        <v/>
      </c>
      <c r="AC202" s="2"/>
      <c r="AD202" s="144"/>
    </row>
    <row r="203" spans="25:30" x14ac:dyDescent="0.2">
      <c r="Y203" s="67" t="s">
        <v>91</v>
      </c>
      <c r="Z203" s="35" t="str">
        <f t="shared" si="51"/>
        <v/>
      </c>
      <c r="AA203" s="13">
        <f t="shared" si="50"/>
        <v>0</v>
      </c>
      <c r="AB203" s="13" t="str">
        <f>IF(AA203&gt;0,Y131&amp;Sprache!$E$71&amp;X131,"")</f>
        <v/>
      </c>
      <c r="AC203" s="2"/>
      <c r="AD203" s="144"/>
    </row>
    <row r="204" spans="25:30" x14ac:dyDescent="0.2">
      <c r="Y204" s="67" t="s">
        <v>92</v>
      </c>
      <c r="Z204" s="35" t="str">
        <f t="shared" si="51"/>
        <v/>
      </c>
      <c r="AA204" s="13">
        <f t="shared" si="50"/>
        <v>0</v>
      </c>
      <c r="AB204" s="13" t="str">
        <f>IF(AA204&gt;0,Y132&amp;Sprache!$E$71&amp;X132,"")</f>
        <v/>
      </c>
      <c r="AC204" s="2"/>
      <c r="AD204" s="144"/>
    </row>
    <row r="205" spans="25:30" x14ac:dyDescent="0.2">
      <c r="Y205" s="67" t="s">
        <v>93</v>
      </c>
      <c r="Z205" s="35" t="str">
        <f t="shared" si="51"/>
        <v/>
      </c>
      <c r="AA205" s="13">
        <f t="shared" si="50"/>
        <v>0</v>
      </c>
      <c r="AB205" s="13" t="str">
        <f>IF(AA205&gt;0,Y133&amp;Sprache!$E$71&amp;X133,"")</f>
        <v/>
      </c>
      <c r="AC205" s="2"/>
      <c r="AD205" s="144"/>
    </row>
    <row r="206" spans="25:30" x14ac:dyDescent="0.2">
      <c r="Y206" s="67" t="s">
        <v>94</v>
      </c>
      <c r="Z206" s="35" t="str">
        <f t="shared" si="51"/>
        <v/>
      </c>
      <c r="AA206" s="13">
        <f t="shared" si="50"/>
        <v>0</v>
      </c>
      <c r="AB206" s="13" t="str">
        <f>IF(AA206&gt;0,Y134&amp;Sprache!$E$71&amp;X134,"")</f>
        <v/>
      </c>
      <c r="AC206" s="2"/>
      <c r="AD206" s="144"/>
    </row>
    <row r="207" spans="25:30" ht="12.75" thickBot="1" x14ac:dyDescent="0.25">
      <c r="Y207" s="68" t="s">
        <v>95</v>
      </c>
      <c r="Z207" s="37" t="str">
        <f>W135&amp;V135</f>
        <v/>
      </c>
      <c r="AA207" s="38">
        <f t="shared" si="50"/>
        <v>0</v>
      </c>
      <c r="AB207" s="145" t="str">
        <f>IF(AA207&gt;0,Y135&amp;Sprache!$E$71&amp;X135,"")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48"/>
      <c r="X3" s="849"/>
      <c r="Y3" s="849"/>
      <c r="Z3" s="849"/>
      <c r="AA3" s="849"/>
      <c r="AB3" s="848"/>
      <c r="AC3" s="849"/>
      <c r="AD3" s="849"/>
      <c r="AE3" s="849"/>
      <c r="AF3" s="849"/>
      <c r="AG3" s="848"/>
      <c r="AH3" s="849"/>
      <c r="AI3" s="849"/>
      <c r="AJ3" s="849"/>
      <c r="AK3" s="849"/>
      <c r="AL3" s="848"/>
      <c r="AM3" s="849"/>
      <c r="AN3" s="849"/>
      <c r="AO3" s="849"/>
      <c r="AP3" s="849"/>
    </row>
    <row r="4" spans="1:42" s="2" customFormat="1" ht="12.75" thickTop="1" x14ac:dyDescent="0.2">
      <c r="A4" s="242"/>
      <c r="B4" s="1">
        <v>1</v>
      </c>
      <c r="C4" s="21">
        <f ca="1">RANK(D4,$D$4:$D$12,1)</f>
        <v>3</v>
      </c>
      <c r="D4" s="13">
        <f ca="1">E4+ROW()/1000+(F4="")*10</f>
        <v>3.004</v>
      </c>
      <c r="E4" s="255">
        <f ca="1">IF($AI$15,RANK(AH17,AH$17:AH$25,1),RANK(X17,X$17:X$25,1))</f>
        <v>3</v>
      </c>
      <c r="F4" s="1" t="str">
        <f ca="1">$Q64</f>
        <v>1. FC Riedwald</v>
      </c>
      <c r="G4" s="1">
        <f t="shared" ref="G4:G12" ca="1" si="0">SUMIFS($X$64:$X$135,$V$64:$V$135,$F4)+SUMIFS($Y$64:$Y$135,$W$64:$W$135,$F4)</f>
        <v>9</v>
      </c>
      <c r="H4" s="1">
        <f t="shared" ref="H4:H12" ca="1" si="1">SUMIFS($Y$64:$Y$135,$V$64:$V$135,$F4)+SUMIFS($X$64:$X$135,$W$64:$W$135,$F4)</f>
        <v>15</v>
      </c>
      <c r="I4" s="13">
        <f t="shared" ref="I4:I12" ca="1" si="2">G4-H4</f>
        <v>-6</v>
      </c>
      <c r="J4" s="1">
        <f ca="1">SUMIF($V$64:$V$135,F4,$AE$64:$AE$135)+SUMIF($W$64:$W$135,F4,$AF$64:$AF$135)</f>
        <v>3</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2</v>
      </c>
      <c r="O4" s="120"/>
      <c r="P4" s="120"/>
      <c r="Q4" s="120"/>
      <c r="R4" s="120"/>
      <c r="V4" s="1"/>
      <c r="W4" s="610"/>
      <c r="X4" s="611"/>
      <c r="Y4" s="612"/>
      <c r="Z4" s="613"/>
      <c r="AA4" s="614"/>
      <c r="AB4" s="615"/>
      <c r="AC4" s="616"/>
      <c r="AD4" s="617"/>
      <c r="AE4" s="613"/>
      <c r="AF4" s="613"/>
      <c r="AG4" s="615"/>
      <c r="AH4" s="616"/>
      <c r="AI4" s="617"/>
      <c r="AJ4" s="613"/>
      <c r="AK4" s="618"/>
      <c r="AL4" s="616"/>
      <c r="AM4" s="616"/>
      <c r="AN4" s="617"/>
      <c r="AO4" s="613"/>
      <c r="AP4" s="618"/>
    </row>
    <row r="5" spans="1:42" s="2" customFormat="1" x14ac:dyDescent="0.2">
      <c r="A5" s="242"/>
      <c r="B5" s="1">
        <v>2</v>
      </c>
      <c r="C5" s="22">
        <f t="shared" ref="C5:C12" ca="1" si="7">RANK(D5,$D$4:$D$12,1)</f>
        <v>1</v>
      </c>
      <c r="D5" s="13">
        <f t="shared" ref="D5:D12" ca="1" si="8">E5+ROW()/1000+(F5="")*10</f>
        <v>1.0049999999999999</v>
      </c>
      <c r="E5" s="255">
        <f t="shared" ref="E5:E12" ca="1" si="9">IF($AI$15,RANK(AH18,AH$17:AH$25,1),RANK(X18,X$17:X$25,1))</f>
        <v>1</v>
      </c>
      <c r="F5" s="1" t="str">
        <f t="shared" ref="F5:F12" ca="1" si="10">$Q65</f>
        <v>Mainz 05</v>
      </c>
      <c r="G5" s="1">
        <f t="shared" ca="1" si="0"/>
        <v>17</v>
      </c>
      <c r="H5" s="1">
        <f t="shared" ca="1" si="1"/>
        <v>5</v>
      </c>
      <c r="I5" s="13">
        <f t="shared" ca="1" si="2"/>
        <v>12</v>
      </c>
      <c r="J5" s="1">
        <f t="shared" ref="J5:J12" ca="1" si="11">SUMIF($V$64:$V$135,F5,$AE$64:$AE$135)+SUMIF($W$64:$W$135,F5,$AF$64:$AF$135)</f>
        <v>9</v>
      </c>
      <c r="K5" s="1">
        <f t="shared" ca="1" si="3"/>
        <v>3</v>
      </c>
      <c r="L5" s="1">
        <f t="shared" ca="1" si="4"/>
        <v>3</v>
      </c>
      <c r="M5" s="1">
        <f t="shared" ca="1" si="5"/>
        <v>0</v>
      </c>
      <c r="N5" s="1">
        <f t="shared" ca="1" si="6"/>
        <v>0</v>
      </c>
      <c r="O5" s="24"/>
      <c r="P5" s="25"/>
      <c r="V5" s="1"/>
      <c r="W5" s="615"/>
      <c r="X5" s="616"/>
      <c r="Y5" s="613"/>
      <c r="Z5" s="613"/>
      <c r="AA5" s="618"/>
      <c r="AB5" s="615"/>
      <c r="AC5" s="616"/>
      <c r="AD5" s="617"/>
      <c r="AE5" s="613"/>
      <c r="AF5" s="613"/>
      <c r="AG5" s="615"/>
      <c r="AH5" s="616"/>
      <c r="AI5" s="617"/>
      <c r="AJ5" s="613"/>
      <c r="AK5" s="618"/>
      <c r="AL5" s="616"/>
      <c r="AM5" s="616"/>
      <c r="AN5" s="617"/>
      <c r="AO5" s="613"/>
      <c r="AP5" s="618"/>
    </row>
    <row r="6" spans="1:42" s="2" customFormat="1" x14ac:dyDescent="0.2">
      <c r="A6" s="242"/>
      <c r="B6" s="1">
        <v>3</v>
      </c>
      <c r="C6" s="22">
        <f t="shared" ca="1" si="7"/>
        <v>4</v>
      </c>
      <c r="D6" s="13">
        <f t="shared" ca="1" si="8"/>
        <v>9.0060000000000002</v>
      </c>
      <c r="E6" s="255">
        <f t="shared" ca="1" si="9"/>
        <v>9</v>
      </c>
      <c r="F6" s="1" t="str">
        <f t="shared" ca="1" si="10"/>
        <v>VFB Essenheim</v>
      </c>
      <c r="G6" s="1">
        <f t="shared" ca="1" si="0"/>
        <v>5</v>
      </c>
      <c r="H6" s="1">
        <f t="shared" ca="1" si="1"/>
        <v>15</v>
      </c>
      <c r="I6" s="13">
        <f t="shared" ca="1" si="2"/>
        <v>-10</v>
      </c>
      <c r="J6" s="1">
        <f t="shared" ca="1" si="11"/>
        <v>0</v>
      </c>
      <c r="K6" s="1">
        <f t="shared" ca="1" si="3"/>
        <v>3</v>
      </c>
      <c r="L6" s="1">
        <f t="shared" ca="1" si="4"/>
        <v>0</v>
      </c>
      <c r="M6" s="1">
        <f t="shared" ca="1" si="5"/>
        <v>0</v>
      </c>
      <c r="N6" s="1">
        <f t="shared" ca="1" si="6"/>
        <v>3</v>
      </c>
      <c r="O6" s="24"/>
      <c r="P6" s="25"/>
      <c r="V6" s="1"/>
      <c r="W6" s="615"/>
      <c r="X6" s="616"/>
      <c r="Y6" s="613"/>
      <c r="Z6" s="613"/>
      <c r="AA6" s="618"/>
      <c r="AB6" s="615"/>
      <c r="AC6" s="616"/>
      <c r="AD6" s="617"/>
      <c r="AE6" s="613"/>
      <c r="AF6" s="613"/>
      <c r="AG6" s="615"/>
      <c r="AH6" s="616"/>
      <c r="AI6" s="617"/>
      <c r="AJ6" s="613"/>
      <c r="AK6" s="618"/>
      <c r="AL6" s="616"/>
      <c r="AM6" s="616"/>
      <c r="AN6" s="617"/>
      <c r="AO6" s="613"/>
      <c r="AP6" s="618"/>
    </row>
    <row r="7" spans="1:42" s="2" customFormat="1" x14ac:dyDescent="0.2">
      <c r="A7" s="242"/>
      <c r="B7" s="1">
        <v>4</v>
      </c>
      <c r="C7" s="22">
        <f t="shared" ca="1" si="7"/>
        <v>2</v>
      </c>
      <c r="D7" s="13">
        <f t="shared" ca="1" si="8"/>
        <v>2.0070000000000001</v>
      </c>
      <c r="E7" s="255">
        <f t="shared" ca="1" si="9"/>
        <v>2</v>
      </c>
      <c r="F7" s="1" t="str">
        <f t="shared" ca="1" si="10"/>
        <v>FC Grönlingen</v>
      </c>
      <c r="G7" s="1">
        <f t="shared" ca="1" si="0"/>
        <v>11</v>
      </c>
      <c r="H7" s="1">
        <f t="shared" ca="1" si="1"/>
        <v>7</v>
      </c>
      <c r="I7" s="13">
        <f t="shared" ca="1" si="2"/>
        <v>4</v>
      </c>
      <c r="J7" s="1">
        <f t="shared" ca="1" si="11"/>
        <v>6</v>
      </c>
      <c r="K7" s="1">
        <f t="shared" ca="1" si="3"/>
        <v>3</v>
      </c>
      <c r="L7" s="1">
        <f t="shared" ca="1" si="4"/>
        <v>2</v>
      </c>
      <c r="M7" s="1">
        <f t="shared" ca="1" si="5"/>
        <v>0</v>
      </c>
      <c r="N7" s="1">
        <f t="shared" ca="1" si="6"/>
        <v>1</v>
      </c>
      <c r="O7" s="24"/>
      <c r="P7" s="25"/>
      <c r="V7" s="1"/>
      <c r="W7" s="615"/>
      <c r="X7" s="616"/>
      <c r="Y7" s="613"/>
      <c r="Z7" s="613"/>
      <c r="AA7" s="618"/>
      <c r="AB7" s="615"/>
      <c r="AC7" s="616"/>
      <c r="AD7" s="617"/>
      <c r="AE7" s="613"/>
      <c r="AF7" s="613"/>
      <c r="AG7" s="615"/>
      <c r="AH7" s="616"/>
      <c r="AI7" s="617"/>
      <c r="AJ7" s="613"/>
      <c r="AK7" s="618"/>
      <c r="AL7" s="616"/>
      <c r="AM7" s="616"/>
      <c r="AN7" s="617"/>
      <c r="AO7" s="613"/>
      <c r="AP7" s="618"/>
    </row>
    <row r="8" spans="1:42" s="2" customFormat="1" x14ac:dyDescent="0.2">
      <c r="A8" s="242"/>
      <c r="B8" s="1">
        <v>5</v>
      </c>
      <c r="C8" s="22">
        <f t="shared" ca="1" si="7"/>
        <v>5</v>
      </c>
      <c r="D8" s="13">
        <f t="shared" ca="1" si="8"/>
        <v>14.007999999999999</v>
      </c>
      <c r="E8" s="255">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5"/>
      <c r="X8" s="616"/>
      <c r="Y8" s="613"/>
      <c r="Z8" s="613"/>
      <c r="AA8" s="618"/>
      <c r="AB8" s="615"/>
      <c r="AC8" s="616"/>
      <c r="AD8" s="617"/>
      <c r="AE8" s="613"/>
      <c r="AF8" s="613"/>
      <c r="AG8" s="615"/>
      <c r="AH8" s="616"/>
      <c r="AI8" s="617"/>
      <c r="AJ8" s="613"/>
      <c r="AK8" s="618"/>
      <c r="AL8" s="616"/>
      <c r="AM8" s="616"/>
      <c r="AN8" s="617"/>
      <c r="AO8" s="613"/>
      <c r="AP8" s="618"/>
    </row>
    <row r="9" spans="1:42" s="2" customFormat="1" x14ac:dyDescent="0.2">
      <c r="A9" s="242"/>
      <c r="B9" s="1">
        <v>6</v>
      </c>
      <c r="C9" s="22">
        <f t="shared" ca="1" si="7"/>
        <v>6</v>
      </c>
      <c r="D9" s="13">
        <f t="shared" ca="1" si="8"/>
        <v>14.009</v>
      </c>
      <c r="E9" s="255">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5"/>
      <c r="X9" s="616"/>
      <c r="Y9" s="613"/>
      <c r="Z9" s="613"/>
      <c r="AA9" s="618"/>
      <c r="AB9" s="615"/>
      <c r="AC9" s="616"/>
      <c r="AD9" s="617"/>
      <c r="AE9" s="613"/>
      <c r="AF9" s="613"/>
      <c r="AG9" s="615"/>
      <c r="AH9" s="616"/>
      <c r="AI9" s="617"/>
      <c r="AJ9" s="613"/>
      <c r="AK9" s="618"/>
      <c r="AL9" s="616"/>
      <c r="AM9" s="616"/>
      <c r="AN9" s="617"/>
      <c r="AO9" s="613"/>
      <c r="AP9" s="618"/>
    </row>
    <row r="10" spans="1:42" s="2" customFormat="1" x14ac:dyDescent="0.2">
      <c r="A10" s="242"/>
      <c r="B10" s="1">
        <v>7</v>
      </c>
      <c r="C10" s="22">
        <f t="shared" ca="1" si="7"/>
        <v>7</v>
      </c>
      <c r="D10" s="13">
        <f t="shared" ca="1" si="8"/>
        <v>14.01</v>
      </c>
      <c r="E10" s="255">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5"/>
      <c r="X10" s="616"/>
      <c r="Y10" s="613"/>
      <c r="Z10" s="613"/>
      <c r="AA10" s="618"/>
      <c r="AB10" s="615"/>
      <c r="AC10" s="616"/>
      <c r="AD10" s="617"/>
      <c r="AE10" s="613"/>
      <c r="AF10" s="613"/>
      <c r="AG10" s="615"/>
      <c r="AH10" s="616"/>
      <c r="AI10" s="617"/>
      <c r="AJ10" s="613"/>
      <c r="AK10" s="618"/>
      <c r="AL10" s="616"/>
      <c r="AM10" s="616"/>
      <c r="AN10" s="617"/>
      <c r="AO10" s="613"/>
      <c r="AP10" s="618"/>
    </row>
    <row r="11" spans="1:42" s="2" customFormat="1" x14ac:dyDescent="0.2">
      <c r="A11" s="242"/>
      <c r="B11" s="1">
        <v>8</v>
      </c>
      <c r="C11" s="22">
        <f t="shared" ca="1" si="7"/>
        <v>8</v>
      </c>
      <c r="D11" s="13">
        <f t="shared" ca="1" si="8"/>
        <v>14.010999999999999</v>
      </c>
      <c r="E11" s="255">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5"/>
      <c r="X11" s="616"/>
      <c r="Y11" s="613"/>
      <c r="Z11" s="613"/>
      <c r="AA11" s="618"/>
      <c r="AB11" s="615"/>
      <c r="AC11" s="616"/>
      <c r="AD11" s="617"/>
      <c r="AE11" s="613"/>
      <c r="AF11" s="613"/>
      <c r="AG11" s="615"/>
      <c r="AH11" s="616"/>
      <c r="AI11" s="617"/>
      <c r="AJ11" s="613"/>
      <c r="AK11" s="618"/>
      <c r="AL11" s="616"/>
      <c r="AM11" s="616"/>
      <c r="AN11" s="617"/>
      <c r="AO11" s="613"/>
      <c r="AP11" s="618"/>
    </row>
    <row r="12" spans="1:42" s="2" customFormat="1" ht="12.75" thickBot="1" x14ac:dyDescent="0.25">
      <c r="A12" s="242"/>
      <c r="B12" s="1">
        <v>9</v>
      </c>
      <c r="C12" s="23">
        <f t="shared" ca="1" si="7"/>
        <v>9</v>
      </c>
      <c r="D12" s="13">
        <f t="shared" ca="1" si="8"/>
        <v>14.012</v>
      </c>
      <c r="E12" s="255">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19"/>
      <c r="X12" s="620"/>
      <c r="Y12" s="621"/>
      <c r="Z12" s="621"/>
      <c r="AA12" s="622"/>
      <c r="AB12" s="619"/>
      <c r="AC12" s="620"/>
      <c r="AD12" s="623"/>
      <c r="AE12" s="621"/>
      <c r="AF12" s="621"/>
      <c r="AG12" s="619"/>
      <c r="AH12" s="620"/>
      <c r="AI12" s="623"/>
      <c r="AJ12" s="621"/>
      <c r="AK12" s="622"/>
      <c r="AL12" s="620"/>
      <c r="AM12" s="620"/>
      <c r="AN12" s="623"/>
      <c r="AO12" s="621"/>
      <c r="AP12" s="622"/>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0" t="s">
        <v>190</v>
      </c>
      <c r="AE15" s="851"/>
      <c r="AF15" s="851"/>
      <c r="AG15" s="851"/>
      <c r="AH15" s="852"/>
      <c r="AI15" s="2" t="b">
        <f>(Einstellungen!$B$9=Sprache!$E$76)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 ca="1">$Q64</f>
        <v>1. FC Riedwald</v>
      </c>
      <c r="D17" s="1">
        <f t="shared" ref="D17:G25" ca="1" si="12">K4</f>
        <v>3</v>
      </c>
      <c r="E17" s="1">
        <f t="shared" ca="1" si="12"/>
        <v>1</v>
      </c>
      <c r="F17" s="1">
        <f t="shared" ca="1" si="12"/>
        <v>0</v>
      </c>
      <c r="G17" s="1">
        <f t="shared" ca="1" si="12"/>
        <v>2</v>
      </c>
      <c r="H17" s="1">
        <f t="shared" ref="H17:K25" ca="1" si="13">G4</f>
        <v>9</v>
      </c>
      <c r="I17" s="1">
        <f t="shared" ca="1" si="13"/>
        <v>15</v>
      </c>
      <c r="J17" s="13">
        <f t="shared" ca="1" si="13"/>
        <v>-6</v>
      </c>
      <c r="K17" s="1">
        <f t="shared" ca="1" si="13"/>
        <v>3</v>
      </c>
      <c r="L17" s="30">
        <f t="shared" ref="L17:L25" ca="1" si="14">K17*$F$64+(J17+$H$65)*$F$65+H17*$F$66</f>
        <v>3494009</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'Endrunde 4'!$AF19</f>
        <v>0</v>
      </c>
      <c r="Z17" s="1">
        <f ca="1">RANK($W17,$W$17:$W$25)+(9-$Y17)/10</f>
        <v>1.9</v>
      </c>
      <c r="AA17" s="1">
        <f ca="1">SUM(E30:BP30)</f>
        <v>0</v>
      </c>
      <c r="AB17" s="1">
        <f ca="1">SUM(E41:BP41)</f>
        <v>0</v>
      </c>
      <c r="AC17" s="1">
        <f ca="1">SUM(E52:BP52)</f>
        <v>0</v>
      </c>
      <c r="AD17" s="249">
        <f ca="1">RANK($K17,$K$17:$K$25)</f>
        <v>3</v>
      </c>
      <c r="AE17" s="30">
        <f ca="1">(J17+$H$65)*$F$65+H17*$F$66</f>
        <v>494009</v>
      </c>
      <c r="AF17" s="1">
        <f ca="1">RANK($AE17,$AE$17:$AE$25)</f>
        <v>3</v>
      </c>
      <c r="AG17" s="1">
        <f ca="1">RANK($W17,$W$17:$W$25)</f>
        <v>1</v>
      </c>
      <c r="AH17" s="251">
        <f ca="1">AD17+AG17/100+AF17/10000+(10-Y17)/1000000</f>
        <v>3.01031</v>
      </c>
      <c r="AI17" s="1"/>
    </row>
    <row r="18" spans="2:80" s="2" customFormat="1" x14ac:dyDescent="0.2">
      <c r="C18" s="2" t="str">
        <f t="shared" ref="C18:C25" ca="1" si="23">$Q65</f>
        <v>Mainz 05</v>
      </c>
      <c r="D18" s="1">
        <f t="shared" ca="1" si="12"/>
        <v>3</v>
      </c>
      <c r="E18" s="1">
        <f t="shared" ca="1" si="12"/>
        <v>3</v>
      </c>
      <c r="F18" s="1">
        <f t="shared" ca="1" si="12"/>
        <v>0</v>
      </c>
      <c r="G18" s="1">
        <f t="shared" ca="1" si="12"/>
        <v>0</v>
      </c>
      <c r="H18" s="1">
        <f t="shared" ca="1" si="13"/>
        <v>17</v>
      </c>
      <c r="I18" s="1">
        <f t="shared" ca="1" si="13"/>
        <v>5</v>
      </c>
      <c r="J18" s="13">
        <f t="shared" ca="1" si="13"/>
        <v>12</v>
      </c>
      <c r="K18" s="1">
        <f t="shared" ca="1" si="13"/>
        <v>9</v>
      </c>
      <c r="L18" s="30">
        <f t="shared" ca="1" si="14"/>
        <v>9512017</v>
      </c>
      <c r="M18" s="14">
        <f t="shared" ref="M18:M25" ca="1" si="24">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1.0108999999999999</v>
      </c>
      <c r="Y18" s="13">
        <f>'Endrunde 4'!$AF20</f>
        <v>0</v>
      </c>
      <c r="Z18" s="1">
        <f t="shared" ref="Z18:Z25" ca="1" si="26">RANK($W18,$W$17:$W$25)+(9-$Y18)/10</f>
        <v>1.9</v>
      </c>
      <c r="AA18" s="1">
        <f t="shared" ref="AA18:AA25" ca="1" si="27">SUM(E31:BP31)</f>
        <v>0</v>
      </c>
      <c r="AB18" s="1">
        <f t="shared" ref="AB18:AB25" ca="1" si="28">SUM(E42:BP42)</f>
        <v>0</v>
      </c>
      <c r="AC18" s="1">
        <f t="shared" ref="AC18:AC25" ca="1" si="29">SUM(E53:BP53)</f>
        <v>0</v>
      </c>
      <c r="AD18" s="249">
        <f t="shared" ref="AD18:AD25" ca="1" si="30">RANK($K18,$K$17:$K$25)</f>
        <v>1</v>
      </c>
      <c r="AE18" s="30">
        <f ca="1">(J18+$H$65)*$F$65+H18*$F$66</f>
        <v>512017</v>
      </c>
      <c r="AF18" s="1">
        <f t="shared" ref="AF18:AF25" ca="1" si="31">RANK($AE18,$AE$17:$AE$25)</f>
        <v>1</v>
      </c>
      <c r="AG18" s="1">
        <f t="shared" ref="AG18:AG25" ca="1" si="32">RANK($W18,$W$17:$W$25)</f>
        <v>1</v>
      </c>
      <c r="AH18" s="252">
        <f t="shared" ref="AH18:AH25" ca="1" si="33">AD18+AG18/100+AF18/10000+(10-Y18)/1000000</f>
        <v>1.0101100000000001</v>
      </c>
      <c r="AI18" s="1"/>
    </row>
    <row r="19" spans="2:80" s="2" customFormat="1" x14ac:dyDescent="0.2">
      <c r="C19" s="2" t="str">
        <f t="shared" ca="1" si="23"/>
        <v>VFB Essenheim</v>
      </c>
      <c r="D19" s="1">
        <f t="shared" ca="1" si="12"/>
        <v>3</v>
      </c>
      <c r="E19" s="1">
        <f t="shared" ca="1" si="12"/>
        <v>0</v>
      </c>
      <c r="F19" s="1">
        <f t="shared" ca="1" si="12"/>
        <v>0</v>
      </c>
      <c r="G19" s="1">
        <f t="shared" ca="1" si="12"/>
        <v>3</v>
      </c>
      <c r="H19" s="1">
        <f t="shared" ca="1" si="13"/>
        <v>5</v>
      </c>
      <c r="I19" s="1">
        <f t="shared" ca="1" si="13"/>
        <v>15</v>
      </c>
      <c r="J19" s="13">
        <f t="shared" ca="1" si="13"/>
        <v>-10</v>
      </c>
      <c r="K19" s="1">
        <f t="shared" ca="1" si="13"/>
        <v>0</v>
      </c>
      <c r="L19" s="30">
        <f t="shared" ca="1" si="14"/>
        <v>490005</v>
      </c>
      <c r="M19" s="14">
        <f t="shared" ca="1" si="24"/>
        <v>1</v>
      </c>
      <c r="N19" s="14">
        <f t="array" aca="1" ref="N19" ca="1">IF($AI$15,SUM(($K$17:$K$25&gt;=K19)/COUNTIF($K$17:$K$25,$K$17:$K$25)),SUM(($L$17:$L$25&gt;=L19)/COUNTIF($L$17:$L$25,$L$17:$L$25)))</f>
        <v>5.0000000000000009</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9.0108999999999995</v>
      </c>
      <c r="Y19" s="13">
        <f>'Endrunde 4'!$AF21</f>
        <v>0</v>
      </c>
      <c r="Z19" s="1">
        <f t="shared" ca="1" si="26"/>
        <v>1.9</v>
      </c>
      <c r="AA19" s="1">
        <f t="shared" ca="1" si="27"/>
        <v>0</v>
      </c>
      <c r="AB19" s="1">
        <f t="shared" ca="1" si="28"/>
        <v>0</v>
      </c>
      <c r="AC19" s="1">
        <f t="shared" ca="1" si="29"/>
        <v>0</v>
      </c>
      <c r="AD19" s="249">
        <f t="shared" ca="1" si="30"/>
        <v>4</v>
      </c>
      <c r="AE19" s="30">
        <f ca="1">(J19+$H$65)*$F$65+H19*$F$66</f>
        <v>490005</v>
      </c>
      <c r="AF19" s="1">
        <f t="shared" ca="1" si="31"/>
        <v>4</v>
      </c>
      <c r="AG19" s="1">
        <f t="shared" ca="1" si="32"/>
        <v>1</v>
      </c>
      <c r="AH19" s="252">
        <f t="shared" ca="1" si="33"/>
        <v>4.0104099999999994</v>
      </c>
      <c r="AI19" s="1"/>
    </row>
    <row r="20" spans="2:80" s="2" customFormat="1" x14ac:dyDescent="0.2">
      <c r="C20" s="2" t="str">
        <f t="shared" ca="1" si="23"/>
        <v>FC Grönlingen</v>
      </c>
      <c r="D20" s="1">
        <f t="shared" ca="1" si="12"/>
        <v>3</v>
      </c>
      <c r="E20" s="1">
        <f t="shared" ca="1" si="12"/>
        <v>2</v>
      </c>
      <c r="F20" s="1">
        <f t="shared" ca="1" si="12"/>
        <v>0</v>
      </c>
      <c r="G20" s="1">
        <f t="shared" ca="1" si="12"/>
        <v>1</v>
      </c>
      <c r="H20" s="1">
        <f t="shared" ca="1" si="13"/>
        <v>11</v>
      </c>
      <c r="I20" s="1">
        <f t="shared" ca="1" si="13"/>
        <v>7</v>
      </c>
      <c r="J20" s="13">
        <f t="shared" ca="1" si="13"/>
        <v>4</v>
      </c>
      <c r="K20" s="1">
        <f t="shared" ca="1" si="13"/>
        <v>6</v>
      </c>
      <c r="L20" s="30">
        <f t="shared" ca="1" si="14"/>
        <v>6504011</v>
      </c>
      <c r="M20" s="14">
        <f t="shared" ca="1" si="24"/>
        <v>1</v>
      </c>
      <c r="N20" s="14">
        <f t="array" aca="1" ref="N20" ca="1">IF($AI$15,SUM(($K$17:$K$25&gt;=K20)/COUNTIF($K$17:$K$25,$K$17:$K$25)),SUM(($L$17:$L$25&gt;=L20)/COUNTIF($L$17:$L$25,$L$17:$L$25)))</f>
        <v>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2.0108999999999999</v>
      </c>
      <c r="Y20" s="13">
        <f>'Endrunde 4'!$AF22</f>
        <v>0</v>
      </c>
      <c r="Z20" s="1">
        <f t="shared" ca="1" si="26"/>
        <v>1.9</v>
      </c>
      <c r="AA20" s="1">
        <f t="shared" ca="1" si="27"/>
        <v>0</v>
      </c>
      <c r="AB20" s="1">
        <f t="shared" ca="1" si="28"/>
        <v>0</v>
      </c>
      <c r="AC20" s="1">
        <f t="shared" ca="1" si="29"/>
        <v>0</v>
      </c>
      <c r="AD20" s="249">
        <f t="shared" ca="1" si="30"/>
        <v>2</v>
      </c>
      <c r="AE20" s="30">
        <f ca="1">(J20+$H$65)*$F$65+H20*$F$66</f>
        <v>504011</v>
      </c>
      <c r="AF20" s="1">
        <f t="shared" ca="1" si="31"/>
        <v>2</v>
      </c>
      <c r="AG20" s="1">
        <f t="shared" ca="1" si="32"/>
        <v>1</v>
      </c>
      <c r="AH20" s="252">
        <f t="shared" ca="1" si="33"/>
        <v>2.0102099999999998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4.0000000000000009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4.0508999999999995</v>
      </c>
      <c r="Y21" s="13">
        <v>0</v>
      </c>
      <c r="Z21" s="1">
        <f t="shared" ca="1" si="26"/>
        <v>5.9</v>
      </c>
      <c r="AA21" s="1">
        <f t="shared" ca="1" si="27"/>
        <v>0</v>
      </c>
      <c r="AB21" s="1">
        <f t="shared" ca="1" si="28"/>
        <v>0</v>
      </c>
      <c r="AC21" s="1">
        <f t="shared" ca="1" si="29"/>
        <v>0</v>
      </c>
      <c r="AD21" s="249">
        <f t="shared" ca="1" si="30"/>
        <v>4</v>
      </c>
      <c r="AE21" s="30">
        <v>0</v>
      </c>
      <c r="AF21" s="1">
        <f t="shared" ca="1" si="31"/>
        <v>5</v>
      </c>
      <c r="AG21" s="1">
        <f t="shared" ca="1" si="32"/>
        <v>5</v>
      </c>
      <c r="AH21" s="252">
        <f t="shared" ca="1" si="33"/>
        <v>4.0505099999999992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4.0000000000000009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4.0508999999999995</v>
      </c>
      <c r="Y22" s="13">
        <v>0</v>
      </c>
      <c r="Z22" s="1">
        <f t="shared" ca="1" si="26"/>
        <v>5.9</v>
      </c>
      <c r="AA22" s="1">
        <f t="shared" ca="1" si="27"/>
        <v>0</v>
      </c>
      <c r="AB22" s="1">
        <f t="shared" ca="1" si="28"/>
        <v>0</v>
      </c>
      <c r="AC22" s="1">
        <f t="shared" ca="1" si="29"/>
        <v>0</v>
      </c>
      <c r="AD22" s="249">
        <f t="shared" ca="1" si="30"/>
        <v>4</v>
      </c>
      <c r="AE22" s="30">
        <v>0</v>
      </c>
      <c r="AF22" s="1">
        <f t="shared" ca="1" si="31"/>
        <v>5</v>
      </c>
      <c r="AG22" s="1">
        <f t="shared" ca="1" si="32"/>
        <v>5</v>
      </c>
      <c r="AH22" s="252">
        <f t="shared" ca="1" si="33"/>
        <v>4.0505099999999992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4.0000000000000009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4.0508999999999995</v>
      </c>
      <c r="Y23" s="13">
        <v>0</v>
      </c>
      <c r="Z23" s="1">
        <f t="shared" ca="1" si="26"/>
        <v>5.9</v>
      </c>
      <c r="AA23" s="1">
        <f t="shared" ca="1" si="27"/>
        <v>0</v>
      </c>
      <c r="AB23" s="1">
        <f t="shared" ca="1" si="28"/>
        <v>0</v>
      </c>
      <c r="AC23" s="1">
        <f t="shared" ca="1" si="29"/>
        <v>0</v>
      </c>
      <c r="AD23" s="249">
        <f t="shared" ca="1" si="30"/>
        <v>4</v>
      </c>
      <c r="AE23" s="30">
        <v>0</v>
      </c>
      <c r="AF23" s="1">
        <f t="shared" ca="1" si="31"/>
        <v>5</v>
      </c>
      <c r="AG23" s="1">
        <f t="shared" ca="1" si="32"/>
        <v>5</v>
      </c>
      <c r="AH23" s="252">
        <f t="shared" ca="1" si="33"/>
        <v>4.0505099999999992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4.0000000000000009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4.0508999999999995</v>
      </c>
      <c r="Y24" s="13">
        <v>0</v>
      </c>
      <c r="Z24" s="1">
        <f t="shared" ca="1" si="26"/>
        <v>5.9</v>
      </c>
      <c r="AA24" s="1">
        <f t="shared" ca="1" si="27"/>
        <v>0</v>
      </c>
      <c r="AB24" s="1">
        <f t="shared" ca="1" si="28"/>
        <v>0</v>
      </c>
      <c r="AC24" s="1">
        <f t="shared" ca="1" si="29"/>
        <v>0</v>
      </c>
      <c r="AD24" s="249">
        <f t="shared" ca="1" si="30"/>
        <v>4</v>
      </c>
      <c r="AE24" s="30">
        <v>0</v>
      </c>
      <c r="AF24" s="1">
        <f t="shared" ca="1" si="31"/>
        <v>5</v>
      </c>
      <c r="AG24" s="1">
        <f t="shared" ca="1" si="32"/>
        <v>5</v>
      </c>
      <c r="AH24" s="252">
        <f t="shared" ca="1" si="33"/>
        <v>4.0505099999999992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4.0000000000000009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4.0508999999999995</v>
      </c>
      <c r="Y25" s="13">
        <v>0</v>
      </c>
      <c r="Z25" s="1">
        <f t="shared" ca="1" si="26"/>
        <v>5.9</v>
      </c>
      <c r="AA25" s="1">
        <f t="shared" ca="1" si="27"/>
        <v>0</v>
      </c>
      <c r="AB25" s="1">
        <f t="shared" ca="1" si="28"/>
        <v>0</v>
      </c>
      <c r="AC25" s="1">
        <f t="shared" ca="1" si="29"/>
        <v>0</v>
      </c>
      <c r="AD25" s="249">
        <f t="shared" ca="1" si="30"/>
        <v>4</v>
      </c>
      <c r="AE25" s="30">
        <v>0</v>
      </c>
      <c r="AF25" s="1">
        <f t="shared" ca="1" si="31"/>
        <v>5</v>
      </c>
      <c r="AG25" s="1">
        <f t="shared" ca="1" si="32"/>
        <v>5</v>
      </c>
      <c r="AH25" s="253">
        <f t="shared" ca="1" si="33"/>
        <v>4.0505099999999992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7">
        <v>1</v>
      </c>
      <c r="F29" s="854"/>
      <c r="G29" s="854"/>
      <c r="H29" s="854"/>
      <c r="I29" s="854"/>
      <c r="J29" s="854"/>
      <c r="K29" s="854"/>
      <c r="L29" s="856"/>
      <c r="M29" s="853">
        <v>2</v>
      </c>
      <c r="N29" s="854"/>
      <c r="O29" s="854"/>
      <c r="P29" s="854"/>
      <c r="Q29" s="854"/>
      <c r="R29" s="854"/>
      <c r="S29" s="854"/>
      <c r="T29" s="856"/>
      <c r="U29" s="853">
        <v>3</v>
      </c>
      <c r="V29" s="854"/>
      <c r="W29" s="854"/>
      <c r="X29" s="854"/>
      <c r="Y29" s="854"/>
      <c r="Z29" s="854"/>
      <c r="AA29" s="854"/>
      <c r="AB29" s="856"/>
      <c r="AC29" s="853">
        <v>4</v>
      </c>
      <c r="AD29" s="854"/>
      <c r="AE29" s="854"/>
      <c r="AF29" s="854"/>
      <c r="AG29" s="854"/>
      <c r="AH29" s="854"/>
      <c r="AI29" s="854"/>
      <c r="AJ29" s="856"/>
      <c r="AK29" s="853">
        <v>5</v>
      </c>
      <c r="AL29" s="854"/>
      <c r="AM29" s="854"/>
      <c r="AN29" s="854"/>
      <c r="AO29" s="854"/>
      <c r="AP29" s="854"/>
      <c r="AQ29" s="854"/>
      <c r="AR29" s="856"/>
      <c r="AS29" s="853">
        <v>6</v>
      </c>
      <c r="AT29" s="854"/>
      <c r="AU29" s="854"/>
      <c r="AV29" s="854"/>
      <c r="AW29" s="854"/>
      <c r="AX29" s="854"/>
      <c r="AY29" s="854"/>
      <c r="AZ29" s="856"/>
      <c r="BA29" s="853">
        <v>7</v>
      </c>
      <c r="BB29" s="854"/>
      <c r="BC29" s="854"/>
      <c r="BD29" s="854"/>
      <c r="BE29" s="854"/>
      <c r="BF29" s="854"/>
      <c r="BG29" s="854"/>
      <c r="BH29" s="856"/>
      <c r="BI29" s="853">
        <v>8</v>
      </c>
      <c r="BJ29" s="854"/>
      <c r="BK29" s="854"/>
      <c r="BL29" s="854"/>
      <c r="BM29" s="854"/>
      <c r="BN29" s="854"/>
      <c r="BO29" s="854"/>
      <c r="BP29" s="855"/>
      <c r="BQ29" s="13"/>
      <c r="BR29" s="5" t="s">
        <v>96</v>
      </c>
      <c r="BS29" s="2" t="str">
        <f ca="1">$F$4</f>
        <v>1. FC Riedwald</v>
      </c>
      <c r="BT29" s="2" t="str">
        <f ca="1">$F$5</f>
        <v>Mainz 05</v>
      </c>
      <c r="BU29" s="2" t="str">
        <f ca="1">$F$6</f>
        <v>VFB Essenheim</v>
      </c>
      <c r="BV29" s="2" t="str">
        <f ca="1">$F$7</f>
        <v>FC Grönlingen</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1. FC Riedwald</v>
      </c>
      <c r="BS30" s="7"/>
      <c r="BT30" s="8">
        <f t="shared" ref="BT30:CA32" ca="1" si="35">SUMIFS($X$64:$X$135,$V$64:$V$135,$BR30,$W$64:$W$135,BT$29)+SUMIFS($Y$64:$Y$135,$W$64:$W$135,$BR30,$V$64:$V$135,BT$29)</f>
        <v>2</v>
      </c>
      <c r="BU30" s="8">
        <f t="shared" ca="1" si="35"/>
        <v>5</v>
      </c>
      <c r="BV30" s="8">
        <f t="shared" ca="1" si="35"/>
        <v>2</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Mainz 05</v>
      </c>
      <c r="BS31" s="9">
        <f t="shared" ref="BS31:BU38" ca="1" si="37">SUMIFS($X$64:$X$135,$V$64:$V$135,$BR31,$W$64:$W$135,BS$29)+SUMIFS($Y$64:$Y$135,$W$64:$W$135,$BR31,$V$64:$V$135,BS$29)</f>
        <v>8</v>
      </c>
      <c r="BT31" s="7"/>
      <c r="BU31" s="8">
        <f t="shared" ca="1" si="35"/>
        <v>5</v>
      </c>
      <c r="BV31" s="8">
        <f t="shared" ca="1" si="35"/>
        <v>4</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VFB Essenheim</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VFB Essenheim</v>
      </c>
      <c r="BS32" s="9">
        <f t="shared" ca="1" si="37"/>
        <v>3</v>
      </c>
      <c r="BT32" s="9">
        <f t="shared" ca="1" si="37"/>
        <v>1</v>
      </c>
      <c r="BU32" s="7"/>
      <c r="BV32" s="8">
        <f t="shared" ca="1" si="35"/>
        <v>1</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FC Grönlingen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FC Grönlingen</v>
      </c>
      <c r="BS33" s="9">
        <f t="shared" ca="1" si="37"/>
        <v>4</v>
      </c>
      <c r="BT33" s="9">
        <f t="shared" ca="1" si="37"/>
        <v>2</v>
      </c>
      <c r="BU33" s="9">
        <f t="shared" ca="1" si="37"/>
        <v>5</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VFB Essenheim</v>
      </c>
      <c r="BV40" s="2" t="str">
        <f ca="1">$F$7</f>
        <v>FC Grönlingen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1. FC Riedwald</v>
      </c>
      <c r="BS41" s="7"/>
      <c r="BT41" s="8">
        <f ca="1">BT30-BS31</f>
        <v>-6</v>
      </c>
      <c r="BU41" s="8">
        <f ca="1">BU30-BS32</f>
        <v>2</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Mainz 05</v>
      </c>
      <c r="BS42" s="9">
        <f ca="1">IF(BT41="","",-1*BT41)</f>
        <v>6</v>
      </c>
      <c r="BT42" s="7"/>
      <c r="BU42" s="8">
        <f ca="1">BU31-BT32</f>
        <v>4</v>
      </c>
      <c r="BV42" s="8">
        <f ca="1">BV31-BT33</f>
        <v>2</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VFB Essenheim</v>
      </c>
      <c r="BS43" s="9">
        <f ca="1">IF(BU41="","",-1*BU41)</f>
        <v>-2</v>
      </c>
      <c r="BT43" s="9">
        <f ca="1">IF(BU42="","",-1*BU42)</f>
        <v>-4</v>
      </c>
      <c r="BU43" s="7"/>
      <c r="BV43" s="8">
        <f ca="1">BV32-BU33</f>
        <v>-4</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FC Grönlingen</v>
      </c>
      <c r="BS44" s="9">
        <f ca="1">IF(BV41="","",-1*BV41)</f>
        <v>2</v>
      </c>
      <c r="BT44" s="9">
        <f ca="1">IF(BV42="","",-1*BV42)</f>
        <v>-2</v>
      </c>
      <c r="BU44" s="9">
        <f ca="1">IF(BV43="","",-1*BV43)</f>
        <v>4</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VFB Essenheim</v>
      </c>
      <c r="BV51" s="2" t="str">
        <f ca="1">$F$7</f>
        <v>FC Grönlingen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1. FC Riedwald</v>
      </c>
      <c r="BS52" s="7"/>
      <c r="BT52" s="8">
        <f t="shared" ref="BT52:CA58" ca="1" si="41">SUMIFS($AE$64:$AE$135,$V$64:$V$135,$BR52,$W$64:$W$135,BT$51)+SUMIFS($AF$64:$AF$135,$W$64:$W$135,$BR52,$V$64:$V$135,BT$51)</f>
        <v>0</v>
      </c>
      <c r="BU52" s="8">
        <f t="shared" ca="1" si="41"/>
        <v>3</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Mainz 05</v>
      </c>
      <c r="BS53" s="9">
        <f t="shared" ref="BS53:BU60" ca="1" si="42">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VFB Essenheim</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FC Grönlingen</v>
      </c>
      <c r="BS55" s="9">
        <f t="shared" ca="1" si="42"/>
        <v>3</v>
      </c>
      <c r="BT55" s="9">
        <f t="shared" ca="1" si="42"/>
        <v>0</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551" t="s">
        <v>163</v>
      </c>
      <c r="AD63" s="164" t="s">
        <v>161</v>
      </c>
      <c r="AE63" s="847" t="s">
        <v>112</v>
      </c>
      <c r="AF63" s="847"/>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 ca="1">IF('Endrunde 4'!$AE19="","",'Endrunde 4'!$AE19)</f>
        <v>1. FC Riedwald</v>
      </c>
      <c r="U64" s="66" t="s">
        <v>7</v>
      </c>
      <c r="V64" s="40" t="str">
        <f ca="1">'Endrunde 4'!$I12</f>
        <v>Maibach 1822 eV</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Maibach 1822 eV</v>
      </c>
      <c r="AA64" s="33">
        <f ca="1">IF(AND(V64&lt;&gt;"",W64&lt;&gt;"",V64&lt;&gt;W64,X64&lt;&gt;"",Y64&lt;&gt;""),1,0)</f>
        <v>0</v>
      </c>
      <c r="AB64" s="142" t="str">
        <f ca="1">IF(AA64&gt;0,X64&amp;Sprache!$E$71&amp;Y64,"")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 ca="1">IF('Endrunde 4'!$AE20="","",'Endrunde 4'!$AE20)</f>
        <v>Mainz 05</v>
      </c>
      <c r="U65" s="67" t="s">
        <v>8</v>
      </c>
      <c r="V65" s="41" t="str">
        <f ca="1">'Endrunde 4'!$I13</f>
        <v>1. FC Riedwald</v>
      </c>
      <c r="W65" s="13" t="str">
        <f ca="1">'Endrunde 4'!$K13</f>
        <v>FC Grönlingen</v>
      </c>
      <c r="X65" s="13">
        <f ca="1">IF(AND('Endrunde 4'!$L13&lt;&gt;"",'Endrunde 4'!$N13&lt;&gt;"",$V65&lt;&gt;$W65,$V65&lt;&gt;"",$W65&lt;&gt;""),'Endrunde 4'!$L13,"")</f>
        <v>2</v>
      </c>
      <c r="Y65" s="36">
        <f ca="1">IF(AND('Endrunde 4'!$L13&lt;&gt;"",'Endrunde 4'!$N13&lt;&gt;"",$V65&lt;&gt;$W65,$V65&lt;&gt;"",$W65&lt;&gt;""),'Endrunde 4'!$N13,"")</f>
        <v>4</v>
      </c>
      <c r="Z65" s="35" t="str">
        <f t="shared" ref="Z65:Z73" ca="1" si="43">V65&amp;W65</f>
        <v>1. FC RiedwaldFC Grönlingen</v>
      </c>
      <c r="AA65" s="13">
        <f t="shared" ref="AA65:AA128" ca="1" si="44">IF(AND(V65&lt;&gt;"",W65&lt;&gt;"",V65&lt;&gt;W65,X65&lt;&gt;"",Y65&lt;&gt;""),1,0)</f>
        <v>1</v>
      </c>
      <c r="AB65" s="13" t="str">
        <f ca="1">IF(AA65&gt;0,X65&amp;Sprache!$E$71&amp;Y65,"")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 ca="1">IF('Endrunde 4'!$AE21="","",'Endrunde 4'!$AE21)</f>
        <v>VFB Essenheim</v>
      </c>
      <c r="U66" s="67" t="s">
        <v>9</v>
      </c>
      <c r="V66" s="41" t="str">
        <f ca="1">'Endrunde 4'!$I14</f>
        <v>FC Barcelona</v>
      </c>
      <c r="W66" s="13" t="str">
        <f ca="1">'Endrunde 4'!$K14</f>
        <v>Inter Mailand</v>
      </c>
      <c r="X66" s="13">
        <f ca="1">IF(AND('Endrunde 4'!$L14&lt;&gt;"",'Endrunde 4'!$N14&lt;&gt;"",$V66&lt;&gt;$W66,$V66&lt;&gt;"",$W66&lt;&gt;""),'Endrunde 4'!$L14,"")</f>
        <v>2</v>
      </c>
      <c r="Y66" s="36">
        <f ca="1">IF(AND('Endrunde 4'!$L14&lt;&gt;"",'Endrunde 4'!$N14&lt;&gt;"",$V66&lt;&gt;$W66,$V66&lt;&gt;"",$W66&lt;&gt;""),'Endrunde 4'!$N14,"")</f>
        <v>1</v>
      </c>
      <c r="Z66" s="35" t="str">
        <f t="shared" ca="1" si="43"/>
        <v>FC BarcelonaInter Mailand</v>
      </c>
      <c r="AA66" s="13">
        <f t="shared" ca="1" si="44"/>
        <v>1</v>
      </c>
      <c r="AB66" s="13" t="str">
        <f ca="1">IF(AA66&gt;0,X66&amp;Sprache!$E$71&amp;Y66,"")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4'!$AE22="","",'Endrunde 4'!$AE22)</f>
        <v>FC Grönlingen</v>
      </c>
      <c r="U67" s="67" t="s">
        <v>10</v>
      </c>
      <c r="V67" s="41" t="str">
        <f ca="1">'Endrunde 4'!$I15</f>
        <v>SSV Wildbach</v>
      </c>
      <c r="W67" s="13" t="str">
        <f ca="1">'Endrunde 4'!$K15</f>
        <v/>
      </c>
      <c r="X67" s="13" t="str">
        <f ca="1">IF(AND('Endrunde 4'!$L15&lt;&gt;"",'Endrunde 4'!$N15&lt;&gt;"",$V67&lt;&gt;$W67,$V67&lt;&gt;"",$W67&lt;&gt;""),'Endrunde 4'!$L15,"")</f>
        <v/>
      </c>
      <c r="Y67" s="36" t="str">
        <f ca="1">IF(AND('Endrunde 4'!$L15&lt;&gt;"",'Endrunde 4'!$N15&lt;&gt;"",$V67&lt;&gt;$W67,$V67&lt;&gt;"",$W67&lt;&gt;""),'Endrunde 4'!$N15,"")</f>
        <v/>
      </c>
      <c r="Z67" s="35" t="str">
        <f t="shared" ca="1" si="43"/>
        <v>SSV Wildbach</v>
      </c>
      <c r="AA67" s="13">
        <f t="shared" ca="1" si="44"/>
        <v>0</v>
      </c>
      <c r="AB67" s="13" t="str">
        <f ca="1">IF(AA67&gt;0,X67&amp;Sprache!$E$71&amp;Y67,"")</f>
        <v/>
      </c>
      <c r="AD67" s="144"/>
      <c r="AE67" s="149" t="str">
        <f ca="1">IF($AA67=0,"",IF($X67&gt;$Y67,Einstellungen!$C$4,IF($X67=$Y67,1,0)))</f>
        <v/>
      </c>
      <c r="AF67" s="144" t="str">
        <f ca="1">IF($AA67=0,"",IF($X67&lt;$Y67,Einstellungen!$C$4,IF($X67=$Y67,1,0)))</f>
        <v/>
      </c>
      <c r="AH67" s="4"/>
      <c r="AI67" s="13"/>
      <c r="AJ67" s="13"/>
      <c r="AK67" s="4"/>
      <c r="AL67" s="13"/>
      <c r="AM67" s="13"/>
      <c r="AN67" s="13"/>
      <c r="AO67" s="13"/>
      <c r="AP67" s="13"/>
      <c r="AQ67" s="13"/>
    </row>
    <row r="68" spans="2:43" s="2" customFormat="1" x14ac:dyDescent="0.2">
      <c r="P68" s="47"/>
      <c r="Q68" s="62" t="str">
        <f>""</f>
        <v/>
      </c>
      <c r="U68" s="67" t="s">
        <v>11</v>
      </c>
      <c r="V68" s="41" t="str">
        <f ca="1">'Endrunde 4'!$I16</f>
        <v>Mainz 05</v>
      </c>
      <c r="W68" s="13" t="str">
        <f ca="1">'Endrunde 4'!$K16</f>
        <v>VFB Essenheim</v>
      </c>
      <c r="X68" s="13">
        <f ca="1">IF(AND('Endrunde 4'!$L16&lt;&gt;"",'Endrunde 4'!$N16&lt;&gt;"",$V68&lt;&gt;$W68,$V68&lt;&gt;"",$W68&lt;&gt;""),'Endrunde 4'!$L16,"")</f>
        <v>5</v>
      </c>
      <c r="Y68" s="36">
        <f ca="1">IF(AND('Endrunde 4'!$L16&lt;&gt;"",'Endrunde 4'!$N16&lt;&gt;"",$V68&lt;&gt;$W68,$V68&lt;&gt;"",$W68&lt;&gt;""),'Endrunde 4'!$N16,"")</f>
        <v>1</v>
      </c>
      <c r="Z68" s="35" t="str">
        <f t="shared" ca="1" si="43"/>
        <v>Mainz 05VFB Essenheim</v>
      </c>
      <c r="AA68" s="13">
        <f t="shared" ca="1" si="44"/>
        <v>1</v>
      </c>
      <c r="AB68" s="13" t="str">
        <f ca="1">IF(AA68&gt;0,X68&amp;Sprache!$E$71&amp;Y68,"")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Manchester City</v>
      </c>
      <c r="W69" s="13" t="str">
        <f ca="1">'Endrunde 4'!$K17</f>
        <v>Eintracht Frankfurt</v>
      </c>
      <c r="X69" s="13">
        <f ca="1">IF(AND('Endrunde 4'!$L17&lt;&gt;"",'Endrunde 4'!$N17&lt;&gt;"",$V69&lt;&gt;$W69,$V69&lt;&gt;"",$W69&lt;&gt;""),'Endrunde 4'!$L17,"")</f>
        <v>2</v>
      </c>
      <c r="Y69" s="36">
        <f ca="1">IF(AND('Endrunde 4'!$L17&lt;&gt;"",'Endrunde 4'!$N17&lt;&gt;"",$V69&lt;&gt;$W69,$V69&lt;&gt;"",$W69&lt;&gt;""),'Endrunde 4'!$N17,"")</f>
        <v>0</v>
      </c>
      <c r="Z69" s="35" t="str">
        <f t="shared" ca="1" si="43"/>
        <v>Manchester CityEintracht Frankfurt</v>
      </c>
      <c r="AA69" s="13">
        <f t="shared" ca="1" si="44"/>
        <v>1</v>
      </c>
      <c r="AB69" s="13" t="str">
        <f ca="1">IF(AA69&gt;0,X69&amp;Sprache!$E$71&amp;Y69,"")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3"/>
        <v>Maibach 1822 eV</v>
      </c>
      <c r="AA70" s="13">
        <f t="shared" ca="1" si="44"/>
        <v>0</v>
      </c>
      <c r="AB70" s="13" t="str">
        <f ca="1">IF(AA70&gt;0,X70&amp;Sprache!$E$71&amp;Y70,"")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1. FC Riedwald</v>
      </c>
      <c r="W71" s="13" t="str">
        <f ca="1">'Endrunde 4'!$K19</f>
        <v>VFB Essenheim</v>
      </c>
      <c r="X71" s="13">
        <f ca="1">IF(AND('Endrunde 4'!$L19&lt;&gt;"",'Endrunde 4'!$N19&lt;&gt;"",$V71&lt;&gt;$W71,$V71&lt;&gt;"",$W71&lt;&gt;""),'Endrunde 4'!$L19,"")</f>
        <v>5</v>
      </c>
      <c r="Y71" s="36">
        <f ca="1">IF(AND('Endrunde 4'!$L19&lt;&gt;"",'Endrunde 4'!$N19&lt;&gt;"",$V71&lt;&gt;$W71,$V71&lt;&gt;"",$W71&lt;&gt;""),'Endrunde 4'!$N19,"")</f>
        <v>3</v>
      </c>
      <c r="Z71" s="35" t="str">
        <f t="shared" ca="1" si="43"/>
        <v>1. FC RiedwaldVFB Essenheim</v>
      </c>
      <c r="AA71" s="13">
        <f t="shared" ca="1" si="44"/>
        <v>1</v>
      </c>
      <c r="AB71" s="13" t="str">
        <f ca="1">IF(AA71&gt;0,X71&amp;Sprache!$E$71&amp;Y71,"")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FC Barcelona</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FC BarcelonaEintracht Frankfurt</v>
      </c>
      <c r="AA72" s="13">
        <f t="shared" ca="1" si="44"/>
        <v>1</v>
      </c>
      <c r="AB72" s="13" t="str">
        <f ca="1">IF(AA72&gt;0,X72&amp;Sprache!$E$71&amp;Y72,"")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SSV Wildbach</v>
      </c>
      <c r="W73" s="13" t="str">
        <f ca="1">'Endrunde 4'!$K21</f>
        <v/>
      </c>
      <c r="X73" s="13" t="str">
        <f ca="1">IF(AND('Endrunde 4'!$L21&lt;&gt;"",'Endrunde 4'!$N21&lt;&gt;"",$V73&lt;&gt;$W73,$V73&lt;&gt;"",$W73&lt;&gt;""),'Endrunde 4'!$L21,"")</f>
        <v/>
      </c>
      <c r="Y73" s="36" t="str">
        <f ca="1">IF(AND('Endrunde 4'!$L21&lt;&gt;"",'Endrunde 4'!$N21&lt;&gt;"",$V73&lt;&gt;$W73,$V73&lt;&gt;"",$W73&lt;&gt;""),'Endrunde 4'!$N21,"")</f>
        <v/>
      </c>
      <c r="Z73" s="35" t="str">
        <f t="shared" ca="1" si="43"/>
        <v>SSV Wildbach</v>
      </c>
      <c r="AA73" s="13">
        <f t="shared" ca="1" si="44"/>
        <v>0</v>
      </c>
      <c r="AB73" s="13" t="str">
        <f ca="1">IF(AA73&gt;0,X73&amp;Sprache!$E$71&amp;Y73,"")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Mainz 05</v>
      </c>
      <c r="W74" s="13" t="str">
        <f ca="1">'Endrunde 4'!$K22</f>
        <v>FC Grönlingen</v>
      </c>
      <c r="X74" s="13">
        <f ca="1">IF(AND('Endrunde 4'!$L22&lt;&gt;"",'Endrunde 4'!$N22&lt;&gt;"",$V74&lt;&gt;$W74,$V74&lt;&gt;"",$W74&lt;&gt;""),'Endrunde 4'!$L22,"")</f>
        <v>4</v>
      </c>
      <c r="Y74" s="36">
        <f ca="1">IF(AND('Endrunde 4'!$L22&lt;&gt;"",'Endrunde 4'!$N22&lt;&gt;"",$V74&lt;&gt;$W74,$V74&lt;&gt;"",$W74&lt;&gt;""),'Endrunde 4'!$N22,"")</f>
        <v>2</v>
      </c>
      <c r="Z74" s="35" t="str">
        <f ca="1">V74&amp;W74</f>
        <v>Mainz 05FC Grönlingen</v>
      </c>
      <c r="AA74" s="13">
        <f t="shared" ca="1" si="44"/>
        <v>1</v>
      </c>
      <c r="AB74" s="13" t="str">
        <f ca="1">IF(AA74&gt;0,X74&amp;Sprache!$E$71&amp;Y74,"")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Manchester City</v>
      </c>
      <c r="W75" s="13" t="str">
        <f ca="1">'Endrunde 4'!$K23</f>
        <v>Inter Mailand</v>
      </c>
      <c r="X75" s="13">
        <f ca="1">IF(AND('Endrunde 4'!$L23&lt;&gt;"",'Endrunde 4'!$N23&lt;&gt;"",$V75&lt;&gt;$W75,$V75&lt;&gt;"",$W75&lt;&gt;""),'Endrunde 4'!$L23,"")</f>
        <v>4</v>
      </c>
      <c r="Y75" s="36">
        <f ca="1">IF(AND('Endrunde 4'!$L23&lt;&gt;"",'Endrunde 4'!$N23&lt;&gt;"",$V75&lt;&gt;$W75,$V75&lt;&gt;"",$W75&lt;&gt;""),'Endrunde 4'!$N23,"")</f>
        <v>3</v>
      </c>
      <c r="Z75" s="35" t="str">
        <f t="shared" ref="Z75:Z93" ca="1" si="45">V75&amp;W75</f>
        <v>Manchester CityInter Mailand</v>
      </c>
      <c r="AA75" s="13">
        <f t="shared" ca="1" si="44"/>
        <v>1</v>
      </c>
      <c r="AB75" s="13" t="str">
        <f ca="1">IF(AA75&gt;0,X75&amp;Sprache!$E$71&amp;Y75,"")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5"/>
        <v/>
      </c>
      <c r="AA76" s="13">
        <f t="shared" ca="1" si="44"/>
        <v>0</v>
      </c>
      <c r="AB76" s="13" t="str">
        <f ca="1">IF(AA76&gt;0,X76&amp;Sprache!$E$71&amp;Y76,"")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VFB Essenheim</v>
      </c>
      <c r="W77" s="13" t="str">
        <f ca="1">'Endrunde 4'!$K25</f>
        <v>FC Grönlingen</v>
      </c>
      <c r="X77" s="13">
        <f ca="1">IF(AND('Endrunde 4'!$L25&lt;&gt;"",'Endrunde 4'!$N25&lt;&gt;"",$V77&lt;&gt;$W77,$V77&lt;&gt;"",$W77&lt;&gt;""),'Endrunde 4'!$L25,"")</f>
        <v>1</v>
      </c>
      <c r="Y77" s="36">
        <f ca="1">IF(AND('Endrunde 4'!$L25&lt;&gt;"",'Endrunde 4'!$N25&lt;&gt;"",$V77&lt;&gt;$W77,$V77&lt;&gt;"",$W77&lt;&gt;""),'Endrunde 4'!$N25,"")</f>
        <v>5</v>
      </c>
      <c r="Z77" s="35" t="str">
        <f t="shared" ca="1" si="45"/>
        <v>VFB EssenheimFC Grönlingen</v>
      </c>
      <c r="AA77" s="13">
        <f t="shared" ca="1" si="44"/>
        <v>1</v>
      </c>
      <c r="AB77" s="13" t="str">
        <f ca="1">IF(AA77&gt;0,X77&amp;Sprache!$E$71&amp;Y77,"")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Eintracht Frankfurt</v>
      </c>
      <c r="W78" s="13" t="str">
        <f ca="1">'Endrunde 4'!$K26</f>
        <v>Inter Mailand</v>
      </c>
      <c r="X78" s="13">
        <f ca="1">IF(AND('Endrunde 4'!$L26&lt;&gt;"",'Endrunde 4'!$N26&lt;&gt;"",$V78&lt;&gt;$W78,$V78&lt;&gt;"",$W78&lt;&gt;""),'Endrunde 4'!$L26,"")</f>
        <v>4</v>
      </c>
      <c r="Y78" s="36">
        <f ca="1">IF(AND('Endrunde 4'!$L26&lt;&gt;"",'Endrunde 4'!$N26&lt;&gt;"",$V78&lt;&gt;$W78,$V78&lt;&gt;"",$W78&lt;&gt;""),'Endrunde 4'!$N26,"")</f>
        <v>4</v>
      </c>
      <c r="Z78" s="35" t="str">
        <f t="shared" ca="1" si="45"/>
        <v>Eintracht FrankfurtInter Mailand</v>
      </c>
      <c r="AA78" s="13">
        <f t="shared" ca="1" si="44"/>
        <v>1</v>
      </c>
      <c r="AB78" s="13" t="str">
        <f ca="1">IF(AA78&gt;0,X78&amp;Sprache!$E$71&amp;Y78,"")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Maibach 1822 eV</v>
      </c>
      <c r="W79" s="13" t="str">
        <f ca="1">'Endrunde 4'!$K27</f>
        <v>SSV Wildbach</v>
      </c>
      <c r="X79" s="13">
        <f ca="1">IF(AND('Endrunde 4'!$L27&lt;&gt;"",'Endrunde 4'!$N27&lt;&gt;"",$V79&lt;&gt;$W79,$V79&lt;&gt;"",$W79&lt;&gt;""),'Endrunde 4'!$L27,"")</f>
        <v>0</v>
      </c>
      <c r="Y79" s="36">
        <f ca="1">IF(AND('Endrunde 4'!$L27&lt;&gt;"",'Endrunde 4'!$N27&lt;&gt;"",$V79&lt;&gt;$W79,$V79&lt;&gt;"",$W79&lt;&gt;""),'Endrunde 4'!$N27,"")</f>
        <v>7</v>
      </c>
      <c r="Z79" s="35" t="str">
        <f t="shared" ca="1" si="45"/>
        <v>Maibach 1822 eVSSV Wildbach</v>
      </c>
      <c r="AA79" s="13">
        <f t="shared" ca="1" si="44"/>
        <v>1</v>
      </c>
      <c r="AB79" s="13" t="str">
        <f ca="1">IF(AA79&gt;0,X79&amp;Sprache!$E$71&amp;Y79,"")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1. FC Riedwald</v>
      </c>
      <c r="W80" s="13" t="str">
        <f ca="1">'Endrunde 4'!$K28</f>
        <v>Mainz 05</v>
      </c>
      <c r="X80" s="13">
        <f ca="1">IF(AND('Endrunde 4'!$L28&lt;&gt;"",'Endrunde 4'!$N28&lt;&gt;"",$V80&lt;&gt;$W80,$V80&lt;&gt;"",$W80&lt;&gt;""),'Endrunde 4'!$L28,"")</f>
        <v>2</v>
      </c>
      <c r="Y80" s="36">
        <f ca="1">IF(AND('Endrunde 4'!$L28&lt;&gt;"",'Endrunde 4'!$N28&lt;&gt;"",$V80&lt;&gt;$W80,$V80&lt;&gt;"",$W80&lt;&gt;""),'Endrunde 4'!$N28,"")</f>
        <v>8</v>
      </c>
      <c r="Z80" s="35" t="str">
        <f t="shared" ca="1" si="45"/>
        <v>1. FC RiedwaldMainz 05</v>
      </c>
      <c r="AA80" s="13">
        <f t="shared" ca="1" si="44"/>
        <v>1</v>
      </c>
      <c r="AB80" s="13" t="str">
        <f ca="1">IF(AA80&gt;0,X80&amp;Sprache!$E$71&amp;Y80,"")</f>
        <v>2:8</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577" t="s">
        <v>33</v>
      </c>
      <c r="V81" s="578" t="str">
        <f ca="1">'Endrunde 4'!$I29</f>
        <v>FC Barcelona</v>
      </c>
      <c r="W81" s="579" t="str">
        <f ca="1">'Endrunde 4'!$K29</f>
        <v>Manchester City</v>
      </c>
      <c r="X81" s="579">
        <f ca="1">IF(AND('Endrunde 4'!$L29&lt;&gt;"",'Endrunde 4'!$N29&lt;&gt;"",$V81&lt;&gt;$W81,$V81&lt;&gt;"",$W81&lt;&gt;""),'Endrunde 4'!$L29,"")</f>
        <v>4</v>
      </c>
      <c r="Y81" s="580">
        <f ca="1">IF(AND('Endrunde 4'!$L29&lt;&gt;"",'Endrunde 4'!$N29&lt;&gt;"",$V81&lt;&gt;$W81,$V81&lt;&gt;"",$W81&lt;&gt;""),'Endrunde 4'!$N29,"")</f>
        <v>0</v>
      </c>
      <c r="Z81" s="581" t="str">
        <f t="shared" ca="1" si="45"/>
        <v>FC BarcelonaManchester City</v>
      </c>
      <c r="AA81" s="579">
        <f t="shared" ca="1" si="44"/>
        <v>1</v>
      </c>
      <c r="AB81" s="579" t="str">
        <f ca="1">IF(AA81&gt;0,X81&amp;Sprache!$E$71&amp;Y81,"")</f>
        <v>4:0</v>
      </c>
      <c r="AC81" s="582"/>
      <c r="AD81" s="583"/>
      <c r="AE81" s="584">
        <f ca="1">IF($AA81=0,"",IF($X81&gt;$Y81,Einstellungen!$C$4,IF($X81=$Y81,1,0)))</f>
        <v>3</v>
      </c>
      <c r="AF81" s="583">
        <f ca="1">IF($AA81=0,"",IF($X81&lt;$Y81,Einstellungen!$C$4,IF($X81=$Y81,1,0)))</f>
        <v>0</v>
      </c>
    </row>
    <row r="82" spans="2:32" s="2" customFormat="1" ht="12.75" thickTop="1" x14ac:dyDescent="0.2">
      <c r="B82" s="4"/>
      <c r="C82" s="4"/>
      <c r="D82" s="4"/>
      <c r="E82" s="4"/>
      <c r="F82" s="13"/>
      <c r="G82" s="13"/>
      <c r="H82" s="13"/>
      <c r="I82" s="13"/>
      <c r="J82" s="13"/>
      <c r="K82" s="13"/>
      <c r="L82" s="13"/>
      <c r="M82" s="13"/>
      <c r="U82" s="585" t="s">
        <v>34</v>
      </c>
      <c r="V82" s="586" t="str">
        <f>""</f>
        <v/>
      </c>
      <c r="W82" s="587" t="str">
        <f>""</f>
        <v/>
      </c>
      <c r="X82" s="587" t="str">
        <f>""</f>
        <v/>
      </c>
      <c r="Y82" s="588" t="str">
        <f>""</f>
        <v/>
      </c>
      <c r="Z82" s="589" t="str">
        <f t="shared" si="45"/>
        <v/>
      </c>
      <c r="AA82" s="587">
        <f t="shared" si="44"/>
        <v>0</v>
      </c>
      <c r="AB82" s="587" t="str">
        <f>IF(AA82&gt;0,X82&amp;Sprache!$E$71&amp;Y82,"")</f>
        <v/>
      </c>
      <c r="AC82" s="590"/>
      <c r="AD82" s="591"/>
      <c r="AE82" s="592" t="str">
        <f>IF($AA82=0,"",IF($X82&gt;$Y82,Einstellungen!$C$4,IF($X82=$Y82,1,0)))</f>
        <v/>
      </c>
      <c r="AF82" s="591"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5"/>
        <v/>
      </c>
      <c r="AA83" s="13">
        <f t="shared" si="44"/>
        <v>0</v>
      </c>
      <c r="AB83" s="13" t="str">
        <f>IF(AA83&gt;0,X83&amp;Sprache!$E$71&amp;Y83,"")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5"/>
        <v/>
      </c>
      <c r="AA84" s="13">
        <f t="shared" si="44"/>
        <v>0</v>
      </c>
      <c r="AB84" s="13" t="str">
        <f>IF(AA84&gt;0,X84&amp;Sprache!$E$71&amp;Y84,"")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5"/>
        <v/>
      </c>
      <c r="AA85" s="13">
        <f t="shared" si="44"/>
        <v>0</v>
      </c>
      <c r="AB85" s="13" t="str">
        <f>IF(AA85&gt;0,X85&amp;Sprache!$E$71&amp;Y85,"")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5"/>
        <v/>
      </c>
      <c r="AA86" s="13">
        <f t="shared" si="44"/>
        <v>0</v>
      </c>
      <c r="AB86" s="13" t="str">
        <f>IF(AA86&gt;0,X86&amp;Sprache!$E$71&amp;Y86,"")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5"/>
        <v/>
      </c>
      <c r="AA87" s="13">
        <f t="shared" si="44"/>
        <v>0</v>
      </c>
      <c r="AB87" s="13" t="str">
        <f>IF(AA87&gt;0,X87&amp;Sprache!$E$71&amp;Y87,"")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5"/>
        <v/>
      </c>
      <c r="AA88" s="13">
        <f t="shared" si="44"/>
        <v>0</v>
      </c>
      <c r="AB88" s="13" t="str">
        <f>IF(AA88&gt;0,X88&amp;Sprache!$E$71&amp;Y88,"")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IF(AA89&gt;0,X89&amp;Sprache!$E$71&amp;Y89,"")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IF(AA90&gt;0,X90&amp;Sprache!$E$71&amp;Y90,"")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IF(AA91&gt;0,X91&amp;Sprache!$E$71&amp;Y91,"")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IF(AA92&gt;0,X92&amp;Sprache!$E$71&amp;Y92,"")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IF(AA93&gt;0,X93&amp;Sprache!$E$71&amp;Y93,"")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Maibach 1822 eV</v>
      </c>
      <c r="AA136" s="33">
        <f ca="1">AA64</f>
        <v>0</v>
      </c>
      <c r="AB136" s="13" t="str">
        <f ca="1">IF(AA136&gt;0,Y64&amp;Sprache!$E$71&amp;X64,"")</f>
        <v/>
      </c>
      <c r="AD136" s="144"/>
    </row>
    <row r="137" spans="2:32" x14ac:dyDescent="0.2">
      <c r="Y137" s="67" t="s">
        <v>8</v>
      </c>
      <c r="Z137" s="35" t="str">
        <f ca="1">W65&amp;V65</f>
        <v>FC Grönlingen1. FC Riedwald</v>
      </c>
      <c r="AA137" s="13">
        <f t="shared" ref="AA137:AA200" ca="1" si="47">AA65</f>
        <v>1</v>
      </c>
      <c r="AB137" s="13" t="str">
        <f ca="1">IF(AA137&gt;0,Y65&amp;Sprache!$E$71&amp;X65,"")</f>
        <v>4:2</v>
      </c>
      <c r="AC137" s="2"/>
      <c r="AD137" s="144"/>
    </row>
    <row r="138" spans="2:32" x14ac:dyDescent="0.2">
      <c r="Y138" s="67" t="s">
        <v>9</v>
      </c>
      <c r="Z138" s="35" t="str">
        <f t="shared" ref="Z138:Z201" ca="1" si="48">W66&amp;V66</f>
        <v>Inter MailandFC Barcelona</v>
      </c>
      <c r="AA138" s="13">
        <f t="shared" ca="1" si="47"/>
        <v>1</v>
      </c>
      <c r="AB138" s="13" t="str">
        <f ca="1">IF(AA138&gt;0,Y66&amp;Sprache!$E$71&amp;X66,"")</f>
        <v>1:2</v>
      </c>
      <c r="AC138" s="2"/>
      <c r="AD138" s="144"/>
    </row>
    <row r="139" spans="2:32" x14ac:dyDescent="0.2">
      <c r="Y139" s="67" t="s">
        <v>10</v>
      </c>
      <c r="Z139" s="35" t="str">
        <f t="shared" ca="1" si="48"/>
        <v>SSV Wildbach</v>
      </c>
      <c r="AA139" s="13">
        <f t="shared" ca="1" si="47"/>
        <v>0</v>
      </c>
      <c r="AB139" s="13" t="str">
        <f ca="1">IF(AA139&gt;0,Y67&amp;Sprache!$E$71&amp;X67,"")</f>
        <v/>
      </c>
      <c r="AC139" s="2"/>
      <c r="AD139" s="144"/>
    </row>
    <row r="140" spans="2:32" x14ac:dyDescent="0.2">
      <c r="Y140" s="67" t="s">
        <v>11</v>
      </c>
      <c r="Z140" s="35" t="str">
        <f t="shared" ca="1" si="48"/>
        <v>VFB EssenheimMainz 05</v>
      </c>
      <c r="AA140" s="13">
        <f t="shared" ca="1" si="47"/>
        <v>1</v>
      </c>
      <c r="AB140" s="13" t="str">
        <f ca="1">IF(AA140&gt;0,Y68&amp;Sprache!$E$71&amp;X68,"")</f>
        <v>1:5</v>
      </c>
      <c r="AC140" s="2"/>
      <c r="AD140" s="144"/>
    </row>
    <row r="141" spans="2:32" x14ac:dyDescent="0.2">
      <c r="Y141" s="67" t="s">
        <v>12</v>
      </c>
      <c r="Z141" s="35" t="str">
        <f t="shared" ca="1" si="48"/>
        <v>Eintracht FrankfurtManchester City</v>
      </c>
      <c r="AA141" s="13">
        <f t="shared" ca="1" si="47"/>
        <v>1</v>
      </c>
      <c r="AB141" s="13" t="str">
        <f ca="1">IF(AA141&gt;0,Y69&amp;Sprache!$E$71&amp;X69,"")</f>
        <v>0:2</v>
      </c>
      <c r="AC141" s="2"/>
      <c r="AD141" s="144"/>
    </row>
    <row r="142" spans="2:32" x14ac:dyDescent="0.2">
      <c r="Y142" s="67" t="s">
        <v>17</v>
      </c>
      <c r="Z142" s="35" t="str">
        <f t="shared" ca="1" si="48"/>
        <v>Maibach 1822 eV</v>
      </c>
      <c r="AA142" s="13">
        <f t="shared" ca="1" si="47"/>
        <v>0</v>
      </c>
      <c r="AB142" s="13" t="str">
        <f ca="1">IF(AA142&gt;0,Y70&amp;Sprache!$E$71&amp;X70,"")</f>
        <v/>
      </c>
      <c r="AC142" s="2"/>
      <c r="AD142" s="144"/>
    </row>
    <row r="143" spans="2:32" x14ac:dyDescent="0.2">
      <c r="Y143" s="67" t="s">
        <v>18</v>
      </c>
      <c r="Z143" s="35" t="str">
        <f t="shared" ca="1" si="48"/>
        <v>VFB Essenheim1. FC Riedwald</v>
      </c>
      <c r="AA143" s="13">
        <f t="shared" ca="1" si="47"/>
        <v>1</v>
      </c>
      <c r="AB143" s="13" t="str">
        <f ca="1">IF(AA143&gt;0,Y71&amp;Sprache!$E$71&amp;X71,"")</f>
        <v>3:5</v>
      </c>
      <c r="AC143" s="2"/>
      <c r="AD143" s="144"/>
    </row>
    <row r="144" spans="2:32" x14ac:dyDescent="0.2">
      <c r="Y144" s="67" t="s">
        <v>19</v>
      </c>
      <c r="Z144" s="35" t="str">
        <f t="shared" ca="1" si="48"/>
        <v>Eintracht FrankfurtFC Barcelona</v>
      </c>
      <c r="AA144" s="13">
        <f t="shared" ca="1" si="47"/>
        <v>1</v>
      </c>
      <c r="AB144" s="13" t="str">
        <f ca="1">IF(AA144&gt;0,Y72&amp;Sprache!$E$71&amp;X72,"")</f>
        <v>1:2</v>
      </c>
      <c r="AC144" s="2"/>
      <c r="AD144" s="144"/>
    </row>
    <row r="145" spans="25:30" x14ac:dyDescent="0.2">
      <c r="Y145" s="67" t="s">
        <v>25</v>
      </c>
      <c r="Z145" s="35" t="str">
        <f t="shared" ca="1" si="48"/>
        <v>SSV Wildbach</v>
      </c>
      <c r="AA145" s="13">
        <f t="shared" ca="1" si="47"/>
        <v>0</v>
      </c>
      <c r="AB145" s="13" t="str">
        <f ca="1">IF(AA145&gt;0,Y73&amp;Sprache!$E$71&amp;X73,"")</f>
        <v/>
      </c>
      <c r="AC145" s="2"/>
      <c r="AD145" s="144"/>
    </row>
    <row r="146" spans="25:30" x14ac:dyDescent="0.2">
      <c r="Y146" s="67" t="s">
        <v>26</v>
      </c>
      <c r="Z146" s="35" t="str">
        <f t="shared" ca="1" si="48"/>
        <v>FC GrönlingenMainz 05</v>
      </c>
      <c r="AA146" s="13">
        <f t="shared" ca="1" si="47"/>
        <v>1</v>
      </c>
      <c r="AB146" s="13" t="str">
        <f ca="1">IF(AA146&gt;0,Y74&amp;Sprache!$E$71&amp;X74,"")</f>
        <v>2:4</v>
      </c>
      <c r="AC146" s="2"/>
      <c r="AD146" s="144"/>
    </row>
    <row r="147" spans="25:30" x14ac:dyDescent="0.2">
      <c r="Y147" s="67" t="s">
        <v>27</v>
      </c>
      <c r="Z147" s="35" t="str">
        <f t="shared" ca="1" si="48"/>
        <v>Inter MailandManchester City</v>
      </c>
      <c r="AA147" s="13">
        <f t="shared" ca="1" si="47"/>
        <v>1</v>
      </c>
      <c r="AB147" s="13" t="str">
        <f ca="1">IF(AA147&gt;0,Y75&amp;Sprache!$E$71&amp;X75,"")</f>
        <v>3:4</v>
      </c>
      <c r="AC147" s="2"/>
      <c r="AD147" s="144"/>
    </row>
    <row r="148" spans="25:30" x14ac:dyDescent="0.2">
      <c r="Y148" s="67" t="s">
        <v>28</v>
      </c>
      <c r="Z148" s="35" t="str">
        <f t="shared" ca="1" si="48"/>
        <v/>
      </c>
      <c r="AA148" s="13">
        <f t="shared" ca="1" si="47"/>
        <v>0</v>
      </c>
      <c r="AB148" s="13" t="str">
        <f ca="1">IF(AA148&gt;0,Y76&amp;Sprache!$E$71&amp;X76,"")</f>
        <v/>
      </c>
      <c r="AC148" s="2"/>
      <c r="AD148" s="144"/>
    </row>
    <row r="149" spans="25:30" x14ac:dyDescent="0.2">
      <c r="Y149" s="67" t="s">
        <v>29</v>
      </c>
      <c r="Z149" s="35" t="str">
        <f t="shared" ca="1" si="48"/>
        <v>FC GrönlingenVFB Essenheim</v>
      </c>
      <c r="AA149" s="13">
        <f t="shared" ca="1" si="47"/>
        <v>1</v>
      </c>
      <c r="AB149" s="13" t="str">
        <f ca="1">IF(AA149&gt;0,Y77&amp;Sprache!$E$71&amp;X77,"")</f>
        <v>5:1</v>
      </c>
      <c r="AC149" s="2"/>
      <c r="AD149" s="144"/>
    </row>
    <row r="150" spans="25:30" x14ac:dyDescent="0.2">
      <c r="Y150" s="67" t="s">
        <v>30</v>
      </c>
      <c r="Z150" s="35" t="str">
        <f t="shared" ca="1" si="48"/>
        <v>Inter MailandEintracht Frankfurt</v>
      </c>
      <c r="AA150" s="13">
        <f t="shared" ca="1" si="47"/>
        <v>1</v>
      </c>
      <c r="AB150" s="13" t="str">
        <f ca="1">IF(AA150&gt;0,Y78&amp;Sprache!$E$71&amp;X78,"")</f>
        <v>4:4</v>
      </c>
      <c r="AC150" s="2"/>
      <c r="AD150" s="144"/>
    </row>
    <row r="151" spans="25:30" x14ac:dyDescent="0.2">
      <c r="Y151" s="67" t="s">
        <v>31</v>
      </c>
      <c r="Z151" s="35" t="str">
        <f t="shared" ca="1" si="48"/>
        <v>SSV WildbachMaibach 1822 eV</v>
      </c>
      <c r="AA151" s="13">
        <f t="shared" ca="1" si="47"/>
        <v>1</v>
      </c>
      <c r="AB151" s="13" t="str">
        <f ca="1">IF(AA151&gt;0,Y79&amp;Sprache!$E$71&amp;X79,"")</f>
        <v>7:0</v>
      </c>
      <c r="AC151" s="2"/>
      <c r="AD151" s="144"/>
    </row>
    <row r="152" spans="25:30" x14ac:dyDescent="0.2">
      <c r="Y152" s="67" t="s">
        <v>32</v>
      </c>
      <c r="Z152" s="35" t="str">
        <f t="shared" ca="1" si="48"/>
        <v>Mainz 051. FC Riedwald</v>
      </c>
      <c r="AA152" s="13">
        <f t="shared" ca="1" si="47"/>
        <v>1</v>
      </c>
      <c r="AB152" s="13" t="str">
        <f ca="1">IF(AA152&gt;0,Y80&amp;Sprache!$E$71&amp;X80,"")</f>
        <v>8:2</v>
      </c>
      <c r="AC152" s="2"/>
      <c r="AD152" s="144"/>
    </row>
    <row r="153" spans="25:30" x14ac:dyDescent="0.2">
      <c r="Y153" s="67" t="s">
        <v>33</v>
      </c>
      <c r="Z153" s="35" t="str">
        <f t="shared" ca="1" si="48"/>
        <v>Manchester CityFC Barcelona</v>
      </c>
      <c r="AA153" s="13">
        <f t="shared" ca="1" si="47"/>
        <v>1</v>
      </c>
      <c r="AB153" s="13" t="str">
        <f ca="1">IF(AA153&gt;0,Y81&amp;Sprache!$E$71&amp;X81,"")</f>
        <v>0:4</v>
      </c>
      <c r="AC153" s="2"/>
      <c r="AD153" s="144"/>
    </row>
    <row r="154" spans="25:30" x14ac:dyDescent="0.2">
      <c r="Y154" s="67" t="s">
        <v>34</v>
      </c>
      <c r="Z154" s="35" t="str">
        <f t="shared" si="48"/>
        <v/>
      </c>
      <c r="AA154" s="13">
        <f t="shared" si="47"/>
        <v>0</v>
      </c>
      <c r="AB154" s="13" t="str">
        <f>IF(AA154&gt;0,Y82&amp;Sprache!$E$71&amp;X82,"")</f>
        <v/>
      </c>
      <c r="AC154" s="2"/>
      <c r="AD154" s="144"/>
    </row>
    <row r="155" spans="25:30" x14ac:dyDescent="0.2">
      <c r="Y155" s="67" t="s">
        <v>35</v>
      </c>
      <c r="Z155" s="35" t="str">
        <f t="shared" si="48"/>
        <v/>
      </c>
      <c r="AA155" s="13">
        <f t="shared" si="47"/>
        <v>0</v>
      </c>
      <c r="AB155" s="13" t="str">
        <f>IF(AA155&gt;0,Y83&amp;Sprache!$E$71&amp;X83,"")</f>
        <v/>
      </c>
      <c r="AC155" s="2"/>
      <c r="AD155" s="144"/>
    </row>
    <row r="156" spans="25:30" x14ac:dyDescent="0.2">
      <c r="Y156" s="67" t="s">
        <v>36</v>
      </c>
      <c r="Z156" s="35" t="str">
        <f t="shared" si="48"/>
        <v/>
      </c>
      <c r="AA156" s="13">
        <f t="shared" si="47"/>
        <v>0</v>
      </c>
      <c r="AB156" s="13" t="str">
        <f>IF(AA156&gt;0,Y84&amp;Sprache!$E$71&amp;X84,"")</f>
        <v/>
      </c>
      <c r="AC156" s="2"/>
      <c r="AD156" s="144"/>
    </row>
    <row r="157" spans="25:30" x14ac:dyDescent="0.2">
      <c r="Y157" s="67" t="s">
        <v>37</v>
      </c>
      <c r="Z157" s="35" t="str">
        <f t="shared" si="48"/>
        <v/>
      </c>
      <c r="AA157" s="13">
        <f t="shared" si="47"/>
        <v>0</v>
      </c>
      <c r="AB157" s="13" t="str">
        <f>IF(AA157&gt;0,Y85&amp;Sprache!$E$71&amp;X85,"")</f>
        <v/>
      </c>
      <c r="AC157" s="2"/>
      <c r="AD157" s="144"/>
    </row>
    <row r="158" spans="25:30" x14ac:dyDescent="0.2">
      <c r="Y158" s="67" t="s">
        <v>38</v>
      </c>
      <c r="Z158" s="35" t="str">
        <f t="shared" si="48"/>
        <v/>
      </c>
      <c r="AA158" s="13">
        <f t="shared" si="47"/>
        <v>0</v>
      </c>
      <c r="AB158" s="13" t="str">
        <f>IF(AA158&gt;0,Y86&amp;Sprache!$E$71&amp;X86,"")</f>
        <v/>
      </c>
      <c r="AC158" s="2"/>
      <c r="AD158" s="144"/>
    </row>
    <row r="159" spans="25:30" x14ac:dyDescent="0.2">
      <c r="Y159" s="67" t="s">
        <v>39</v>
      </c>
      <c r="Z159" s="35" t="str">
        <f t="shared" si="48"/>
        <v/>
      </c>
      <c r="AA159" s="13">
        <f t="shared" si="47"/>
        <v>0</v>
      </c>
      <c r="AB159" s="13" t="str">
        <f>IF(AA159&gt;0,Y87&amp;Sprache!$E$71&amp;X87,"")</f>
        <v/>
      </c>
      <c r="AC159" s="2"/>
      <c r="AD159" s="144"/>
    </row>
    <row r="160" spans="25:30" x14ac:dyDescent="0.2">
      <c r="Y160" s="67" t="s">
        <v>40</v>
      </c>
      <c r="Z160" s="35" t="str">
        <f t="shared" si="48"/>
        <v/>
      </c>
      <c r="AA160" s="13">
        <f t="shared" si="47"/>
        <v>0</v>
      </c>
      <c r="AB160" s="13" t="str">
        <f>IF(AA160&gt;0,Y88&amp;Sprache!$E$71&amp;X88,"")</f>
        <v/>
      </c>
      <c r="AC160" s="2"/>
      <c r="AD160" s="144"/>
    </row>
    <row r="161" spans="25:30" x14ac:dyDescent="0.2">
      <c r="Y161" s="67" t="s">
        <v>41</v>
      </c>
      <c r="Z161" s="35" t="str">
        <f t="shared" si="48"/>
        <v/>
      </c>
      <c r="AA161" s="13">
        <f t="shared" si="47"/>
        <v>0</v>
      </c>
      <c r="AB161" s="13" t="str">
        <f>IF(AA161&gt;0,Y89&amp;Sprache!$E$71&amp;X89,"")</f>
        <v/>
      </c>
      <c r="AC161" s="2"/>
      <c r="AD161" s="144"/>
    </row>
    <row r="162" spans="25:30" x14ac:dyDescent="0.2">
      <c r="Y162" s="67" t="s">
        <v>42</v>
      </c>
      <c r="Z162" s="35" t="str">
        <f t="shared" si="48"/>
        <v/>
      </c>
      <c r="AA162" s="13">
        <f t="shared" si="47"/>
        <v>0</v>
      </c>
      <c r="AB162" s="13" t="str">
        <f>IF(AA162&gt;0,Y90&amp;Sprache!$E$71&amp;X90,"")</f>
        <v/>
      </c>
      <c r="AC162" s="2"/>
      <c r="AD162" s="144"/>
    </row>
    <row r="163" spans="25:30" x14ac:dyDescent="0.2">
      <c r="Y163" s="67" t="s">
        <v>43</v>
      </c>
      <c r="Z163" s="35" t="str">
        <f t="shared" si="48"/>
        <v/>
      </c>
      <c r="AA163" s="13">
        <f t="shared" si="47"/>
        <v>0</v>
      </c>
      <c r="AB163" s="13" t="str">
        <f>IF(AA163&gt;0,Y91&amp;Sprache!$E$71&amp;X91,"")</f>
        <v/>
      </c>
      <c r="AC163" s="2"/>
      <c r="AD163" s="144"/>
    </row>
    <row r="164" spans="25:30" x14ac:dyDescent="0.2">
      <c r="Y164" s="67" t="s">
        <v>44</v>
      </c>
      <c r="Z164" s="35" t="str">
        <f t="shared" si="48"/>
        <v/>
      </c>
      <c r="AA164" s="13">
        <f t="shared" si="47"/>
        <v>0</v>
      </c>
      <c r="AB164" s="13" t="str">
        <f>IF(AA164&gt;0,Y92&amp;Sprache!$E$71&amp;X92,"")</f>
        <v/>
      </c>
      <c r="AC164" s="2"/>
      <c r="AD164" s="144"/>
    </row>
    <row r="165" spans="25:30" x14ac:dyDescent="0.2">
      <c r="Y165" s="67" t="s">
        <v>45</v>
      </c>
      <c r="Z165" s="35" t="str">
        <f t="shared" si="48"/>
        <v/>
      </c>
      <c r="AA165" s="13">
        <f t="shared" si="47"/>
        <v>0</v>
      </c>
      <c r="AB165" s="13" t="str">
        <f>IF(AA165&gt;0,Y93&amp;Sprache!$E$71&amp;X93,"")</f>
        <v/>
      </c>
      <c r="AC165" s="2"/>
      <c r="AD165" s="144"/>
    </row>
    <row r="166" spans="25:30" x14ac:dyDescent="0.2">
      <c r="Y166" s="67" t="s">
        <v>46</v>
      </c>
      <c r="Z166" s="35" t="str">
        <f t="shared" si="48"/>
        <v/>
      </c>
      <c r="AA166" s="13">
        <f t="shared" si="47"/>
        <v>0</v>
      </c>
      <c r="AB166" s="13" t="str">
        <f>IF(AA166&gt;0,Y94&amp;Sprache!$E$71&amp;X94,"")</f>
        <v/>
      </c>
      <c r="AC166" s="2"/>
      <c r="AD166" s="144"/>
    </row>
    <row r="167" spans="25:30" x14ac:dyDescent="0.2">
      <c r="Y167" s="67" t="s">
        <v>47</v>
      </c>
      <c r="Z167" s="35" t="str">
        <f t="shared" si="48"/>
        <v/>
      </c>
      <c r="AA167" s="13">
        <f t="shared" si="47"/>
        <v>0</v>
      </c>
      <c r="AB167" s="13" t="str">
        <f>IF(AA167&gt;0,Y95&amp;Sprache!$E$71&amp;X95,"")</f>
        <v/>
      </c>
      <c r="AC167" s="2"/>
      <c r="AD167" s="144"/>
    </row>
    <row r="168" spans="25:30" x14ac:dyDescent="0.2">
      <c r="Y168" s="67" t="s">
        <v>48</v>
      </c>
      <c r="Z168" s="35" t="str">
        <f t="shared" si="48"/>
        <v/>
      </c>
      <c r="AA168" s="13">
        <f t="shared" si="47"/>
        <v>0</v>
      </c>
      <c r="AB168" s="13" t="str">
        <f>IF(AA168&gt;0,Y96&amp;Sprache!$E$71&amp;X96,"")</f>
        <v/>
      </c>
      <c r="AC168" s="2"/>
      <c r="AD168" s="144"/>
    </row>
    <row r="169" spans="25:30" x14ac:dyDescent="0.2">
      <c r="Y169" s="67" t="s">
        <v>49</v>
      </c>
      <c r="Z169" s="35" t="str">
        <f t="shared" si="48"/>
        <v/>
      </c>
      <c r="AA169" s="13">
        <f t="shared" si="47"/>
        <v>0</v>
      </c>
      <c r="AB169" s="13" t="str">
        <f>IF(AA169&gt;0,Y97&amp;Sprache!$E$71&amp;X97,"")</f>
        <v/>
      </c>
      <c r="AC169" s="2"/>
      <c r="AD169" s="144"/>
    </row>
    <row r="170" spans="25:30" x14ac:dyDescent="0.2">
      <c r="Y170" s="67" t="s">
        <v>50</v>
      </c>
      <c r="Z170" s="35" t="str">
        <f t="shared" si="48"/>
        <v/>
      </c>
      <c r="AA170" s="13">
        <f t="shared" si="47"/>
        <v>0</v>
      </c>
      <c r="AB170" s="13" t="str">
        <f>IF(AA170&gt;0,Y98&amp;Sprache!$E$71&amp;X98,"")</f>
        <v/>
      </c>
      <c r="AC170" s="2"/>
      <c r="AD170" s="144"/>
    </row>
    <row r="171" spans="25:30" x14ac:dyDescent="0.2">
      <c r="Y171" s="67" t="s">
        <v>51</v>
      </c>
      <c r="Z171" s="35" t="str">
        <f t="shared" si="48"/>
        <v/>
      </c>
      <c r="AA171" s="13">
        <f t="shared" si="47"/>
        <v>0</v>
      </c>
      <c r="AB171" s="13" t="str">
        <f>IF(AA171&gt;0,Y99&amp;Sprache!$E$71&amp;X99,"")</f>
        <v/>
      </c>
      <c r="AC171" s="2"/>
      <c r="AD171" s="144"/>
    </row>
    <row r="172" spans="25:30" x14ac:dyDescent="0.2">
      <c r="Y172" s="67" t="s">
        <v>60</v>
      </c>
      <c r="Z172" s="35" t="str">
        <f t="shared" si="48"/>
        <v/>
      </c>
      <c r="AA172" s="13">
        <f t="shared" si="47"/>
        <v>0</v>
      </c>
      <c r="AB172" s="13" t="str">
        <f>IF(AA172&gt;0,Y100&amp;Sprache!$E$71&amp;X100,"")</f>
        <v/>
      </c>
      <c r="AC172" s="2"/>
      <c r="AD172" s="144"/>
    </row>
    <row r="173" spans="25:30" x14ac:dyDescent="0.2">
      <c r="Y173" s="67" t="s">
        <v>61</v>
      </c>
      <c r="Z173" s="35" t="str">
        <f t="shared" si="48"/>
        <v/>
      </c>
      <c r="AA173" s="13">
        <f t="shared" si="47"/>
        <v>0</v>
      </c>
      <c r="AB173" s="13" t="str">
        <f>IF(AA173&gt;0,Y101&amp;Sprache!$E$71&amp;X101,"")</f>
        <v/>
      </c>
      <c r="AC173" s="2"/>
      <c r="AD173" s="144"/>
    </row>
    <row r="174" spans="25:30" x14ac:dyDescent="0.2">
      <c r="Y174" s="67" t="s">
        <v>62</v>
      </c>
      <c r="Z174" s="35" t="str">
        <f t="shared" si="48"/>
        <v/>
      </c>
      <c r="AA174" s="13">
        <f t="shared" si="47"/>
        <v>0</v>
      </c>
      <c r="AB174" s="13" t="str">
        <f>IF(AA174&gt;0,Y102&amp;Sprache!$E$71&amp;X102,"")</f>
        <v/>
      </c>
      <c r="AC174" s="2"/>
      <c r="AD174" s="144"/>
    </row>
    <row r="175" spans="25:30" x14ac:dyDescent="0.2">
      <c r="Y175" s="67" t="s">
        <v>63</v>
      </c>
      <c r="Z175" s="35" t="str">
        <f t="shared" si="48"/>
        <v/>
      </c>
      <c r="AA175" s="13">
        <f t="shared" si="47"/>
        <v>0</v>
      </c>
      <c r="AB175" s="13" t="str">
        <f>IF(AA175&gt;0,Y103&amp;Sprache!$E$71&amp;X103,"")</f>
        <v/>
      </c>
      <c r="AC175" s="2"/>
      <c r="AD175" s="144"/>
    </row>
    <row r="176" spans="25:30" x14ac:dyDescent="0.2">
      <c r="Y176" s="67" t="s">
        <v>64</v>
      </c>
      <c r="Z176" s="35" t="str">
        <f t="shared" si="48"/>
        <v/>
      </c>
      <c r="AA176" s="13">
        <f t="shared" si="47"/>
        <v>0</v>
      </c>
      <c r="AB176" s="13" t="str">
        <f>IF(AA176&gt;0,Y104&amp;Sprache!$E$71&amp;X104,"")</f>
        <v/>
      </c>
      <c r="AC176" s="2"/>
      <c r="AD176" s="144"/>
    </row>
    <row r="177" spans="25:30" x14ac:dyDescent="0.2">
      <c r="Y177" s="67" t="s">
        <v>65</v>
      </c>
      <c r="Z177" s="35" t="str">
        <f t="shared" si="48"/>
        <v/>
      </c>
      <c r="AA177" s="13">
        <f t="shared" si="47"/>
        <v>0</v>
      </c>
      <c r="AB177" s="13" t="str">
        <f>IF(AA177&gt;0,Y105&amp;Sprache!$E$71&amp;X105,"")</f>
        <v/>
      </c>
      <c r="AC177" s="2"/>
      <c r="AD177" s="144"/>
    </row>
    <row r="178" spans="25:30" x14ac:dyDescent="0.2">
      <c r="Y178" s="67" t="s">
        <v>66</v>
      </c>
      <c r="Z178" s="35" t="str">
        <f t="shared" si="48"/>
        <v/>
      </c>
      <c r="AA178" s="13">
        <f t="shared" si="47"/>
        <v>0</v>
      </c>
      <c r="AB178" s="13" t="str">
        <f>IF(AA178&gt;0,Y106&amp;Sprache!$E$71&amp;X106,"")</f>
        <v/>
      </c>
      <c r="AC178" s="2"/>
      <c r="AD178" s="144"/>
    </row>
    <row r="179" spans="25:30" x14ac:dyDescent="0.2">
      <c r="Y179" s="67" t="s">
        <v>67</v>
      </c>
      <c r="Z179" s="35" t="str">
        <f t="shared" si="48"/>
        <v/>
      </c>
      <c r="AA179" s="13">
        <f t="shared" si="47"/>
        <v>0</v>
      </c>
      <c r="AB179" s="13" t="str">
        <f>IF(AA179&gt;0,Y107&amp;Sprache!$E$71&amp;X107,"")</f>
        <v/>
      </c>
      <c r="AC179" s="2"/>
      <c r="AD179" s="144"/>
    </row>
    <row r="180" spans="25:30" x14ac:dyDescent="0.2">
      <c r="Y180" s="67" t="s">
        <v>68</v>
      </c>
      <c r="Z180" s="35" t="str">
        <f t="shared" si="48"/>
        <v/>
      </c>
      <c r="AA180" s="13">
        <f t="shared" si="47"/>
        <v>0</v>
      </c>
      <c r="AB180" s="13" t="str">
        <f>IF(AA180&gt;0,Y108&amp;Sprache!$E$71&amp;X108,"")</f>
        <v/>
      </c>
      <c r="AC180" s="2"/>
      <c r="AD180" s="144"/>
    </row>
    <row r="181" spans="25:30" x14ac:dyDescent="0.2">
      <c r="Y181" s="67" t="s">
        <v>69</v>
      </c>
      <c r="Z181" s="35" t="str">
        <f t="shared" si="48"/>
        <v/>
      </c>
      <c r="AA181" s="13">
        <f t="shared" si="47"/>
        <v>0</v>
      </c>
      <c r="AB181" s="13" t="str">
        <f>IF(AA181&gt;0,Y109&amp;Sprache!$E$71&amp;X109,"")</f>
        <v/>
      </c>
      <c r="AC181" s="2"/>
      <c r="AD181" s="144"/>
    </row>
    <row r="182" spans="25:30" x14ac:dyDescent="0.2">
      <c r="Y182" s="67" t="s">
        <v>70</v>
      </c>
      <c r="Z182" s="35" t="str">
        <f t="shared" si="48"/>
        <v/>
      </c>
      <c r="AA182" s="13">
        <f t="shared" si="47"/>
        <v>0</v>
      </c>
      <c r="AB182" s="13" t="str">
        <f>IF(AA182&gt;0,Y110&amp;Sprache!$E$71&amp;X110,"")</f>
        <v/>
      </c>
      <c r="AC182" s="2"/>
      <c r="AD182" s="144"/>
    </row>
    <row r="183" spans="25:30" x14ac:dyDescent="0.2">
      <c r="Y183" s="67" t="s">
        <v>71</v>
      </c>
      <c r="Z183" s="35" t="str">
        <f t="shared" si="48"/>
        <v/>
      </c>
      <c r="AA183" s="13">
        <f t="shared" si="47"/>
        <v>0</v>
      </c>
      <c r="AB183" s="13" t="str">
        <f>IF(AA183&gt;0,Y111&amp;Sprache!$E$71&amp;X111,"")</f>
        <v/>
      </c>
      <c r="AC183" s="2"/>
      <c r="AD183" s="144"/>
    </row>
    <row r="184" spans="25:30" x14ac:dyDescent="0.2">
      <c r="Y184" s="67" t="s">
        <v>72</v>
      </c>
      <c r="Z184" s="35" t="str">
        <f t="shared" si="48"/>
        <v/>
      </c>
      <c r="AA184" s="13">
        <f t="shared" si="47"/>
        <v>0</v>
      </c>
      <c r="AB184" s="13" t="str">
        <f>IF(AA184&gt;0,Y112&amp;Sprache!$E$71&amp;X112,"")</f>
        <v/>
      </c>
      <c r="AC184" s="2"/>
      <c r="AD184" s="144"/>
    </row>
    <row r="185" spans="25:30" x14ac:dyDescent="0.2">
      <c r="Y185" s="67" t="s">
        <v>73</v>
      </c>
      <c r="Z185" s="35" t="str">
        <f t="shared" si="48"/>
        <v/>
      </c>
      <c r="AA185" s="13">
        <f t="shared" si="47"/>
        <v>0</v>
      </c>
      <c r="AB185" s="13" t="str">
        <f>IF(AA185&gt;0,Y113&amp;Sprache!$E$71&amp;X113,"")</f>
        <v/>
      </c>
      <c r="AC185" s="2"/>
      <c r="AD185" s="144"/>
    </row>
    <row r="186" spans="25:30" x14ac:dyDescent="0.2">
      <c r="Y186" s="67" t="s">
        <v>74</v>
      </c>
      <c r="Z186" s="35" t="str">
        <f t="shared" si="48"/>
        <v/>
      </c>
      <c r="AA186" s="13">
        <f t="shared" si="47"/>
        <v>0</v>
      </c>
      <c r="AB186" s="13" t="str">
        <f>IF(AA186&gt;0,Y114&amp;Sprache!$E$71&amp;X114,"")</f>
        <v/>
      </c>
      <c r="AC186" s="2"/>
      <c r="AD186" s="144"/>
    </row>
    <row r="187" spans="25:30" x14ac:dyDescent="0.2">
      <c r="Y187" s="67" t="s">
        <v>75</v>
      </c>
      <c r="Z187" s="35" t="str">
        <f t="shared" si="48"/>
        <v/>
      </c>
      <c r="AA187" s="13">
        <f t="shared" si="47"/>
        <v>0</v>
      </c>
      <c r="AB187" s="13" t="str">
        <f>IF(AA187&gt;0,Y115&amp;Sprache!$E$71&amp;X115,"")</f>
        <v/>
      </c>
      <c r="AC187" s="2"/>
      <c r="AD187" s="144"/>
    </row>
    <row r="188" spans="25:30" x14ac:dyDescent="0.2">
      <c r="Y188" s="67" t="s">
        <v>76</v>
      </c>
      <c r="Z188" s="35" t="str">
        <f t="shared" si="48"/>
        <v/>
      </c>
      <c r="AA188" s="13">
        <f t="shared" si="47"/>
        <v>0</v>
      </c>
      <c r="AB188" s="13" t="str">
        <f>IF(AA188&gt;0,Y116&amp;Sprache!$E$71&amp;X116,"")</f>
        <v/>
      </c>
      <c r="AC188" s="2"/>
      <c r="AD188" s="144"/>
    </row>
    <row r="189" spans="25:30" x14ac:dyDescent="0.2">
      <c r="Y189" s="67" t="s">
        <v>77</v>
      </c>
      <c r="Z189" s="35" t="str">
        <f t="shared" si="48"/>
        <v/>
      </c>
      <c r="AA189" s="13">
        <f t="shared" si="47"/>
        <v>0</v>
      </c>
      <c r="AB189" s="13" t="str">
        <f>IF(AA189&gt;0,Y117&amp;Sprache!$E$71&amp;X117,"")</f>
        <v/>
      </c>
      <c r="AC189" s="2"/>
      <c r="AD189" s="144"/>
    </row>
    <row r="190" spans="25:30" x14ac:dyDescent="0.2">
      <c r="Y190" s="67" t="s">
        <v>78</v>
      </c>
      <c r="Z190" s="35" t="str">
        <f t="shared" si="48"/>
        <v/>
      </c>
      <c r="AA190" s="13">
        <f t="shared" si="47"/>
        <v>0</v>
      </c>
      <c r="AB190" s="13" t="str">
        <f>IF(AA190&gt;0,Y118&amp;Sprache!$E$71&amp;X118,"")</f>
        <v/>
      </c>
      <c r="AC190" s="2"/>
      <c r="AD190" s="144"/>
    </row>
    <row r="191" spans="25:30" x14ac:dyDescent="0.2">
      <c r="Y191" s="67" t="s">
        <v>79</v>
      </c>
      <c r="Z191" s="35" t="str">
        <f t="shared" si="48"/>
        <v/>
      </c>
      <c r="AA191" s="13">
        <f t="shared" si="47"/>
        <v>0</v>
      </c>
      <c r="AB191" s="13" t="str">
        <f>IF(AA191&gt;0,Y119&amp;Sprache!$E$71&amp;X119,"")</f>
        <v/>
      </c>
      <c r="AC191" s="2"/>
      <c r="AD191" s="144"/>
    </row>
    <row r="192" spans="25:30" x14ac:dyDescent="0.2">
      <c r="Y192" s="67" t="s">
        <v>80</v>
      </c>
      <c r="Z192" s="35" t="str">
        <f t="shared" si="48"/>
        <v/>
      </c>
      <c r="AA192" s="13">
        <f t="shared" si="47"/>
        <v>0</v>
      </c>
      <c r="AB192" s="13" t="str">
        <f>IF(AA192&gt;0,Y120&amp;Sprache!$E$71&amp;X120,"")</f>
        <v/>
      </c>
      <c r="AC192" s="2"/>
      <c r="AD192" s="144"/>
    </row>
    <row r="193" spans="25:30" x14ac:dyDescent="0.2">
      <c r="Y193" s="67" t="s">
        <v>81</v>
      </c>
      <c r="Z193" s="35" t="str">
        <f t="shared" si="48"/>
        <v/>
      </c>
      <c r="AA193" s="13">
        <f t="shared" si="47"/>
        <v>0</v>
      </c>
      <c r="AB193" s="13" t="str">
        <f>IF(AA193&gt;0,Y121&amp;Sprache!$E$71&amp;X121,"")</f>
        <v/>
      </c>
      <c r="AC193" s="2"/>
      <c r="AD193" s="144"/>
    </row>
    <row r="194" spans="25:30" x14ac:dyDescent="0.2">
      <c r="Y194" s="67" t="s">
        <v>82</v>
      </c>
      <c r="Z194" s="35" t="str">
        <f t="shared" si="48"/>
        <v/>
      </c>
      <c r="AA194" s="13">
        <f t="shared" si="47"/>
        <v>0</v>
      </c>
      <c r="AB194" s="13" t="str">
        <f>IF(AA194&gt;0,Y122&amp;Sprache!$E$71&amp;X122,"")</f>
        <v/>
      </c>
      <c r="AC194" s="2"/>
      <c r="AD194" s="144"/>
    </row>
    <row r="195" spans="25:30" x14ac:dyDescent="0.2">
      <c r="Y195" s="67" t="s">
        <v>83</v>
      </c>
      <c r="Z195" s="35" t="str">
        <f t="shared" si="48"/>
        <v/>
      </c>
      <c r="AA195" s="13">
        <f t="shared" si="47"/>
        <v>0</v>
      </c>
      <c r="AB195" s="13" t="str">
        <f>IF(AA195&gt;0,Y123&amp;Sprache!$E$71&amp;X123,"")</f>
        <v/>
      </c>
      <c r="AC195" s="2"/>
      <c r="AD195" s="144"/>
    </row>
    <row r="196" spans="25:30" x14ac:dyDescent="0.2">
      <c r="Y196" s="67" t="s">
        <v>84</v>
      </c>
      <c r="Z196" s="35" t="str">
        <f t="shared" si="48"/>
        <v/>
      </c>
      <c r="AA196" s="13">
        <f t="shared" si="47"/>
        <v>0</v>
      </c>
      <c r="AB196" s="13" t="str">
        <f>IF(AA196&gt;0,Y124&amp;Sprache!$E$71&amp;X124,"")</f>
        <v/>
      </c>
      <c r="AC196" s="2"/>
      <c r="AD196" s="144"/>
    </row>
    <row r="197" spans="25:30" x14ac:dyDescent="0.2">
      <c r="Y197" s="67" t="s">
        <v>85</v>
      </c>
      <c r="Z197" s="35" t="str">
        <f t="shared" si="48"/>
        <v/>
      </c>
      <c r="AA197" s="13">
        <f t="shared" si="47"/>
        <v>0</v>
      </c>
      <c r="AB197" s="13" t="str">
        <f>IF(AA197&gt;0,Y125&amp;Sprache!$E$71&amp;X125,"")</f>
        <v/>
      </c>
      <c r="AC197" s="2"/>
      <c r="AD197" s="144"/>
    </row>
    <row r="198" spans="25:30" x14ac:dyDescent="0.2">
      <c r="Y198" s="67" t="s">
        <v>86</v>
      </c>
      <c r="Z198" s="35" t="str">
        <f t="shared" si="48"/>
        <v/>
      </c>
      <c r="AA198" s="13">
        <f t="shared" si="47"/>
        <v>0</v>
      </c>
      <c r="AB198" s="13" t="str">
        <f>IF(AA198&gt;0,Y126&amp;Sprache!$E$71&amp;X126,"")</f>
        <v/>
      </c>
      <c r="AC198" s="2"/>
      <c r="AD198" s="144"/>
    </row>
    <row r="199" spans="25:30" x14ac:dyDescent="0.2">
      <c r="Y199" s="67" t="s">
        <v>87</v>
      </c>
      <c r="Z199" s="35" t="str">
        <f t="shared" si="48"/>
        <v/>
      </c>
      <c r="AA199" s="13">
        <f t="shared" si="47"/>
        <v>0</v>
      </c>
      <c r="AB199" s="13" t="str">
        <f>IF(AA199&gt;0,Y127&amp;Sprache!$E$71&amp;X127,"")</f>
        <v/>
      </c>
      <c r="AC199" s="2"/>
      <c r="AD199" s="144"/>
    </row>
    <row r="200" spans="25:30" x14ac:dyDescent="0.2">
      <c r="Y200" s="67" t="s">
        <v>88</v>
      </c>
      <c r="Z200" s="35" t="str">
        <f t="shared" si="48"/>
        <v/>
      </c>
      <c r="AA200" s="13">
        <f t="shared" si="47"/>
        <v>0</v>
      </c>
      <c r="AB200" s="13" t="str">
        <f>IF(AA200&gt;0,Y128&amp;Sprache!$E$71&amp;X128,"")</f>
        <v/>
      </c>
      <c r="AC200" s="2"/>
      <c r="AD200" s="144"/>
    </row>
    <row r="201" spans="25:30" x14ac:dyDescent="0.2">
      <c r="Y201" s="67" t="s">
        <v>89</v>
      </c>
      <c r="Z201" s="35" t="str">
        <f t="shared" si="48"/>
        <v/>
      </c>
      <c r="AA201" s="13">
        <f t="shared" ref="AA201:AA207" si="49">AA129</f>
        <v>0</v>
      </c>
      <c r="AB201" s="13" t="str">
        <f>IF(AA201&gt;0,Y129&amp;Sprache!$E$71&amp;X129,"")</f>
        <v/>
      </c>
      <c r="AC201" s="2"/>
      <c r="AD201" s="144"/>
    </row>
    <row r="202" spans="25:30" x14ac:dyDescent="0.2">
      <c r="Y202" s="67" t="s">
        <v>90</v>
      </c>
      <c r="Z202" s="35" t="str">
        <f t="shared" ref="Z202:Z206" si="50">W130&amp;V130</f>
        <v/>
      </c>
      <c r="AA202" s="13">
        <f t="shared" si="49"/>
        <v>0</v>
      </c>
      <c r="AB202" s="13" t="str">
        <f>IF(AA202&gt;0,Y130&amp;Sprache!$E$71&amp;X130,"")</f>
        <v/>
      </c>
      <c r="AC202" s="2"/>
      <c r="AD202" s="144"/>
    </row>
    <row r="203" spans="25:30" x14ac:dyDescent="0.2">
      <c r="Y203" s="67" t="s">
        <v>91</v>
      </c>
      <c r="Z203" s="35" t="str">
        <f t="shared" si="50"/>
        <v/>
      </c>
      <c r="AA203" s="13">
        <f t="shared" si="49"/>
        <v>0</v>
      </c>
      <c r="AB203" s="13" t="str">
        <f>IF(AA203&gt;0,Y131&amp;Sprache!$E$71&amp;X131,"")</f>
        <v/>
      </c>
      <c r="AC203" s="2"/>
      <c r="AD203" s="144"/>
    </row>
    <row r="204" spans="25:30" x14ac:dyDescent="0.2">
      <c r="Y204" s="67" t="s">
        <v>92</v>
      </c>
      <c r="Z204" s="35" t="str">
        <f t="shared" si="50"/>
        <v/>
      </c>
      <c r="AA204" s="13">
        <f t="shared" si="49"/>
        <v>0</v>
      </c>
      <c r="AB204" s="13" t="str">
        <f>IF(AA204&gt;0,Y132&amp;Sprache!$E$71&amp;X132,"")</f>
        <v/>
      </c>
      <c r="AC204" s="2"/>
      <c r="AD204" s="144"/>
    </row>
    <row r="205" spans="25:30" x14ac:dyDescent="0.2">
      <c r="Y205" s="67" t="s">
        <v>93</v>
      </c>
      <c r="Z205" s="35" t="str">
        <f t="shared" si="50"/>
        <v/>
      </c>
      <c r="AA205" s="13">
        <f t="shared" si="49"/>
        <v>0</v>
      </c>
      <c r="AB205" s="13" t="str">
        <f>IF(AA205&gt;0,Y133&amp;Sprache!$E$71&amp;X133,"")</f>
        <v/>
      </c>
      <c r="AC205" s="2"/>
      <c r="AD205" s="144"/>
    </row>
    <row r="206" spans="25:30" x14ac:dyDescent="0.2">
      <c r="Y206" s="67" t="s">
        <v>94</v>
      </c>
      <c r="Z206" s="35" t="str">
        <f t="shared" si="50"/>
        <v/>
      </c>
      <c r="AA206" s="13">
        <f t="shared" si="49"/>
        <v>0</v>
      </c>
      <c r="AB206" s="13" t="str">
        <f>IF(AA206&gt;0,Y134&amp;Sprache!$E$71&amp;X134,"")</f>
        <v/>
      </c>
      <c r="AC206" s="2"/>
      <c r="AD206" s="144"/>
    </row>
    <row r="207" spans="25:30" ht="12.75" thickBot="1" x14ac:dyDescent="0.25">
      <c r="Y207" s="68" t="s">
        <v>95</v>
      </c>
      <c r="Z207" s="37" t="str">
        <f>W135&amp;V135</f>
        <v/>
      </c>
      <c r="AA207" s="38">
        <f t="shared" si="49"/>
        <v>0</v>
      </c>
      <c r="AB207" s="145" t="str">
        <f>IF(AA207&gt;0,Y135&amp;Sprache!$E$71&amp;X135,"")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48"/>
      <c r="X3" s="849"/>
      <c r="Y3" s="849"/>
      <c r="Z3" s="849"/>
      <c r="AA3" s="849"/>
      <c r="AB3" s="848"/>
      <c r="AC3" s="849"/>
      <c r="AD3" s="849"/>
      <c r="AE3" s="849"/>
      <c r="AF3" s="849"/>
      <c r="AG3" s="848"/>
      <c r="AH3" s="849"/>
      <c r="AI3" s="849"/>
      <c r="AJ3" s="849"/>
      <c r="AK3" s="849"/>
      <c r="AL3" s="848"/>
      <c r="AM3" s="849"/>
      <c r="AN3" s="849"/>
      <c r="AO3" s="849"/>
      <c r="AP3" s="849"/>
    </row>
    <row r="4" spans="1:42" s="2" customFormat="1" ht="12.75" thickTop="1" x14ac:dyDescent="0.2">
      <c r="A4" s="242"/>
      <c r="B4" s="1">
        <v>1</v>
      </c>
      <c r="C4" s="21">
        <f ca="1">RANK(D4,$D$4:$D$12,1)</f>
        <v>2</v>
      </c>
      <c r="D4" s="13">
        <f ca="1">E4+ROW()/1000+(F4="")*10</f>
        <v>9.0039999999999996</v>
      </c>
      <c r="E4" s="255">
        <f ca="1">IF($AI$15,RANK(AH17,AH$17:AH$25,1),RANK(X17,X$17:X$25,1))</f>
        <v>9</v>
      </c>
      <c r="F4" s="1" t="str">
        <f ca="1">$Q64</f>
        <v>Maibach 1822 eV</v>
      </c>
      <c r="G4" s="1">
        <f t="shared" ref="G4:G12" ca="1" si="0">SUMIFS($X$64:$X$135,$V$64:$V$135,$F4)+SUMIFS($Y$64:$Y$135,$W$64:$W$135,$F4)</f>
        <v>0</v>
      </c>
      <c r="H4" s="1">
        <f t="shared" ref="H4:H12" ca="1" si="1">SUMIFS($Y$64:$Y$135,$V$64:$V$135,$F4)+SUMIFS($X$64:$X$135,$W$64:$W$135,$F4)</f>
        <v>7</v>
      </c>
      <c r="I4" s="13">
        <f t="shared" ref="I4:I12" ca="1" si="2">G4-H4</f>
        <v>-7</v>
      </c>
      <c r="J4" s="1">
        <f ca="1">SUMIF($V$64:$V$135,F4,$AE$64:$AE$135)+SUMIF($W$64:$W$135,F4,$AF$64:$AF$135)</f>
        <v>0</v>
      </c>
      <c r="K4" s="1">
        <f t="shared" ref="K4:K12" ca="1" si="3">SUMPRODUCT(($V$64:$V$135=F4)*($X$64:$X$135&lt;&gt;""))+SUMPRODUCT(($W$64:$W$135=F4)*($Y$64:$Y$135&lt;&gt;""))</f>
        <v>1</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1</v>
      </c>
      <c r="O4" s="120"/>
      <c r="P4" s="120"/>
      <c r="Q4" s="120"/>
      <c r="R4" s="120"/>
      <c r="V4" s="1"/>
      <c r="W4" s="610"/>
      <c r="X4" s="611"/>
      <c r="Y4" s="612"/>
      <c r="Z4" s="613"/>
      <c r="AA4" s="614"/>
      <c r="AB4" s="615"/>
      <c r="AC4" s="616"/>
      <c r="AD4" s="617"/>
      <c r="AE4" s="613"/>
      <c r="AF4" s="613"/>
      <c r="AG4" s="615"/>
      <c r="AH4" s="616"/>
      <c r="AI4" s="617"/>
      <c r="AJ4" s="613"/>
      <c r="AK4" s="618"/>
      <c r="AL4" s="616"/>
      <c r="AM4" s="616"/>
      <c r="AN4" s="617"/>
      <c r="AO4" s="613"/>
      <c r="AP4" s="618"/>
    </row>
    <row r="5" spans="1:42" s="2" customFormat="1" x14ac:dyDescent="0.2">
      <c r="A5" s="242"/>
      <c r="B5" s="1">
        <v>2</v>
      </c>
      <c r="C5" s="22">
        <f t="shared" ref="C5:C12" ca="1" si="7">RANK(D5,$D$4:$D$12,1)</f>
        <v>1</v>
      </c>
      <c r="D5" s="13">
        <f t="shared" ref="D5:D12" ca="1" si="8">E5+ROW()/1000+(F5="")*10</f>
        <v>1.0049999999999999</v>
      </c>
      <c r="E5" s="255">
        <f t="shared" ref="E5:E12" ca="1" si="9">IF($AI$15,RANK(AH18,AH$17:AH$25,1),RANK(X18,X$17:X$25,1))</f>
        <v>1</v>
      </c>
      <c r="F5" s="1" t="str">
        <f t="shared" ref="F5:F12" ca="1" si="10">$Q65</f>
        <v>SSV Wildbach</v>
      </c>
      <c r="G5" s="1">
        <f t="shared" ca="1" si="0"/>
        <v>7</v>
      </c>
      <c r="H5" s="1">
        <f t="shared" ca="1" si="1"/>
        <v>0</v>
      </c>
      <c r="I5" s="13">
        <f t="shared" ca="1" si="2"/>
        <v>7</v>
      </c>
      <c r="J5" s="1">
        <f t="shared" ref="J5:J12" ca="1" si="11">SUMIF($V$64:$V$135,F5,$AE$64:$AE$135)+SUMIF($W$64:$W$135,F5,$AF$64:$AF$135)</f>
        <v>3</v>
      </c>
      <c r="K5" s="1">
        <f t="shared" ca="1" si="3"/>
        <v>1</v>
      </c>
      <c r="L5" s="1">
        <f t="shared" ca="1" si="4"/>
        <v>1</v>
      </c>
      <c r="M5" s="1">
        <f t="shared" ca="1" si="5"/>
        <v>0</v>
      </c>
      <c r="N5" s="1">
        <f t="shared" ca="1" si="6"/>
        <v>0</v>
      </c>
      <c r="O5" s="24"/>
      <c r="P5" s="25"/>
      <c r="V5" s="1"/>
      <c r="W5" s="615"/>
      <c r="X5" s="616"/>
      <c r="Y5" s="613"/>
      <c r="Z5" s="613"/>
      <c r="AA5" s="618"/>
      <c r="AB5" s="615"/>
      <c r="AC5" s="616"/>
      <c r="AD5" s="617"/>
      <c r="AE5" s="613"/>
      <c r="AF5" s="613"/>
      <c r="AG5" s="615"/>
      <c r="AH5" s="616"/>
      <c r="AI5" s="617"/>
      <c r="AJ5" s="613"/>
      <c r="AK5" s="618"/>
      <c r="AL5" s="616"/>
      <c r="AM5" s="616"/>
      <c r="AN5" s="617"/>
      <c r="AO5" s="613"/>
      <c r="AP5" s="618"/>
    </row>
    <row r="6" spans="1:42" s="2" customFormat="1" x14ac:dyDescent="0.2">
      <c r="A6" s="242"/>
      <c r="B6" s="1">
        <v>3</v>
      </c>
      <c r="C6" s="22">
        <f t="shared" ca="1" si="7"/>
        <v>3</v>
      </c>
      <c r="D6" s="13">
        <f t="shared" ca="1" si="8"/>
        <v>12.006</v>
      </c>
      <c r="E6" s="255">
        <f t="shared" ca="1" si="9"/>
        <v>2</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5"/>
      <c r="X6" s="616"/>
      <c r="Y6" s="613"/>
      <c r="Z6" s="613"/>
      <c r="AA6" s="618"/>
      <c r="AB6" s="615"/>
      <c r="AC6" s="616"/>
      <c r="AD6" s="617"/>
      <c r="AE6" s="613"/>
      <c r="AF6" s="613"/>
      <c r="AG6" s="615"/>
      <c r="AH6" s="616"/>
      <c r="AI6" s="617"/>
      <c r="AJ6" s="613"/>
      <c r="AK6" s="618"/>
      <c r="AL6" s="616"/>
      <c r="AM6" s="616"/>
      <c r="AN6" s="617"/>
      <c r="AO6" s="613"/>
      <c r="AP6" s="618"/>
    </row>
    <row r="7" spans="1:42" s="2" customFormat="1" x14ac:dyDescent="0.2">
      <c r="A7" s="242"/>
      <c r="B7" s="1">
        <v>4</v>
      </c>
      <c r="C7" s="22">
        <f t="shared" ca="1" si="7"/>
        <v>4</v>
      </c>
      <c r="D7" s="13">
        <f t="shared" ca="1" si="8"/>
        <v>12.007</v>
      </c>
      <c r="E7" s="255">
        <f t="shared" ca="1" si="9"/>
        <v>2</v>
      </c>
      <c r="F7" s="1" t="str">
        <f t="shared" ca="1"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5"/>
      <c r="X7" s="616"/>
      <c r="Y7" s="613"/>
      <c r="Z7" s="613"/>
      <c r="AA7" s="618"/>
      <c r="AB7" s="615"/>
      <c r="AC7" s="616"/>
      <c r="AD7" s="617"/>
      <c r="AE7" s="613"/>
      <c r="AF7" s="613"/>
      <c r="AG7" s="615"/>
      <c r="AH7" s="616"/>
      <c r="AI7" s="617"/>
      <c r="AJ7" s="613"/>
      <c r="AK7" s="618"/>
      <c r="AL7" s="616"/>
      <c r="AM7" s="616"/>
      <c r="AN7" s="617"/>
      <c r="AO7" s="613"/>
      <c r="AP7" s="618"/>
    </row>
    <row r="8" spans="1:42" s="2" customFormat="1" x14ac:dyDescent="0.2">
      <c r="A8" s="242"/>
      <c r="B8" s="1">
        <v>5</v>
      </c>
      <c r="C8" s="22">
        <f t="shared" ca="1" si="7"/>
        <v>5</v>
      </c>
      <c r="D8" s="13">
        <f t="shared" ca="1" si="8"/>
        <v>14.007999999999999</v>
      </c>
      <c r="E8" s="255">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5"/>
      <c r="X8" s="616"/>
      <c r="Y8" s="613"/>
      <c r="Z8" s="613"/>
      <c r="AA8" s="618"/>
      <c r="AB8" s="615"/>
      <c r="AC8" s="616"/>
      <c r="AD8" s="617"/>
      <c r="AE8" s="613"/>
      <c r="AF8" s="613"/>
      <c r="AG8" s="615"/>
      <c r="AH8" s="616"/>
      <c r="AI8" s="617"/>
      <c r="AJ8" s="613"/>
      <c r="AK8" s="618"/>
      <c r="AL8" s="616"/>
      <c r="AM8" s="616"/>
      <c r="AN8" s="617"/>
      <c r="AO8" s="613"/>
      <c r="AP8" s="618"/>
    </row>
    <row r="9" spans="1:42" s="2" customFormat="1" x14ac:dyDescent="0.2">
      <c r="A9" s="242"/>
      <c r="B9" s="1">
        <v>6</v>
      </c>
      <c r="C9" s="22">
        <f t="shared" ca="1" si="7"/>
        <v>6</v>
      </c>
      <c r="D9" s="13">
        <f t="shared" ca="1" si="8"/>
        <v>14.009</v>
      </c>
      <c r="E9" s="255">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5"/>
      <c r="X9" s="616"/>
      <c r="Y9" s="613"/>
      <c r="Z9" s="613"/>
      <c r="AA9" s="618"/>
      <c r="AB9" s="615"/>
      <c r="AC9" s="616"/>
      <c r="AD9" s="617"/>
      <c r="AE9" s="613"/>
      <c r="AF9" s="613"/>
      <c r="AG9" s="615"/>
      <c r="AH9" s="616"/>
      <c r="AI9" s="617"/>
      <c r="AJ9" s="613"/>
      <c r="AK9" s="618"/>
      <c r="AL9" s="616"/>
      <c r="AM9" s="616"/>
      <c r="AN9" s="617"/>
      <c r="AO9" s="613"/>
      <c r="AP9" s="618"/>
    </row>
    <row r="10" spans="1:42" s="2" customFormat="1" x14ac:dyDescent="0.2">
      <c r="A10" s="242"/>
      <c r="B10" s="1">
        <v>7</v>
      </c>
      <c r="C10" s="22">
        <f t="shared" ca="1" si="7"/>
        <v>7</v>
      </c>
      <c r="D10" s="13">
        <f t="shared" ca="1" si="8"/>
        <v>14.01</v>
      </c>
      <c r="E10" s="255">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5"/>
      <c r="X10" s="616"/>
      <c r="Y10" s="613"/>
      <c r="Z10" s="613"/>
      <c r="AA10" s="618"/>
      <c r="AB10" s="615"/>
      <c r="AC10" s="616"/>
      <c r="AD10" s="617"/>
      <c r="AE10" s="613"/>
      <c r="AF10" s="613"/>
      <c r="AG10" s="615"/>
      <c r="AH10" s="616"/>
      <c r="AI10" s="617"/>
      <c r="AJ10" s="613"/>
      <c r="AK10" s="618"/>
      <c r="AL10" s="616"/>
      <c r="AM10" s="616"/>
      <c r="AN10" s="617"/>
      <c r="AO10" s="613"/>
      <c r="AP10" s="618"/>
    </row>
    <row r="11" spans="1:42" s="2" customFormat="1" x14ac:dyDescent="0.2">
      <c r="A11" s="242"/>
      <c r="B11" s="1">
        <v>8</v>
      </c>
      <c r="C11" s="22">
        <f t="shared" ca="1" si="7"/>
        <v>8</v>
      </c>
      <c r="D11" s="13">
        <f t="shared" ca="1" si="8"/>
        <v>14.010999999999999</v>
      </c>
      <c r="E11" s="255">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5"/>
      <c r="X11" s="616"/>
      <c r="Y11" s="613"/>
      <c r="Z11" s="613"/>
      <c r="AA11" s="618"/>
      <c r="AB11" s="615"/>
      <c r="AC11" s="616"/>
      <c r="AD11" s="617"/>
      <c r="AE11" s="613"/>
      <c r="AF11" s="613"/>
      <c r="AG11" s="615"/>
      <c r="AH11" s="616"/>
      <c r="AI11" s="617"/>
      <c r="AJ11" s="613"/>
      <c r="AK11" s="618"/>
      <c r="AL11" s="616"/>
      <c r="AM11" s="616"/>
      <c r="AN11" s="617"/>
      <c r="AO11" s="613"/>
      <c r="AP11" s="618"/>
    </row>
    <row r="12" spans="1:42" s="2" customFormat="1" ht="12.75" thickBot="1" x14ac:dyDescent="0.25">
      <c r="A12" s="242"/>
      <c r="B12" s="1">
        <v>9</v>
      </c>
      <c r="C12" s="23">
        <f t="shared" ca="1" si="7"/>
        <v>9</v>
      </c>
      <c r="D12" s="13">
        <f t="shared" ca="1" si="8"/>
        <v>14.012</v>
      </c>
      <c r="E12" s="255">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19"/>
      <c r="X12" s="620"/>
      <c r="Y12" s="621"/>
      <c r="Z12" s="621"/>
      <c r="AA12" s="622"/>
      <c r="AB12" s="619"/>
      <c r="AC12" s="620"/>
      <c r="AD12" s="623"/>
      <c r="AE12" s="621"/>
      <c r="AF12" s="621"/>
      <c r="AG12" s="619"/>
      <c r="AH12" s="620"/>
      <c r="AI12" s="623"/>
      <c r="AJ12" s="621"/>
      <c r="AK12" s="622"/>
      <c r="AL12" s="620"/>
      <c r="AM12" s="620"/>
      <c r="AN12" s="623"/>
      <c r="AO12" s="621"/>
      <c r="AP12" s="622"/>
    </row>
    <row r="13" spans="1:42" s="2" customFormat="1" ht="12.75" thickTop="1" x14ac:dyDescent="0.2">
      <c r="B13" s="13">
        <f ca="1">$F$13*($F$13-1)</f>
        <v>2</v>
      </c>
      <c r="C13" s="13"/>
      <c r="D13" s="13"/>
      <c r="E13" s="13"/>
      <c r="F13" s="13">
        <f ca="1">9-COUNTBLANK($F$4:$F$12)</f>
        <v>2</v>
      </c>
      <c r="G13" s="13"/>
      <c r="H13" s="13"/>
      <c r="I13" s="13"/>
      <c r="J13" s="13"/>
      <c r="K13" s="28">
        <f ca="1">QUOTIENT(SUM(K4:K12),2)</f>
        <v>1</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0" t="s">
        <v>190</v>
      </c>
      <c r="AE15" s="851"/>
      <c r="AF15" s="851"/>
      <c r="AG15" s="851"/>
      <c r="AH15" s="852"/>
      <c r="AI15" s="2" t="b">
        <f>(Einstellungen!$B$9=Sprache!$E$76)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 ca="1">$Q64</f>
        <v>Maibach 1822 eV</v>
      </c>
      <c r="D17" s="1">
        <f t="shared" ref="D17:G25" ca="1" si="12">K4</f>
        <v>1</v>
      </c>
      <c r="E17" s="1">
        <f t="shared" ca="1" si="12"/>
        <v>0</v>
      </c>
      <c r="F17" s="1">
        <f t="shared" ca="1" si="12"/>
        <v>0</v>
      </c>
      <c r="G17" s="1">
        <f t="shared" ca="1" si="12"/>
        <v>1</v>
      </c>
      <c r="H17" s="1">
        <f t="shared" ref="H17:K25" ca="1" si="13">G4</f>
        <v>0</v>
      </c>
      <c r="I17" s="1">
        <f t="shared" ca="1" si="13"/>
        <v>7</v>
      </c>
      <c r="J17" s="13">
        <f t="shared" ca="1" si="13"/>
        <v>-7</v>
      </c>
      <c r="K17" s="1">
        <f t="shared" ca="1" si="13"/>
        <v>0</v>
      </c>
      <c r="L17" s="30">
        <f t="shared" ref="L17:L25" ca="1" si="14">K17*$F$64+(J17+$H$65)*$F$65+H17*$F$66</f>
        <v>493000</v>
      </c>
      <c r="M17" s="14">
        <f ca="1">IF($AI$15,COUNTIF($K$17:$K$25,K17),COUNTIF($L$17:$L$25,L17))</f>
        <v>1</v>
      </c>
      <c r="N17" s="14">
        <f t="array" aca="1" ref="N17" ca="1">IF($AI$15,SUM(($K$17:$K$25&gt;=K17)/COUNTIF($K$17:$K$25,$K$17:$K$25)),SUM(($L$17:$L$25&gt;=L17)/COUNTIF($L$17:$L$25,$L$17:$L$25)))</f>
        <v>2.9999999999999996</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9.0108999999999995</v>
      </c>
      <c r="Y17" s="13">
        <f>'Endrunde 4'!$AF26</f>
        <v>0</v>
      </c>
      <c r="Z17" s="1">
        <f ca="1">RANK($W17,$W$17:$W$25)+(9-$Y17)/10</f>
        <v>1.9</v>
      </c>
      <c r="AA17" s="1">
        <f ca="1">SUM(E30:BP30)</f>
        <v>0</v>
      </c>
      <c r="AB17" s="1">
        <f ca="1">SUM(E41:BP41)</f>
        <v>0</v>
      </c>
      <c r="AC17" s="1">
        <f ca="1">SUM(E52:BP52)</f>
        <v>0</v>
      </c>
      <c r="AD17" s="249">
        <f ca="1">RANK($K17,$K$17:$K$25)</f>
        <v>2</v>
      </c>
      <c r="AE17" s="30">
        <f ca="1">(J17+$H$65)*$F$65+H17*$F$66</f>
        <v>493000</v>
      </c>
      <c r="AF17" s="1">
        <f ca="1">RANK($AE17,$AE$17:$AE$25)</f>
        <v>4</v>
      </c>
      <c r="AG17" s="1">
        <f ca="1">RANK($W17,$W$17:$W$25)</f>
        <v>1</v>
      </c>
      <c r="AH17" s="251">
        <f ca="1">AD17+AG17/100+AF17/10000+(10-Y17)/1000000</f>
        <v>2.0104099999999998</v>
      </c>
      <c r="AI17" s="1"/>
    </row>
    <row r="18" spans="2:80" s="2" customFormat="1" x14ac:dyDescent="0.2">
      <c r="C18" s="2" t="str">
        <f t="shared" ref="C18:C25" ca="1" si="23">$Q65</f>
        <v>SSV Wildbach</v>
      </c>
      <c r="D18" s="1">
        <f t="shared" ca="1" si="12"/>
        <v>1</v>
      </c>
      <c r="E18" s="1">
        <f t="shared" ca="1" si="12"/>
        <v>1</v>
      </c>
      <c r="F18" s="1">
        <f t="shared" ca="1" si="12"/>
        <v>0</v>
      </c>
      <c r="G18" s="1">
        <f t="shared" ca="1" si="12"/>
        <v>0</v>
      </c>
      <c r="H18" s="1">
        <f t="shared" ca="1" si="13"/>
        <v>7</v>
      </c>
      <c r="I18" s="1">
        <f t="shared" ca="1" si="13"/>
        <v>0</v>
      </c>
      <c r="J18" s="13">
        <f t="shared" ca="1" si="13"/>
        <v>7</v>
      </c>
      <c r="K18" s="1">
        <f t="shared" ca="1" si="13"/>
        <v>3</v>
      </c>
      <c r="L18" s="30">
        <f t="shared" ca="1" si="14"/>
        <v>3507007</v>
      </c>
      <c r="M18" s="14">
        <f t="shared" ref="M18:M25" ca="1" si="24">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1.0108999999999999</v>
      </c>
      <c r="Y18" s="13">
        <f>'Endrunde 4'!$AF27</f>
        <v>0</v>
      </c>
      <c r="Z18" s="1">
        <f t="shared" ref="Z18:Z25" ca="1" si="26">RANK($W18,$W$17:$W$25)+(9-$Y18)/10</f>
        <v>1.9</v>
      </c>
      <c r="AA18" s="1">
        <f t="shared" ref="AA18:AA25" ca="1" si="27">SUM(E31:BP31)</f>
        <v>0</v>
      </c>
      <c r="AB18" s="1">
        <f t="shared" ref="AB18:AB25" ca="1" si="28">SUM(E42:BP42)</f>
        <v>0</v>
      </c>
      <c r="AC18" s="1">
        <f t="shared" ref="AC18:AC25" ca="1" si="29">SUM(E53:BP53)</f>
        <v>0</v>
      </c>
      <c r="AD18" s="249">
        <f t="shared" ref="AD18:AD25" ca="1" si="30">RANK($K18,$K$17:$K$25)</f>
        <v>1</v>
      </c>
      <c r="AE18" s="30">
        <f ca="1">(J18+$H$65)*$F$65+H18*$F$66</f>
        <v>507007</v>
      </c>
      <c r="AF18" s="1">
        <f t="shared" ref="AF18:AF25" ca="1" si="31">RANK($AE18,$AE$17:$AE$25)</f>
        <v>1</v>
      </c>
      <c r="AG18" s="1">
        <f t="shared" ref="AG18:AG25" ca="1" si="32">RANK($W18,$W$17:$W$25)</f>
        <v>1</v>
      </c>
      <c r="AH18" s="252">
        <f t="shared" ref="AH18:AH25" ca="1" si="33">AD18+AG18/100+AF18/10000+(10-Y18)/1000000</f>
        <v>1.0101100000000001</v>
      </c>
      <c r="AI18" s="1"/>
    </row>
    <row r="19" spans="2:80" s="2" customFormat="1" x14ac:dyDescent="0.2">
      <c r="C19" s="2" t="str">
        <f t="shared" ca="1" si="23"/>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4"/>
        <v>7</v>
      </c>
      <c r="N19" s="14">
        <f t="array" aca="1" ref="N19" ca="1">IF($AI$15,SUM(($K$17:$K$25&gt;=K19)/COUNTIF($K$17:$K$25,$K$17:$K$25)),SUM(($L$17:$L$25&gt;=L19)/COUNTIF($L$17:$L$25,$L$17:$L$25)))</f>
        <v>1.9999999999999996</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2.0108999999999999</v>
      </c>
      <c r="Y19" s="13">
        <f>'Endrunde 4'!$AF28</f>
        <v>0</v>
      </c>
      <c r="Z19" s="1">
        <f t="shared" ca="1" si="26"/>
        <v>1.9</v>
      </c>
      <c r="AA19" s="1">
        <f t="shared" ca="1" si="27"/>
        <v>0</v>
      </c>
      <c r="AB19" s="1">
        <f t="shared" ca="1" si="28"/>
        <v>0</v>
      </c>
      <c r="AC19" s="1">
        <f t="shared" ca="1" si="29"/>
        <v>0</v>
      </c>
      <c r="AD19" s="249">
        <f t="shared" ca="1" si="30"/>
        <v>2</v>
      </c>
      <c r="AE19" s="30">
        <f ca="1">(J19+$H$65)*$F$65+H19*$F$66</f>
        <v>500000</v>
      </c>
      <c r="AF19" s="1">
        <f t="shared" ca="1" si="31"/>
        <v>2</v>
      </c>
      <c r="AG19" s="1">
        <f t="shared" ca="1" si="32"/>
        <v>1</v>
      </c>
      <c r="AH19" s="252">
        <f t="shared" ca="1" si="33"/>
        <v>2.0102099999999998</v>
      </c>
      <c r="AI19" s="1"/>
    </row>
    <row r="20" spans="2:80" s="2" customFormat="1" x14ac:dyDescent="0.2">
      <c r="C20" s="2" t="str">
        <f t="shared" ca="1"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4"/>
        <v>7</v>
      </c>
      <c r="N20" s="14">
        <f t="array" aca="1" ref="N20" ca="1">IF($AI$15,SUM(($K$17:$K$25&gt;=K20)/COUNTIF($K$17:$K$25,$K$17:$K$25)),SUM(($L$17:$L$25&gt;=L20)/COUNTIF($L$17:$L$25,$L$17:$L$25)))</f>
        <v>1.9999999999999996</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2.0108999999999999</v>
      </c>
      <c r="Y20" s="13">
        <f>'Endrunde 4'!$AF29</f>
        <v>0</v>
      </c>
      <c r="Z20" s="1">
        <f t="shared" ca="1" si="26"/>
        <v>1.9</v>
      </c>
      <c r="AA20" s="1">
        <f t="shared" ca="1" si="27"/>
        <v>0</v>
      </c>
      <c r="AB20" s="1">
        <f t="shared" ca="1" si="28"/>
        <v>0</v>
      </c>
      <c r="AC20" s="1">
        <f t="shared" ca="1" si="29"/>
        <v>0</v>
      </c>
      <c r="AD20" s="249">
        <f t="shared" ca="1" si="30"/>
        <v>2</v>
      </c>
      <c r="AE20" s="30">
        <f ca="1">(J20+$H$65)*$F$65+H20*$F$66</f>
        <v>500000</v>
      </c>
      <c r="AF20" s="1">
        <f t="shared" ca="1" si="31"/>
        <v>2</v>
      </c>
      <c r="AG20" s="1">
        <f t="shared" ca="1" si="32"/>
        <v>1</v>
      </c>
      <c r="AH20" s="252">
        <f t="shared" ca="1" si="33"/>
        <v>2.0102099999999998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7</v>
      </c>
      <c r="N21" s="14">
        <f t="array" aca="1" ref="N21" ca="1">IF($AI$15,SUM(($K$17:$K$25&gt;=K21)/COUNTIF($K$17:$K$25,$K$17:$K$25)),SUM(($L$17:$L$25&gt;=L21)/COUNTIF($L$17:$L$25,$L$17:$L$25)))</f>
        <v>1.9999999999999996</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2.0508999999999999</v>
      </c>
      <c r="Y21" s="13">
        <v>0</v>
      </c>
      <c r="Z21" s="1">
        <f t="shared" ca="1" si="26"/>
        <v>5.9</v>
      </c>
      <c r="AA21" s="1">
        <f t="shared" ca="1" si="27"/>
        <v>0</v>
      </c>
      <c r="AB21" s="1">
        <f t="shared" ca="1" si="28"/>
        <v>0</v>
      </c>
      <c r="AC21" s="1">
        <f t="shared" ca="1" si="29"/>
        <v>0</v>
      </c>
      <c r="AD21" s="249">
        <f t="shared" ca="1" si="30"/>
        <v>2</v>
      </c>
      <c r="AE21" s="30">
        <v>0</v>
      </c>
      <c r="AF21" s="1">
        <f t="shared" ca="1" si="31"/>
        <v>5</v>
      </c>
      <c r="AG21" s="1">
        <f t="shared" ca="1" si="32"/>
        <v>5</v>
      </c>
      <c r="AH21" s="252">
        <f t="shared" ca="1" si="33"/>
        <v>2.0505100000000001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7</v>
      </c>
      <c r="N22" s="14">
        <f t="array" aca="1" ref="N22" ca="1">IF($AI$15,SUM(($K$17:$K$25&gt;=K22)/COUNTIF($K$17:$K$25,$K$17:$K$25)),SUM(($L$17:$L$25&gt;=L22)/COUNTIF($L$17:$L$25,$L$17:$L$25)))</f>
        <v>1.9999999999999996</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2.0508999999999999</v>
      </c>
      <c r="Y22" s="13">
        <v>0</v>
      </c>
      <c r="Z22" s="1">
        <f t="shared" ca="1" si="26"/>
        <v>5.9</v>
      </c>
      <c r="AA22" s="1">
        <f t="shared" ca="1" si="27"/>
        <v>0</v>
      </c>
      <c r="AB22" s="1">
        <f t="shared" ca="1" si="28"/>
        <v>0</v>
      </c>
      <c r="AC22" s="1">
        <f t="shared" ca="1" si="29"/>
        <v>0</v>
      </c>
      <c r="AD22" s="249">
        <f t="shared" ca="1" si="30"/>
        <v>2</v>
      </c>
      <c r="AE22" s="30">
        <v>0</v>
      </c>
      <c r="AF22" s="1">
        <f t="shared" ca="1" si="31"/>
        <v>5</v>
      </c>
      <c r="AG22" s="1">
        <f t="shared" ca="1" si="32"/>
        <v>5</v>
      </c>
      <c r="AH22" s="252">
        <f t="shared" ca="1" si="33"/>
        <v>2.0505100000000001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7</v>
      </c>
      <c r="N23" s="14">
        <f t="array" aca="1" ref="N23" ca="1">IF($AI$15,SUM(($K$17:$K$25&gt;=K23)/COUNTIF($K$17:$K$25,$K$17:$K$25)),SUM(($L$17:$L$25&gt;=L23)/COUNTIF($L$17:$L$25,$L$17:$L$25)))</f>
        <v>1.9999999999999996</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2.0508999999999999</v>
      </c>
      <c r="Y23" s="13">
        <v>0</v>
      </c>
      <c r="Z23" s="1">
        <f t="shared" ca="1" si="26"/>
        <v>5.9</v>
      </c>
      <c r="AA23" s="1">
        <f t="shared" ca="1" si="27"/>
        <v>0</v>
      </c>
      <c r="AB23" s="1">
        <f t="shared" ca="1" si="28"/>
        <v>0</v>
      </c>
      <c r="AC23" s="1">
        <f t="shared" ca="1" si="29"/>
        <v>0</v>
      </c>
      <c r="AD23" s="249">
        <f t="shared" ca="1" si="30"/>
        <v>2</v>
      </c>
      <c r="AE23" s="30">
        <v>0</v>
      </c>
      <c r="AF23" s="1">
        <f t="shared" ca="1" si="31"/>
        <v>5</v>
      </c>
      <c r="AG23" s="1">
        <f t="shared" ca="1" si="32"/>
        <v>5</v>
      </c>
      <c r="AH23" s="252">
        <f t="shared" ca="1" si="33"/>
        <v>2.0505100000000001</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7</v>
      </c>
      <c r="N24" s="14">
        <f t="array" aca="1" ref="N24" ca="1">IF($AI$15,SUM(($K$17:$K$25&gt;=K24)/COUNTIF($K$17:$K$25,$K$17:$K$25)),SUM(($L$17:$L$25&gt;=L24)/COUNTIF($L$17:$L$25,$L$17:$L$25)))</f>
        <v>1.9999999999999996</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2.0508999999999999</v>
      </c>
      <c r="Y24" s="13">
        <v>0</v>
      </c>
      <c r="Z24" s="1">
        <f t="shared" ca="1" si="26"/>
        <v>5.9</v>
      </c>
      <c r="AA24" s="1">
        <f t="shared" ca="1" si="27"/>
        <v>0</v>
      </c>
      <c r="AB24" s="1">
        <f t="shared" ca="1" si="28"/>
        <v>0</v>
      </c>
      <c r="AC24" s="1">
        <f t="shared" ca="1" si="29"/>
        <v>0</v>
      </c>
      <c r="AD24" s="249">
        <f t="shared" ca="1" si="30"/>
        <v>2</v>
      </c>
      <c r="AE24" s="30">
        <v>0</v>
      </c>
      <c r="AF24" s="1">
        <f t="shared" ca="1" si="31"/>
        <v>5</v>
      </c>
      <c r="AG24" s="1">
        <f t="shared" ca="1" si="32"/>
        <v>5</v>
      </c>
      <c r="AH24" s="252">
        <f t="shared" ca="1" si="33"/>
        <v>2.0505100000000001</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7</v>
      </c>
      <c r="N25" s="14">
        <f t="array" aca="1" ref="N25" ca="1">IF($AI$15,SUM(($K$17:$K$25&gt;=K25)/COUNTIF($K$17:$K$25,$K$17:$K$25)),SUM(($L$17:$L$25&gt;=L25)/COUNTIF($L$17:$L$25,$L$17:$L$25)))</f>
        <v>1.9999999999999996</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2.0508999999999999</v>
      </c>
      <c r="Y25" s="13">
        <v>0</v>
      </c>
      <c r="Z25" s="1">
        <f t="shared" ca="1" si="26"/>
        <v>5.9</v>
      </c>
      <c r="AA25" s="1">
        <f t="shared" ca="1" si="27"/>
        <v>0</v>
      </c>
      <c r="AB25" s="1">
        <f t="shared" ca="1" si="28"/>
        <v>0</v>
      </c>
      <c r="AC25" s="1">
        <f t="shared" ca="1" si="29"/>
        <v>0</v>
      </c>
      <c r="AD25" s="249">
        <f t="shared" ca="1" si="30"/>
        <v>2</v>
      </c>
      <c r="AE25" s="30">
        <v>0</v>
      </c>
      <c r="AF25" s="1">
        <f t="shared" ca="1" si="31"/>
        <v>5</v>
      </c>
      <c r="AG25" s="1">
        <f t="shared" ca="1" si="32"/>
        <v>5</v>
      </c>
      <c r="AH25" s="253">
        <f t="shared" ca="1" si="33"/>
        <v>2.0505100000000001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7">
        <v>1</v>
      </c>
      <c r="F29" s="854"/>
      <c r="G29" s="854"/>
      <c r="H29" s="854"/>
      <c r="I29" s="854"/>
      <c r="J29" s="854"/>
      <c r="K29" s="854"/>
      <c r="L29" s="856"/>
      <c r="M29" s="853">
        <v>2</v>
      </c>
      <c r="N29" s="854"/>
      <c r="O29" s="854"/>
      <c r="P29" s="854"/>
      <c r="Q29" s="854"/>
      <c r="R29" s="854"/>
      <c r="S29" s="854"/>
      <c r="T29" s="856"/>
      <c r="U29" s="853">
        <v>3</v>
      </c>
      <c r="V29" s="854"/>
      <c r="W29" s="854"/>
      <c r="X29" s="854"/>
      <c r="Y29" s="854"/>
      <c r="Z29" s="854"/>
      <c r="AA29" s="854"/>
      <c r="AB29" s="856"/>
      <c r="AC29" s="853">
        <v>4</v>
      </c>
      <c r="AD29" s="854"/>
      <c r="AE29" s="854"/>
      <c r="AF29" s="854"/>
      <c r="AG29" s="854"/>
      <c r="AH29" s="854"/>
      <c r="AI29" s="854"/>
      <c r="AJ29" s="856"/>
      <c r="AK29" s="853">
        <v>5</v>
      </c>
      <c r="AL29" s="854"/>
      <c r="AM29" s="854"/>
      <c r="AN29" s="854"/>
      <c r="AO29" s="854"/>
      <c r="AP29" s="854"/>
      <c r="AQ29" s="854"/>
      <c r="AR29" s="856"/>
      <c r="AS29" s="853">
        <v>6</v>
      </c>
      <c r="AT29" s="854"/>
      <c r="AU29" s="854"/>
      <c r="AV29" s="854"/>
      <c r="AW29" s="854"/>
      <c r="AX29" s="854"/>
      <c r="AY29" s="854"/>
      <c r="AZ29" s="856"/>
      <c r="BA29" s="853">
        <v>7</v>
      </c>
      <c r="BB29" s="854"/>
      <c r="BC29" s="854"/>
      <c r="BD29" s="854"/>
      <c r="BE29" s="854"/>
      <c r="BF29" s="854"/>
      <c r="BG29" s="854"/>
      <c r="BH29" s="856"/>
      <c r="BI29" s="853">
        <v>8</v>
      </c>
      <c r="BJ29" s="854"/>
      <c r="BK29" s="854"/>
      <c r="BL29" s="854"/>
      <c r="BM29" s="854"/>
      <c r="BN29" s="854"/>
      <c r="BO29" s="854"/>
      <c r="BP29" s="855"/>
      <c r="BQ29" s="13"/>
      <c r="BR29" s="5" t="s">
        <v>96</v>
      </c>
      <c r="BS29" s="2" t="str">
        <f ca="1">$F$4</f>
        <v>Maibach 1822 eV</v>
      </c>
      <c r="BT29" s="2" t="str">
        <f ca="1">$F$5</f>
        <v>SSV Wildbach</v>
      </c>
      <c r="BU29" s="2" t="str">
        <f ca="1">$F$6</f>
        <v/>
      </c>
      <c r="BV29" s="2" t="str">
        <f ca="1">$F$7</f>
        <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Maibach 1822 eV</v>
      </c>
      <c r="BS30" s="7"/>
      <c r="BT30" s="8">
        <f t="shared" ref="BT30:CA32" ca="1" si="35">SUMIFS($X$64:$X$135,$V$64:$V$135,$BR30,$W$64:$W$135,BT$29)+SUMIFS($Y$64:$Y$135,$W$64:$W$135,$BR30,$V$64:$V$135,BT$29)</f>
        <v>0</v>
      </c>
      <c r="BU30" s="8">
        <f t="shared" ca="1" si="35"/>
        <v>0</v>
      </c>
      <c r="BV30" s="8">
        <f t="shared" ca="1" si="35"/>
        <v>0</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SSV Wildbach</v>
      </c>
      <c r="BS31" s="9">
        <f t="shared" ref="BS31:BU38" ca="1" si="37">SUMIFS($X$64:$X$135,$V$64:$V$135,$BR31,$W$64:$W$135,BS$29)+SUMIFS($Y$64:$Y$135,$W$64:$W$135,$BR31,$V$64:$V$135,BS$29)</f>
        <v>7</v>
      </c>
      <c r="BT31" s="7"/>
      <c r="BU31" s="8">
        <f t="shared" ca="1" si="35"/>
        <v>0</v>
      </c>
      <c r="BV31" s="8">
        <f t="shared" ca="1" si="35"/>
        <v>0</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
      </c>
      <c r="BS32" s="9">
        <f t="shared" ca="1" si="37"/>
        <v>0</v>
      </c>
      <c r="BT32" s="9">
        <f t="shared" ca="1" si="37"/>
        <v>0</v>
      </c>
      <c r="BU32" s="7"/>
      <c r="BV32" s="8">
        <f t="shared" ca="1" si="35"/>
        <v>0</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
      </c>
      <c r="BS33" s="9">
        <f t="shared" ca="1" si="37"/>
        <v>0</v>
      </c>
      <c r="BT33" s="9">
        <f t="shared" ca="1" si="37"/>
        <v>0</v>
      </c>
      <c r="BU33" s="9">
        <f t="shared" ca="1" si="37"/>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SSV Wildbach</v>
      </c>
      <c r="BU40" s="2" t="str">
        <f ca="1">$F$6</f>
        <v/>
      </c>
      <c r="BV40" s="2" t="str">
        <f ca="1">$F$7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Maibach 1822 eV</v>
      </c>
      <c r="BS41" s="7"/>
      <c r="BT41" s="8">
        <f ca="1">BT30-BS31</f>
        <v>-7</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SSV Wildbach</v>
      </c>
      <c r="BS42" s="9">
        <f ca="1">IF(BT41="","",-1*BT41)</f>
        <v>7</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SSV Wildbach</v>
      </c>
      <c r="BU51" s="2" t="str">
        <f ca="1">$F$6</f>
        <v/>
      </c>
      <c r="BV51" s="2" t="str">
        <f ca="1">$F$7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Maibach 1822 eV</v>
      </c>
      <c r="BS52" s="7"/>
      <c r="BT52" s="8">
        <f t="shared" ref="BT52:CA58" ca="1" si="41">SUMIFS($AE$64:$AE$135,$V$64:$V$135,$BR52,$W$64:$W$135,BT$51)+SUMIFS($AF$64:$AF$135,$W$64:$W$135,$BR52,$V$64:$V$135,BT$51)</f>
        <v>0</v>
      </c>
      <c r="BU52" s="8">
        <f t="shared" ca="1" si="41"/>
        <v>0</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SSV Wildbach</v>
      </c>
      <c r="BS53" s="9">
        <f t="shared" ref="BS53:BU60" ca="1" si="42">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
      </c>
      <c r="BS55" s="9">
        <f t="shared" ca="1" si="42"/>
        <v>0</v>
      </c>
      <c r="BT55" s="9">
        <f t="shared" ca="1" si="42"/>
        <v>0</v>
      </c>
      <c r="BU55" s="9">
        <f t="shared" ca="1" si="42"/>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551" t="s">
        <v>163</v>
      </c>
      <c r="AD63" s="164" t="s">
        <v>161</v>
      </c>
      <c r="AE63" s="847" t="s">
        <v>112</v>
      </c>
      <c r="AF63" s="847"/>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 ca="1">IF('Endrunde 4'!$AE26="","",'Endrunde 4'!$AE26)</f>
        <v>Maibach 1822 eV</v>
      </c>
      <c r="U64" s="66" t="s">
        <v>7</v>
      </c>
      <c r="V64" s="40" t="str">
        <f ca="1">'Endrunde 4'!$I12</f>
        <v>Maibach 1822 eV</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Maibach 1822 eV</v>
      </c>
      <c r="AA64" s="33">
        <f ca="1">IF(AND(V64&lt;&gt;"",W64&lt;&gt;"",V64&lt;&gt;W64,X64&lt;&gt;"",Y64&lt;&gt;""),1,0)</f>
        <v>0</v>
      </c>
      <c r="AB64" s="142" t="str">
        <f ca="1">IF(AA64&gt;0,X64&amp;Sprache!$E$71&amp;Y64,"")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 ca="1">IF('Endrunde 4'!$AE27="","",'Endrunde 4'!$AE27)</f>
        <v>SSV Wildbach</v>
      </c>
      <c r="U65" s="67" t="s">
        <v>8</v>
      </c>
      <c r="V65" s="41" t="str">
        <f ca="1">'Endrunde 4'!$I13</f>
        <v>1. FC Riedwald</v>
      </c>
      <c r="W65" s="13" t="str">
        <f ca="1">'Endrunde 4'!$K13</f>
        <v>FC Grönlingen</v>
      </c>
      <c r="X65" s="13">
        <f ca="1">IF(AND('Endrunde 4'!$L13&lt;&gt;"",'Endrunde 4'!$N13&lt;&gt;"",$V65&lt;&gt;$W65,$V65&lt;&gt;"",$W65&lt;&gt;""),'Endrunde 4'!$L13,"")</f>
        <v>2</v>
      </c>
      <c r="Y65" s="36">
        <f ca="1">IF(AND('Endrunde 4'!$L13&lt;&gt;"",'Endrunde 4'!$N13&lt;&gt;"",$V65&lt;&gt;$W65,$V65&lt;&gt;"",$W65&lt;&gt;""),'Endrunde 4'!$N13,"")</f>
        <v>4</v>
      </c>
      <c r="Z65" s="35" t="str">
        <f t="shared" ref="Z65:Z73" ca="1" si="43">V65&amp;W65</f>
        <v>1. FC RiedwaldFC Grönlingen</v>
      </c>
      <c r="AA65" s="13">
        <f t="shared" ref="AA65:AA128" ca="1" si="44">IF(AND(V65&lt;&gt;"",W65&lt;&gt;"",V65&lt;&gt;W65,X65&lt;&gt;"",Y65&lt;&gt;""),1,0)</f>
        <v>1</v>
      </c>
      <c r="AB65" s="13" t="str">
        <f ca="1">IF(AA65&gt;0,X65&amp;Sprache!$E$71&amp;Y65,"")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 ca="1">IF('Endrunde 4'!$AE28="","",'Endrunde 4'!$AE28)</f>
        <v/>
      </c>
      <c r="U66" s="67" t="s">
        <v>9</v>
      </c>
      <c r="V66" s="41" t="str">
        <f ca="1">'Endrunde 4'!$I14</f>
        <v>FC Barcelona</v>
      </c>
      <c r="W66" s="13" t="str">
        <f ca="1">'Endrunde 4'!$K14</f>
        <v>Inter Mailand</v>
      </c>
      <c r="X66" s="13">
        <f ca="1">IF(AND('Endrunde 4'!$L14&lt;&gt;"",'Endrunde 4'!$N14&lt;&gt;"",$V66&lt;&gt;$W66,$V66&lt;&gt;"",$W66&lt;&gt;""),'Endrunde 4'!$L14,"")</f>
        <v>2</v>
      </c>
      <c r="Y66" s="36">
        <f ca="1">IF(AND('Endrunde 4'!$L14&lt;&gt;"",'Endrunde 4'!$N14&lt;&gt;"",$V66&lt;&gt;$W66,$V66&lt;&gt;"",$W66&lt;&gt;""),'Endrunde 4'!$N14,"")</f>
        <v>1</v>
      </c>
      <c r="Z66" s="35" t="str">
        <f t="shared" ca="1" si="43"/>
        <v>FC BarcelonaInter Mailand</v>
      </c>
      <c r="AA66" s="13">
        <f t="shared" ca="1" si="44"/>
        <v>1</v>
      </c>
      <c r="AB66" s="13" t="str">
        <f ca="1">IF(AA66&gt;0,X66&amp;Sprache!$E$71&amp;Y66,"")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4'!$AE29="","",'Endrunde 4'!$AE29)</f>
        <v/>
      </c>
      <c r="U67" s="67" t="s">
        <v>10</v>
      </c>
      <c r="V67" s="41" t="str">
        <f ca="1">'Endrunde 4'!$I15</f>
        <v>SSV Wildbach</v>
      </c>
      <c r="W67" s="13" t="str">
        <f ca="1">'Endrunde 4'!$K15</f>
        <v/>
      </c>
      <c r="X67" s="13" t="str">
        <f ca="1">IF(AND('Endrunde 4'!$L15&lt;&gt;"",'Endrunde 4'!$N15&lt;&gt;"",$V67&lt;&gt;$W67,$V67&lt;&gt;"",$W67&lt;&gt;""),'Endrunde 4'!$L15,"")</f>
        <v/>
      </c>
      <c r="Y67" s="36" t="str">
        <f ca="1">IF(AND('Endrunde 4'!$L15&lt;&gt;"",'Endrunde 4'!$N15&lt;&gt;"",$V67&lt;&gt;$W67,$V67&lt;&gt;"",$W67&lt;&gt;""),'Endrunde 4'!$N15,"")</f>
        <v/>
      </c>
      <c r="Z67" s="35" t="str">
        <f t="shared" ca="1" si="43"/>
        <v>SSV Wildbach</v>
      </c>
      <c r="AA67" s="13">
        <f t="shared" ca="1" si="44"/>
        <v>0</v>
      </c>
      <c r="AB67" s="13" t="str">
        <f ca="1">IF(AA67&gt;0,X67&amp;Sprache!$E$71&amp;Y67,"")</f>
        <v/>
      </c>
      <c r="AD67" s="144"/>
      <c r="AE67" s="149" t="str">
        <f ca="1">IF($AA67=0,"",IF($X67&gt;$Y67,Einstellungen!$C$4,IF($X67=$Y67,1,0)))</f>
        <v/>
      </c>
      <c r="AF67" s="144" t="str">
        <f ca="1">IF($AA67=0,"",IF($X67&lt;$Y67,Einstellungen!$C$4,IF($X67=$Y67,1,0)))</f>
        <v/>
      </c>
      <c r="AH67" s="4"/>
      <c r="AI67" s="13"/>
      <c r="AJ67" s="13"/>
      <c r="AK67" s="4"/>
      <c r="AL67" s="13"/>
      <c r="AM67" s="13"/>
      <c r="AN67" s="13"/>
      <c r="AO67" s="13"/>
      <c r="AP67" s="13"/>
      <c r="AQ67" s="13"/>
    </row>
    <row r="68" spans="2:43" s="2" customFormat="1" x14ac:dyDescent="0.2">
      <c r="P68" s="47"/>
      <c r="Q68" s="62" t="str">
        <f>""</f>
        <v/>
      </c>
      <c r="U68" s="67" t="s">
        <v>11</v>
      </c>
      <c r="V68" s="41" t="str">
        <f ca="1">'Endrunde 4'!$I16</f>
        <v>Mainz 05</v>
      </c>
      <c r="W68" s="13" t="str">
        <f ca="1">'Endrunde 4'!$K16</f>
        <v>VFB Essenheim</v>
      </c>
      <c r="X68" s="13">
        <f ca="1">IF(AND('Endrunde 4'!$L16&lt;&gt;"",'Endrunde 4'!$N16&lt;&gt;"",$V68&lt;&gt;$W68,$V68&lt;&gt;"",$W68&lt;&gt;""),'Endrunde 4'!$L16,"")</f>
        <v>5</v>
      </c>
      <c r="Y68" s="36">
        <f ca="1">IF(AND('Endrunde 4'!$L16&lt;&gt;"",'Endrunde 4'!$N16&lt;&gt;"",$V68&lt;&gt;$W68,$V68&lt;&gt;"",$W68&lt;&gt;""),'Endrunde 4'!$N16,"")</f>
        <v>1</v>
      </c>
      <c r="Z68" s="35" t="str">
        <f t="shared" ca="1" si="43"/>
        <v>Mainz 05VFB Essenheim</v>
      </c>
      <c r="AA68" s="13">
        <f t="shared" ca="1" si="44"/>
        <v>1</v>
      </c>
      <c r="AB68" s="13" t="str">
        <f ca="1">IF(AA68&gt;0,X68&amp;Sprache!$E$71&amp;Y68,"")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Manchester City</v>
      </c>
      <c r="W69" s="13" t="str">
        <f ca="1">'Endrunde 4'!$K17</f>
        <v>Eintracht Frankfurt</v>
      </c>
      <c r="X69" s="13">
        <f ca="1">IF(AND('Endrunde 4'!$L17&lt;&gt;"",'Endrunde 4'!$N17&lt;&gt;"",$V69&lt;&gt;$W69,$V69&lt;&gt;"",$W69&lt;&gt;""),'Endrunde 4'!$L17,"")</f>
        <v>2</v>
      </c>
      <c r="Y69" s="36">
        <f ca="1">IF(AND('Endrunde 4'!$L17&lt;&gt;"",'Endrunde 4'!$N17&lt;&gt;"",$V69&lt;&gt;$W69,$V69&lt;&gt;"",$W69&lt;&gt;""),'Endrunde 4'!$N17,"")</f>
        <v>0</v>
      </c>
      <c r="Z69" s="35" t="str">
        <f t="shared" ca="1" si="43"/>
        <v>Manchester CityEintracht Frankfurt</v>
      </c>
      <c r="AA69" s="13">
        <f t="shared" ca="1" si="44"/>
        <v>1</v>
      </c>
      <c r="AB69" s="13" t="str">
        <f ca="1">IF(AA69&gt;0,X69&amp;Sprache!$E$71&amp;Y69,"")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Maibach 1822 eV</v>
      </c>
      <c r="W70" s="13" t="str">
        <f ca="1">'Endrunde 4'!$K18</f>
        <v/>
      </c>
      <c r="X70" s="13" t="str">
        <f ca="1">IF(AND('Endrunde 4'!$L18&lt;&gt;"",'Endrunde 4'!$N18&lt;&gt;"",$V70&lt;&gt;$W70,$V70&lt;&gt;"",$W70&lt;&gt;""),'Endrunde 4'!$L18,"")</f>
        <v/>
      </c>
      <c r="Y70" s="36" t="str">
        <f ca="1">IF(AND('Endrunde 4'!$L18&lt;&gt;"",'Endrunde 4'!$N18&lt;&gt;"",$V70&lt;&gt;$W70,$V70&lt;&gt;"",$W70&lt;&gt;""),'Endrunde 4'!$N18,"")</f>
        <v/>
      </c>
      <c r="Z70" s="35" t="str">
        <f t="shared" ca="1" si="43"/>
        <v>Maibach 1822 eV</v>
      </c>
      <c r="AA70" s="13">
        <f t="shared" ca="1" si="44"/>
        <v>0</v>
      </c>
      <c r="AB70" s="13" t="str">
        <f ca="1">IF(AA70&gt;0,X70&amp;Sprache!$E$71&amp;Y70,"")</f>
        <v/>
      </c>
      <c r="AD70" s="144"/>
      <c r="AE70" s="149" t="str">
        <f ca="1">IF($AA70=0,"",IF($X70&gt;$Y70,Einstellungen!$C$4,IF($X70=$Y70,1,0)))</f>
        <v/>
      </c>
      <c r="AF70" s="144" t="str">
        <f ca="1">IF($AA70=0,"",IF($X70&lt;$Y70,Einstellungen!$C$4,IF($X70=$Y70,1,0)))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1. FC Riedwald</v>
      </c>
      <c r="W71" s="13" t="str">
        <f ca="1">'Endrunde 4'!$K19</f>
        <v>VFB Essenheim</v>
      </c>
      <c r="X71" s="13">
        <f ca="1">IF(AND('Endrunde 4'!$L19&lt;&gt;"",'Endrunde 4'!$N19&lt;&gt;"",$V71&lt;&gt;$W71,$V71&lt;&gt;"",$W71&lt;&gt;""),'Endrunde 4'!$L19,"")</f>
        <v>5</v>
      </c>
      <c r="Y71" s="36">
        <f ca="1">IF(AND('Endrunde 4'!$L19&lt;&gt;"",'Endrunde 4'!$N19&lt;&gt;"",$V71&lt;&gt;$W71,$V71&lt;&gt;"",$W71&lt;&gt;""),'Endrunde 4'!$N19,"")</f>
        <v>3</v>
      </c>
      <c r="Z71" s="35" t="str">
        <f t="shared" ca="1" si="43"/>
        <v>1. FC RiedwaldVFB Essenheim</v>
      </c>
      <c r="AA71" s="13">
        <f t="shared" ca="1" si="44"/>
        <v>1</v>
      </c>
      <c r="AB71" s="13" t="str">
        <f ca="1">IF(AA71&gt;0,X71&amp;Sprache!$E$71&amp;Y71,"")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FC Barcelona</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FC BarcelonaEintracht Frankfurt</v>
      </c>
      <c r="AA72" s="13">
        <f t="shared" ca="1" si="44"/>
        <v>1</v>
      </c>
      <c r="AB72" s="13" t="str">
        <f ca="1">IF(AA72&gt;0,X72&amp;Sprache!$E$71&amp;Y72,"")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SSV Wildbach</v>
      </c>
      <c r="W73" s="13" t="str">
        <f ca="1">'Endrunde 4'!$K21</f>
        <v/>
      </c>
      <c r="X73" s="13" t="str">
        <f ca="1">IF(AND('Endrunde 4'!$L21&lt;&gt;"",'Endrunde 4'!$N21&lt;&gt;"",$V73&lt;&gt;$W73,$V73&lt;&gt;"",$W73&lt;&gt;""),'Endrunde 4'!$L21,"")</f>
        <v/>
      </c>
      <c r="Y73" s="36" t="str">
        <f ca="1">IF(AND('Endrunde 4'!$L21&lt;&gt;"",'Endrunde 4'!$N21&lt;&gt;"",$V73&lt;&gt;$W73,$V73&lt;&gt;"",$W73&lt;&gt;""),'Endrunde 4'!$N21,"")</f>
        <v/>
      </c>
      <c r="Z73" s="35" t="str">
        <f t="shared" ca="1" si="43"/>
        <v>SSV Wildbach</v>
      </c>
      <c r="AA73" s="13">
        <f t="shared" ca="1" si="44"/>
        <v>0</v>
      </c>
      <c r="AB73" s="13" t="str">
        <f ca="1">IF(AA73&gt;0,X73&amp;Sprache!$E$71&amp;Y73,"")</f>
        <v/>
      </c>
      <c r="AD73" s="144"/>
      <c r="AE73" s="149" t="str">
        <f ca="1">IF($AA73=0,"",IF($X73&gt;$Y73,Einstellungen!$C$4,IF($X73=$Y73,1,0)))</f>
        <v/>
      </c>
      <c r="AF73" s="144" t="str">
        <f ca="1">IF($AA73=0,"",IF($X73&lt;$Y73,Einstellungen!$C$4,IF($X73=$Y73,1,0)))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Mainz 05</v>
      </c>
      <c r="W74" s="13" t="str">
        <f ca="1">'Endrunde 4'!$K22</f>
        <v>FC Grönlingen</v>
      </c>
      <c r="X74" s="13">
        <f ca="1">IF(AND('Endrunde 4'!$L22&lt;&gt;"",'Endrunde 4'!$N22&lt;&gt;"",$V74&lt;&gt;$W74,$V74&lt;&gt;"",$W74&lt;&gt;""),'Endrunde 4'!$L22,"")</f>
        <v>4</v>
      </c>
      <c r="Y74" s="36">
        <f ca="1">IF(AND('Endrunde 4'!$L22&lt;&gt;"",'Endrunde 4'!$N22&lt;&gt;"",$V74&lt;&gt;$W74,$V74&lt;&gt;"",$W74&lt;&gt;""),'Endrunde 4'!$N22,"")</f>
        <v>2</v>
      </c>
      <c r="Z74" s="35" t="str">
        <f ca="1">V74&amp;W74</f>
        <v>Mainz 05FC Grönlingen</v>
      </c>
      <c r="AA74" s="13">
        <f t="shared" ca="1" si="44"/>
        <v>1</v>
      </c>
      <c r="AB74" s="13" t="str">
        <f ca="1">IF(AA74&gt;0,X74&amp;Sprache!$E$71&amp;Y74,"")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Manchester City</v>
      </c>
      <c r="W75" s="13" t="str">
        <f ca="1">'Endrunde 4'!$K23</f>
        <v>Inter Mailand</v>
      </c>
      <c r="X75" s="13">
        <f ca="1">IF(AND('Endrunde 4'!$L23&lt;&gt;"",'Endrunde 4'!$N23&lt;&gt;"",$V75&lt;&gt;$W75,$V75&lt;&gt;"",$W75&lt;&gt;""),'Endrunde 4'!$L23,"")</f>
        <v>4</v>
      </c>
      <c r="Y75" s="36">
        <f ca="1">IF(AND('Endrunde 4'!$L23&lt;&gt;"",'Endrunde 4'!$N23&lt;&gt;"",$V75&lt;&gt;$W75,$V75&lt;&gt;"",$W75&lt;&gt;""),'Endrunde 4'!$N23,"")</f>
        <v>3</v>
      </c>
      <c r="Z75" s="35" t="str">
        <f t="shared" ref="Z75:Z93" ca="1" si="45">V75&amp;W75</f>
        <v>Manchester CityInter Mailand</v>
      </c>
      <c r="AA75" s="13">
        <f t="shared" ca="1" si="44"/>
        <v>1</v>
      </c>
      <c r="AB75" s="13" t="str">
        <f ca="1">IF(AA75&gt;0,X75&amp;Sprache!$E$71&amp;Y75,"")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
      </c>
      <c r="W76" s="13" t="str">
        <f ca="1">'Endrunde 4'!$K24</f>
        <v/>
      </c>
      <c r="X76" s="13" t="str">
        <f ca="1">IF(AND('Endrunde 4'!$L24&lt;&gt;"",'Endrunde 4'!$N24&lt;&gt;"",$V76&lt;&gt;$W76,$V76&lt;&gt;"",$W76&lt;&gt;""),'Endrunde 4'!$L24,"")</f>
        <v/>
      </c>
      <c r="Y76" s="36" t="str">
        <f ca="1">IF(AND('Endrunde 4'!$L24&lt;&gt;"",'Endrunde 4'!$N24&lt;&gt;"",$V76&lt;&gt;$W76,$V76&lt;&gt;"",$W76&lt;&gt;""),'Endrunde 4'!$N24,"")</f>
        <v/>
      </c>
      <c r="Z76" s="35" t="str">
        <f t="shared" ca="1" si="45"/>
        <v/>
      </c>
      <c r="AA76" s="13">
        <f t="shared" ca="1" si="44"/>
        <v>0</v>
      </c>
      <c r="AB76" s="13" t="str">
        <f ca="1">IF(AA76&gt;0,X76&amp;Sprache!$E$71&amp;Y76,"")</f>
        <v/>
      </c>
      <c r="AD76" s="144"/>
      <c r="AE76" s="149" t="str">
        <f ca="1">IF($AA76=0,"",IF($X76&gt;$Y76,Einstellungen!$C$4,IF($X76=$Y76,1,0)))</f>
        <v/>
      </c>
      <c r="AF76" s="144" t="str">
        <f ca="1">IF($AA76=0,"",IF($X76&lt;$Y76,Einstellungen!$C$4,IF($X76=$Y76,1,0)))</f>
        <v/>
      </c>
    </row>
    <row r="77" spans="2:43" s="2" customFormat="1" x14ac:dyDescent="0.2">
      <c r="B77" s="4"/>
      <c r="C77" s="4"/>
      <c r="D77" s="4"/>
      <c r="E77" s="4"/>
      <c r="F77" s="13"/>
      <c r="G77" s="13"/>
      <c r="H77" s="13"/>
      <c r="I77" s="13"/>
      <c r="J77" s="13"/>
      <c r="K77" s="13"/>
      <c r="L77" s="13"/>
      <c r="M77" s="13"/>
      <c r="U77" s="67" t="s">
        <v>29</v>
      </c>
      <c r="V77" s="41" t="str">
        <f ca="1">'Endrunde 4'!$I25</f>
        <v>VFB Essenheim</v>
      </c>
      <c r="W77" s="13" t="str">
        <f ca="1">'Endrunde 4'!$K25</f>
        <v>FC Grönlingen</v>
      </c>
      <c r="X77" s="13">
        <f ca="1">IF(AND('Endrunde 4'!$L25&lt;&gt;"",'Endrunde 4'!$N25&lt;&gt;"",$V77&lt;&gt;$W77,$V77&lt;&gt;"",$W77&lt;&gt;""),'Endrunde 4'!$L25,"")</f>
        <v>1</v>
      </c>
      <c r="Y77" s="36">
        <f ca="1">IF(AND('Endrunde 4'!$L25&lt;&gt;"",'Endrunde 4'!$N25&lt;&gt;"",$V77&lt;&gt;$W77,$V77&lt;&gt;"",$W77&lt;&gt;""),'Endrunde 4'!$N25,"")</f>
        <v>5</v>
      </c>
      <c r="Z77" s="35" t="str">
        <f t="shared" ca="1" si="45"/>
        <v>VFB EssenheimFC Grönlingen</v>
      </c>
      <c r="AA77" s="13">
        <f t="shared" ca="1" si="44"/>
        <v>1</v>
      </c>
      <c r="AB77" s="13" t="str">
        <f ca="1">IF(AA77&gt;0,X77&amp;Sprache!$E$71&amp;Y77,"")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Eintracht Frankfurt</v>
      </c>
      <c r="W78" s="13" t="str">
        <f ca="1">'Endrunde 4'!$K26</f>
        <v>Inter Mailand</v>
      </c>
      <c r="X78" s="13">
        <f ca="1">IF(AND('Endrunde 4'!$L26&lt;&gt;"",'Endrunde 4'!$N26&lt;&gt;"",$V78&lt;&gt;$W78,$V78&lt;&gt;"",$W78&lt;&gt;""),'Endrunde 4'!$L26,"")</f>
        <v>4</v>
      </c>
      <c r="Y78" s="36">
        <f ca="1">IF(AND('Endrunde 4'!$L26&lt;&gt;"",'Endrunde 4'!$N26&lt;&gt;"",$V78&lt;&gt;$W78,$V78&lt;&gt;"",$W78&lt;&gt;""),'Endrunde 4'!$N26,"")</f>
        <v>4</v>
      </c>
      <c r="Z78" s="35" t="str">
        <f t="shared" ca="1" si="45"/>
        <v>Eintracht FrankfurtInter Mailand</v>
      </c>
      <c r="AA78" s="13">
        <f t="shared" ca="1" si="44"/>
        <v>1</v>
      </c>
      <c r="AB78" s="13" t="str">
        <f ca="1">IF(AA78&gt;0,X78&amp;Sprache!$E$71&amp;Y78,"")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Maibach 1822 eV</v>
      </c>
      <c r="W79" s="13" t="str">
        <f ca="1">'Endrunde 4'!$K27</f>
        <v>SSV Wildbach</v>
      </c>
      <c r="X79" s="13">
        <f ca="1">IF(AND('Endrunde 4'!$L27&lt;&gt;"",'Endrunde 4'!$N27&lt;&gt;"",$V79&lt;&gt;$W79,$V79&lt;&gt;"",$W79&lt;&gt;""),'Endrunde 4'!$L27,"")</f>
        <v>0</v>
      </c>
      <c r="Y79" s="36">
        <f ca="1">IF(AND('Endrunde 4'!$L27&lt;&gt;"",'Endrunde 4'!$N27&lt;&gt;"",$V79&lt;&gt;$W79,$V79&lt;&gt;"",$W79&lt;&gt;""),'Endrunde 4'!$N27,"")</f>
        <v>7</v>
      </c>
      <c r="Z79" s="35" t="str">
        <f t="shared" ca="1" si="45"/>
        <v>Maibach 1822 eVSSV Wildbach</v>
      </c>
      <c r="AA79" s="13">
        <f t="shared" ca="1" si="44"/>
        <v>1</v>
      </c>
      <c r="AB79" s="13" t="str">
        <f ca="1">IF(AA79&gt;0,X79&amp;Sprache!$E$71&amp;Y79,"")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1. FC Riedwald</v>
      </c>
      <c r="W80" s="13" t="str">
        <f ca="1">'Endrunde 4'!$K28</f>
        <v>Mainz 05</v>
      </c>
      <c r="X80" s="13">
        <f ca="1">IF(AND('Endrunde 4'!$L28&lt;&gt;"",'Endrunde 4'!$N28&lt;&gt;"",$V80&lt;&gt;$W80,$V80&lt;&gt;"",$W80&lt;&gt;""),'Endrunde 4'!$L28,"")</f>
        <v>2</v>
      </c>
      <c r="Y80" s="36">
        <f ca="1">IF(AND('Endrunde 4'!$L28&lt;&gt;"",'Endrunde 4'!$N28&lt;&gt;"",$V80&lt;&gt;$W80,$V80&lt;&gt;"",$W80&lt;&gt;""),'Endrunde 4'!$N28,"")</f>
        <v>8</v>
      </c>
      <c r="Z80" s="35" t="str">
        <f t="shared" ca="1" si="45"/>
        <v>1. FC RiedwaldMainz 05</v>
      </c>
      <c r="AA80" s="13">
        <f t="shared" ca="1" si="44"/>
        <v>1</v>
      </c>
      <c r="AB80" s="13" t="str">
        <f ca="1">IF(AA80&gt;0,X80&amp;Sprache!$E$71&amp;Y80,"")</f>
        <v>2:8</v>
      </c>
      <c r="AD80" s="144"/>
      <c r="AE80" s="149">
        <f ca="1">IF($AA80=0,"",IF($X80&gt;$Y80,Einstellungen!$C$4,IF($X80=$Y80,1,0)))</f>
        <v>0</v>
      </c>
      <c r="AF80" s="144">
        <f ca="1">IF($AA80=0,"",IF($X80&lt;$Y80,Einstellungen!$C$4,IF($X80=$Y80,1,0)))</f>
        <v>3</v>
      </c>
    </row>
    <row r="81" spans="2:32" s="2" customFormat="1" ht="12.75" thickBot="1" x14ac:dyDescent="0.25">
      <c r="B81" s="4"/>
      <c r="C81" s="4"/>
      <c r="D81" s="4"/>
      <c r="E81" s="4"/>
      <c r="F81" s="13"/>
      <c r="G81" s="13"/>
      <c r="H81" s="13"/>
      <c r="I81" s="13"/>
      <c r="J81" s="13"/>
      <c r="K81" s="13"/>
      <c r="L81" s="13"/>
      <c r="M81" s="13"/>
      <c r="U81" s="577" t="s">
        <v>33</v>
      </c>
      <c r="V81" s="578" t="str">
        <f ca="1">'Endrunde 4'!$I29</f>
        <v>FC Barcelona</v>
      </c>
      <c r="W81" s="579" t="str">
        <f ca="1">'Endrunde 4'!$K29</f>
        <v>Manchester City</v>
      </c>
      <c r="X81" s="579">
        <f ca="1">IF(AND('Endrunde 4'!$L29&lt;&gt;"",'Endrunde 4'!$N29&lt;&gt;"",$V81&lt;&gt;$W81,$V81&lt;&gt;"",$W81&lt;&gt;""),'Endrunde 4'!$L29,"")</f>
        <v>4</v>
      </c>
      <c r="Y81" s="580">
        <f ca="1">IF(AND('Endrunde 4'!$L29&lt;&gt;"",'Endrunde 4'!$N29&lt;&gt;"",$V81&lt;&gt;$W81,$V81&lt;&gt;"",$W81&lt;&gt;""),'Endrunde 4'!$N29,"")</f>
        <v>0</v>
      </c>
      <c r="Z81" s="581" t="str">
        <f t="shared" ca="1" si="45"/>
        <v>FC BarcelonaManchester City</v>
      </c>
      <c r="AA81" s="579">
        <f t="shared" ca="1" si="44"/>
        <v>1</v>
      </c>
      <c r="AB81" s="579" t="str">
        <f ca="1">IF(AA81&gt;0,X81&amp;Sprache!$E$71&amp;Y81,"")</f>
        <v>4:0</v>
      </c>
      <c r="AC81" s="582"/>
      <c r="AD81" s="583"/>
      <c r="AE81" s="584">
        <f ca="1">IF($AA81=0,"",IF($X81&gt;$Y81,Einstellungen!$C$4,IF($X81=$Y81,1,0)))</f>
        <v>3</v>
      </c>
      <c r="AF81" s="583">
        <f ca="1">IF($AA81=0,"",IF($X81&lt;$Y81,Einstellungen!$C$4,IF($X81=$Y81,1,0)))</f>
        <v>0</v>
      </c>
    </row>
    <row r="82" spans="2:32" s="2" customFormat="1" ht="12.75" thickTop="1" x14ac:dyDescent="0.2">
      <c r="B82" s="4"/>
      <c r="C82" s="4"/>
      <c r="D82" s="4"/>
      <c r="E82" s="4"/>
      <c r="F82" s="13"/>
      <c r="G82" s="13"/>
      <c r="H82" s="13"/>
      <c r="I82" s="13"/>
      <c r="J82" s="13"/>
      <c r="K82" s="13"/>
      <c r="L82" s="13"/>
      <c r="M82" s="13"/>
      <c r="U82" s="585" t="s">
        <v>34</v>
      </c>
      <c r="V82" s="586" t="str">
        <f>""</f>
        <v/>
      </c>
      <c r="W82" s="587" t="str">
        <f>""</f>
        <v/>
      </c>
      <c r="X82" s="587" t="str">
        <f>""</f>
        <v/>
      </c>
      <c r="Y82" s="588" t="str">
        <f>""</f>
        <v/>
      </c>
      <c r="Z82" s="589" t="str">
        <f t="shared" si="45"/>
        <v/>
      </c>
      <c r="AA82" s="587">
        <f t="shared" si="44"/>
        <v>0</v>
      </c>
      <c r="AB82" s="587" t="str">
        <f>IF(AA82&gt;0,X82&amp;Sprache!$E$71&amp;Y82,"")</f>
        <v/>
      </c>
      <c r="AC82" s="590"/>
      <c r="AD82" s="591"/>
      <c r="AE82" s="592" t="str">
        <f>IF($AA82=0,"",IF($X82&gt;$Y82,Einstellungen!$C$4,IF($X82=$Y82,1,0)))</f>
        <v/>
      </c>
      <c r="AF82" s="591" t="str">
        <f>IF($AA82=0,"",IF($X82&lt;$Y82,Einstellungen!$C$4,IF($X82=$Y82,1,0)))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5"/>
        <v/>
      </c>
      <c r="AA83" s="13">
        <f t="shared" si="44"/>
        <v>0</v>
      </c>
      <c r="AB83" s="13" t="str">
        <f>IF(AA83&gt;0,X83&amp;Sprache!$E$71&amp;Y83,"")</f>
        <v/>
      </c>
      <c r="AD83" s="144"/>
      <c r="AE83" s="149" t="str">
        <f>IF($AA83=0,"",IF($X83&gt;$Y83,Einstellungen!$C$4,IF($X83=$Y83,1,0)))</f>
        <v/>
      </c>
      <c r="AF83" s="144" t="str">
        <f>IF($AA83=0,"",IF($X83&lt;$Y83,Einstellungen!$C$4,IF($X83=$Y83,1,0)))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5"/>
        <v/>
      </c>
      <c r="AA84" s="13">
        <f t="shared" si="44"/>
        <v>0</v>
      </c>
      <c r="AB84" s="13" t="str">
        <f>IF(AA84&gt;0,X84&amp;Sprache!$E$71&amp;Y84,"")</f>
        <v/>
      </c>
      <c r="AD84" s="144"/>
      <c r="AE84" s="149" t="str">
        <f>IF($AA84=0,"",IF($X84&gt;$Y84,Einstellungen!$C$4,IF($X84=$Y84,1,0)))</f>
        <v/>
      </c>
      <c r="AF84" s="144" t="str">
        <f>IF($AA84=0,"",IF($X84&lt;$Y84,Einstellungen!$C$4,IF($X84=$Y84,1,0)))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5"/>
        <v/>
      </c>
      <c r="AA85" s="13">
        <f t="shared" si="44"/>
        <v>0</v>
      </c>
      <c r="AB85" s="13" t="str">
        <f>IF(AA85&gt;0,X85&amp;Sprache!$E$71&amp;Y85,"")</f>
        <v/>
      </c>
      <c r="AD85" s="144"/>
      <c r="AE85" s="149" t="str">
        <f>IF($AA85=0,"",IF($X85&gt;$Y85,Einstellungen!$C$4,IF($X85=$Y85,1,0)))</f>
        <v/>
      </c>
      <c r="AF85" s="144" t="str">
        <f>IF($AA85=0,"",IF($X85&lt;$Y85,Einstellungen!$C$4,IF($X85=$Y85,1,0)))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5"/>
        <v/>
      </c>
      <c r="AA86" s="13">
        <f t="shared" si="44"/>
        <v>0</v>
      </c>
      <c r="AB86" s="13" t="str">
        <f>IF(AA86&gt;0,X86&amp;Sprache!$E$71&amp;Y86,"")</f>
        <v/>
      </c>
      <c r="AD86" s="144"/>
      <c r="AE86" s="149" t="str">
        <f>IF($AA86=0,"",IF($X86&gt;$Y86,Einstellungen!$C$4,IF($X86=$Y86,1,0)))</f>
        <v/>
      </c>
      <c r="AF86" s="144" t="str">
        <f>IF($AA86=0,"",IF($X86&lt;$Y86,Einstellungen!$C$4,IF($X86=$Y86,1,0)))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5"/>
        <v/>
      </c>
      <c r="AA87" s="13">
        <f t="shared" si="44"/>
        <v>0</v>
      </c>
      <c r="AB87" s="13" t="str">
        <f>IF(AA87&gt;0,X87&amp;Sprache!$E$71&amp;Y87,"")</f>
        <v/>
      </c>
      <c r="AD87" s="144"/>
      <c r="AE87" s="149" t="str">
        <f>IF($AA87=0,"",IF($X87&gt;$Y87,Einstellungen!$C$4,IF($X87=$Y87,1,0)))</f>
        <v/>
      </c>
      <c r="AF87" s="144" t="str">
        <f>IF($AA87=0,"",IF($X87&lt;$Y87,Einstellungen!$C$4,IF($X87=$Y87,1,0)))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5"/>
        <v/>
      </c>
      <c r="AA88" s="13">
        <f t="shared" si="44"/>
        <v>0</v>
      </c>
      <c r="AB88" s="13" t="str">
        <f>IF(AA88&gt;0,X88&amp;Sprache!$E$71&amp;Y88,"")</f>
        <v/>
      </c>
      <c r="AD88" s="144"/>
      <c r="AE88" s="149" t="str">
        <f>IF($AA88=0,"",IF($X88&gt;$Y88,Einstellungen!$C$4,IF($X88=$Y88,1,0)))</f>
        <v/>
      </c>
      <c r="AF88" s="144" t="str">
        <f>IF($AA88=0,"",IF($X88&lt;$Y88,Einstellungen!$C$4,IF($X88=$Y88,1,0)))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IF(AA89&gt;0,X89&amp;Sprache!$E$71&amp;Y89,"")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IF(AA90&gt;0,X90&amp;Sprache!$E$71&amp;Y90,"")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IF(AA91&gt;0,X91&amp;Sprache!$E$71&amp;Y91,"")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IF(AA92&gt;0,X92&amp;Sprache!$E$71&amp;Y92,"")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IF(AA93&gt;0,X93&amp;Sprache!$E$71&amp;Y93,"")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Maibach 1822 eV</v>
      </c>
      <c r="AA136" s="33">
        <f ca="1">AA64</f>
        <v>0</v>
      </c>
      <c r="AB136" s="13" t="str">
        <f ca="1">IF(AA136&gt;0,Y64&amp;Sprache!$E$71&amp;X64,"")</f>
        <v/>
      </c>
      <c r="AD136" s="144"/>
    </row>
    <row r="137" spans="2:32" x14ac:dyDescent="0.2">
      <c r="Y137" s="67" t="s">
        <v>8</v>
      </c>
      <c r="Z137" s="35" t="str">
        <f ca="1">W65&amp;V65</f>
        <v>FC Grönlingen1. FC Riedwald</v>
      </c>
      <c r="AA137" s="13">
        <f t="shared" ref="AA137:AA200" ca="1" si="47">AA65</f>
        <v>1</v>
      </c>
      <c r="AB137" s="13" t="str">
        <f ca="1">IF(AA137&gt;0,Y65&amp;Sprache!$E$71&amp;X65,"")</f>
        <v>4:2</v>
      </c>
      <c r="AC137" s="2"/>
      <c r="AD137" s="144"/>
    </row>
    <row r="138" spans="2:32" x14ac:dyDescent="0.2">
      <c r="Y138" s="67" t="s">
        <v>9</v>
      </c>
      <c r="Z138" s="35" t="str">
        <f t="shared" ref="Z138:Z201" ca="1" si="48">W66&amp;V66</f>
        <v>Inter MailandFC Barcelona</v>
      </c>
      <c r="AA138" s="13">
        <f t="shared" ca="1" si="47"/>
        <v>1</v>
      </c>
      <c r="AB138" s="13" t="str">
        <f ca="1">IF(AA138&gt;0,Y66&amp;Sprache!$E$71&amp;X66,"")</f>
        <v>1:2</v>
      </c>
      <c r="AC138" s="2"/>
      <c r="AD138" s="144"/>
    </row>
    <row r="139" spans="2:32" x14ac:dyDescent="0.2">
      <c r="Y139" s="67" t="s">
        <v>10</v>
      </c>
      <c r="Z139" s="35" t="str">
        <f t="shared" ca="1" si="48"/>
        <v>SSV Wildbach</v>
      </c>
      <c r="AA139" s="13">
        <f t="shared" ca="1" si="47"/>
        <v>0</v>
      </c>
      <c r="AB139" s="13" t="str">
        <f ca="1">IF(AA139&gt;0,Y67&amp;Sprache!$E$71&amp;X67,"")</f>
        <v/>
      </c>
      <c r="AC139" s="2"/>
      <c r="AD139" s="144"/>
    </row>
    <row r="140" spans="2:32" x14ac:dyDescent="0.2">
      <c r="Y140" s="67" t="s">
        <v>11</v>
      </c>
      <c r="Z140" s="35" t="str">
        <f t="shared" ca="1" si="48"/>
        <v>VFB EssenheimMainz 05</v>
      </c>
      <c r="AA140" s="13">
        <f t="shared" ca="1" si="47"/>
        <v>1</v>
      </c>
      <c r="AB140" s="13" t="str">
        <f ca="1">IF(AA140&gt;0,Y68&amp;Sprache!$E$71&amp;X68,"")</f>
        <v>1:5</v>
      </c>
      <c r="AC140" s="2"/>
      <c r="AD140" s="144"/>
    </row>
    <row r="141" spans="2:32" x14ac:dyDescent="0.2">
      <c r="Y141" s="67" t="s">
        <v>12</v>
      </c>
      <c r="Z141" s="35" t="str">
        <f t="shared" ca="1" si="48"/>
        <v>Eintracht FrankfurtManchester City</v>
      </c>
      <c r="AA141" s="13">
        <f t="shared" ca="1" si="47"/>
        <v>1</v>
      </c>
      <c r="AB141" s="13" t="str">
        <f ca="1">IF(AA141&gt;0,Y69&amp;Sprache!$E$71&amp;X69,"")</f>
        <v>0:2</v>
      </c>
      <c r="AC141" s="2"/>
      <c r="AD141" s="144"/>
    </row>
    <row r="142" spans="2:32" x14ac:dyDescent="0.2">
      <c r="Y142" s="67" t="s">
        <v>17</v>
      </c>
      <c r="Z142" s="35" t="str">
        <f t="shared" ca="1" si="48"/>
        <v>Maibach 1822 eV</v>
      </c>
      <c r="AA142" s="13">
        <f t="shared" ca="1" si="47"/>
        <v>0</v>
      </c>
      <c r="AB142" s="13" t="str">
        <f ca="1">IF(AA142&gt;0,Y70&amp;Sprache!$E$71&amp;X70,"")</f>
        <v/>
      </c>
      <c r="AC142" s="2"/>
      <c r="AD142" s="144"/>
    </row>
    <row r="143" spans="2:32" x14ac:dyDescent="0.2">
      <c r="Y143" s="67" t="s">
        <v>18</v>
      </c>
      <c r="Z143" s="35" t="str">
        <f t="shared" ca="1" si="48"/>
        <v>VFB Essenheim1. FC Riedwald</v>
      </c>
      <c r="AA143" s="13">
        <f t="shared" ca="1" si="47"/>
        <v>1</v>
      </c>
      <c r="AB143" s="13" t="str">
        <f ca="1">IF(AA143&gt;0,Y71&amp;Sprache!$E$71&amp;X71,"")</f>
        <v>3:5</v>
      </c>
      <c r="AC143" s="2"/>
      <c r="AD143" s="144"/>
    </row>
    <row r="144" spans="2:32" x14ac:dyDescent="0.2">
      <c r="Y144" s="67" t="s">
        <v>19</v>
      </c>
      <c r="Z144" s="35" t="str">
        <f t="shared" ca="1" si="48"/>
        <v>Eintracht FrankfurtFC Barcelona</v>
      </c>
      <c r="AA144" s="13">
        <f t="shared" ca="1" si="47"/>
        <v>1</v>
      </c>
      <c r="AB144" s="13" t="str">
        <f ca="1">IF(AA144&gt;0,Y72&amp;Sprache!$E$71&amp;X72,"")</f>
        <v>1:2</v>
      </c>
      <c r="AC144" s="2"/>
      <c r="AD144" s="144"/>
    </row>
    <row r="145" spans="25:30" x14ac:dyDescent="0.2">
      <c r="Y145" s="67" t="s">
        <v>25</v>
      </c>
      <c r="Z145" s="35" t="str">
        <f t="shared" ca="1" si="48"/>
        <v>SSV Wildbach</v>
      </c>
      <c r="AA145" s="13">
        <f t="shared" ca="1" si="47"/>
        <v>0</v>
      </c>
      <c r="AB145" s="13" t="str">
        <f ca="1">IF(AA145&gt;0,Y73&amp;Sprache!$E$71&amp;X73,"")</f>
        <v/>
      </c>
      <c r="AC145" s="2"/>
      <c r="AD145" s="144"/>
    </row>
    <row r="146" spans="25:30" x14ac:dyDescent="0.2">
      <c r="Y146" s="67" t="s">
        <v>26</v>
      </c>
      <c r="Z146" s="35" t="str">
        <f t="shared" ca="1" si="48"/>
        <v>FC GrönlingenMainz 05</v>
      </c>
      <c r="AA146" s="13">
        <f t="shared" ca="1" si="47"/>
        <v>1</v>
      </c>
      <c r="AB146" s="13" t="str">
        <f ca="1">IF(AA146&gt;0,Y74&amp;Sprache!$E$71&amp;X74,"")</f>
        <v>2:4</v>
      </c>
      <c r="AC146" s="2"/>
      <c r="AD146" s="144"/>
    </row>
    <row r="147" spans="25:30" x14ac:dyDescent="0.2">
      <c r="Y147" s="67" t="s">
        <v>27</v>
      </c>
      <c r="Z147" s="35" t="str">
        <f t="shared" ca="1" si="48"/>
        <v>Inter MailandManchester City</v>
      </c>
      <c r="AA147" s="13">
        <f t="shared" ca="1" si="47"/>
        <v>1</v>
      </c>
      <c r="AB147" s="13" t="str">
        <f ca="1">IF(AA147&gt;0,Y75&amp;Sprache!$E$71&amp;X75,"")</f>
        <v>3:4</v>
      </c>
      <c r="AC147" s="2"/>
      <c r="AD147" s="144"/>
    </row>
    <row r="148" spans="25:30" x14ac:dyDescent="0.2">
      <c r="Y148" s="67" t="s">
        <v>28</v>
      </c>
      <c r="Z148" s="35" t="str">
        <f t="shared" ca="1" si="48"/>
        <v/>
      </c>
      <c r="AA148" s="13">
        <f t="shared" ca="1" si="47"/>
        <v>0</v>
      </c>
      <c r="AB148" s="13" t="str">
        <f ca="1">IF(AA148&gt;0,Y76&amp;Sprache!$E$71&amp;X76,"")</f>
        <v/>
      </c>
      <c r="AC148" s="2"/>
      <c r="AD148" s="144"/>
    </row>
    <row r="149" spans="25:30" x14ac:dyDescent="0.2">
      <c r="Y149" s="67" t="s">
        <v>29</v>
      </c>
      <c r="Z149" s="35" t="str">
        <f t="shared" ca="1" si="48"/>
        <v>FC GrönlingenVFB Essenheim</v>
      </c>
      <c r="AA149" s="13">
        <f t="shared" ca="1" si="47"/>
        <v>1</v>
      </c>
      <c r="AB149" s="13" t="str">
        <f ca="1">IF(AA149&gt;0,Y77&amp;Sprache!$E$71&amp;X77,"")</f>
        <v>5:1</v>
      </c>
      <c r="AC149" s="2"/>
      <c r="AD149" s="144"/>
    </row>
    <row r="150" spans="25:30" x14ac:dyDescent="0.2">
      <c r="Y150" s="67" t="s">
        <v>30</v>
      </c>
      <c r="Z150" s="35" t="str">
        <f t="shared" ca="1" si="48"/>
        <v>Inter MailandEintracht Frankfurt</v>
      </c>
      <c r="AA150" s="13">
        <f t="shared" ca="1" si="47"/>
        <v>1</v>
      </c>
      <c r="AB150" s="13" t="str">
        <f ca="1">IF(AA150&gt;0,Y78&amp;Sprache!$E$71&amp;X78,"")</f>
        <v>4:4</v>
      </c>
      <c r="AC150" s="2"/>
      <c r="AD150" s="144"/>
    </row>
    <row r="151" spans="25:30" x14ac:dyDescent="0.2">
      <c r="Y151" s="67" t="s">
        <v>31</v>
      </c>
      <c r="Z151" s="35" t="str">
        <f t="shared" ca="1" si="48"/>
        <v>SSV WildbachMaibach 1822 eV</v>
      </c>
      <c r="AA151" s="13">
        <f t="shared" ca="1" si="47"/>
        <v>1</v>
      </c>
      <c r="AB151" s="13" t="str">
        <f ca="1">IF(AA151&gt;0,Y79&amp;Sprache!$E$71&amp;X79,"")</f>
        <v>7:0</v>
      </c>
      <c r="AC151" s="2"/>
      <c r="AD151" s="144"/>
    </row>
    <row r="152" spans="25:30" x14ac:dyDescent="0.2">
      <c r="Y152" s="67" t="s">
        <v>32</v>
      </c>
      <c r="Z152" s="35" t="str">
        <f t="shared" ca="1" si="48"/>
        <v>Mainz 051. FC Riedwald</v>
      </c>
      <c r="AA152" s="13">
        <f t="shared" ca="1" si="47"/>
        <v>1</v>
      </c>
      <c r="AB152" s="13" t="str">
        <f ca="1">IF(AA152&gt;0,Y80&amp;Sprache!$E$71&amp;X80,"")</f>
        <v>8:2</v>
      </c>
      <c r="AC152" s="2"/>
      <c r="AD152" s="144"/>
    </row>
    <row r="153" spans="25:30" x14ac:dyDescent="0.2">
      <c r="Y153" s="67" t="s">
        <v>33</v>
      </c>
      <c r="Z153" s="35" t="str">
        <f t="shared" ca="1" si="48"/>
        <v>Manchester CityFC Barcelona</v>
      </c>
      <c r="AA153" s="13">
        <f t="shared" ca="1" si="47"/>
        <v>1</v>
      </c>
      <c r="AB153" s="13" t="str">
        <f ca="1">IF(AA153&gt;0,Y81&amp;Sprache!$E$71&amp;X81,"")</f>
        <v>0:4</v>
      </c>
      <c r="AC153" s="2"/>
      <c r="AD153" s="144"/>
    </row>
    <row r="154" spans="25:30" x14ac:dyDescent="0.2">
      <c r="Y154" s="67" t="s">
        <v>34</v>
      </c>
      <c r="Z154" s="35" t="str">
        <f t="shared" si="48"/>
        <v/>
      </c>
      <c r="AA154" s="13">
        <f t="shared" si="47"/>
        <v>0</v>
      </c>
      <c r="AB154" s="13" t="str">
        <f>IF(AA154&gt;0,Y82&amp;Sprache!$E$71&amp;X82,"")</f>
        <v/>
      </c>
      <c r="AC154" s="2"/>
      <c r="AD154" s="144"/>
    </row>
    <row r="155" spans="25:30" x14ac:dyDescent="0.2">
      <c r="Y155" s="67" t="s">
        <v>35</v>
      </c>
      <c r="Z155" s="35" t="str">
        <f t="shared" si="48"/>
        <v/>
      </c>
      <c r="AA155" s="13">
        <f t="shared" si="47"/>
        <v>0</v>
      </c>
      <c r="AB155" s="13" t="str">
        <f>IF(AA155&gt;0,Y83&amp;Sprache!$E$71&amp;X83,"")</f>
        <v/>
      </c>
      <c r="AC155" s="2"/>
      <c r="AD155" s="144"/>
    </row>
    <row r="156" spans="25:30" x14ac:dyDescent="0.2">
      <c r="Y156" s="67" t="s">
        <v>36</v>
      </c>
      <c r="Z156" s="35" t="str">
        <f t="shared" si="48"/>
        <v/>
      </c>
      <c r="AA156" s="13">
        <f t="shared" si="47"/>
        <v>0</v>
      </c>
      <c r="AB156" s="13" t="str">
        <f>IF(AA156&gt;0,Y84&amp;Sprache!$E$71&amp;X84,"")</f>
        <v/>
      </c>
      <c r="AC156" s="2"/>
      <c r="AD156" s="144"/>
    </row>
    <row r="157" spans="25:30" x14ac:dyDescent="0.2">
      <c r="Y157" s="67" t="s">
        <v>37</v>
      </c>
      <c r="Z157" s="35" t="str">
        <f t="shared" si="48"/>
        <v/>
      </c>
      <c r="AA157" s="13">
        <f t="shared" si="47"/>
        <v>0</v>
      </c>
      <c r="AB157" s="13" t="str">
        <f>IF(AA157&gt;0,Y85&amp;Sprache!$E$71&amp;X85,"")</f>
        <v/>
      </c>
      <c r="AC157" s="2"/>
      <c r="AD157" s="144"/>
    </row>
    <row r="158" spans="25:30" x14ac:dyDescent="0.2">
      <c r="Y158" s="67" t="s">
        <v>38</v>
      </c>
      <c r="Z158" s="35" t="str">
        <f t="shared" si="48"/>
        <v/>
      </c>
      <c r="AA158" s="13">
        <f t="shared" si="47"/>
        <v>0</v>
      </c>
      <c r="AB158" s="13" t="str">
        <f>IF(AA158&gt;0,Y86&amp;Sprache!$E$71&amp;X86,"")</f>
        <v/>
      </c>
      <c r="AC158" s="2"/>
      <c r="AD158" s="144"/>
    </row>
    <row r="159" spans="25:30" x14ac:dyDescent="0.2">
      <c r="Y159" s="67" t="s">
        <v>39</v>
      </c>
      <c r="Z159" s="35" t="str">
        <f t="shared" si="48"/>
        <v/>
      </c>
      <c r="AA159" s="13">
        <f t="shared" si="47"/>
        <v>0</v>
      </c>
      <c r="AB159" s="13" t="str">
        <f>IF(AA159&gt;0,Y87&amp;Sprache!$E$71&amp;X87,"")</f>
        <v/>
      </c>
      <c r="AC159" s="2"/>
      <c r="AD159" s="144"/>
    </row>
    <row r="160" spans="25:30" x14ac:dyDescent="0.2">
      <c r="Y160" s="67" t="s">
        <v>40</v>
      </c>
      <c r="Z160" s="35" t="str">
        <f t="shared" si="48"/>
        <v/>
      </c>
      <c r="AA160" s="13">
        <f t="shared" si="47"/>
        <v>0</v>
      </c>
      <c r="AB160" s="13" t="str">
        <f>IF(AA160&gt;0,Y88&amp;Sprache!$E$71&amp;X88,"")</f>
        <v/>
      </c>
      <c r="AC160" s="2"/>
      <c r="AD160" s="144"/>
    </row>
    <row r="161" spans="25:30" x14ac:dyDescent="0.2">
      <c r="Y161" s="67" t="s">
        <v>41</v>
      </c>
      <c r="Z161" s="35" t="str">
        <f t="shared" si="48"/>
        <v/>
      </c>
      <c r="AA161" s="13">
        <f t="shared" si="47"/>
        <v>0</v>
      </c>
      <c r="AB161" s="13" t="str">
        <f>IF(AA161&gt;0,Y89&amp;Sprache!$E$71&amp;X89,"")</f>
        <v/>
      </c>
      <c r="AC161" s="2"/>
      <c r="AD161" s="144"/>
    </row>
    <row r="162" spans="25:30" x14ac:dyDescent="0.2">
      <c r="Y162" s="67" t="s">
        <v>42</v>
      </c>
      <c r="Z162" s="35" t="str">
        <f t="shared" si="48"/>
        <v/>
      </c>
      <c r="AA162" s="13">
        <f t="shared" si="47"/>
        <v>0</v>
      </c>
      <c r="AB162" s="13" t="str">
        <f>IF(AA162&gt;0,Y90&amp;Sprache!$E$71&amp;X90,"")</f>
        <v/>
      </c>
      <c r="AC162" s="2"/>
      <c r="AD162" s="144"/>
    </row>
    <row r="163" spans="25:30" x14ac:dyDescent="0.2">
      <c r="Y163" s="67" t="s">
        <v>43</v>
      </c>
      <c r="Z163" s="35" t="str">
        <f t="shared" si="48"/>
        <v/>
      </c>
      <c r="AA163" s="13">
        <f t="shared" si="47"/>
        <v>0</v>
      </c>
      <c r="AB163" s="13" t="str">
        <f>IF(AA163&gt;0,Y91&amp;Sprache!$E$71&amp;X91,"")</f>
        <v/>
      </c>
      <c r="AC163" s="2"/>
      <c r="AD163" s="144"/>
    </row>
    <row r="164" spans="25:30" x14ac:dyDescent="0.2">
      <c r="Y164" s="67" t="s">
        <v>44</v>
      </c>
      <c r="Z164" s="35" t="str">
        <f t="shared" si="48"/>
        <v/>
      </c>
      <c r="AA164" s="13">
        <f t="shared" si="47"/>
        <v>0</v>
      </c>
      <c r="AB164" s="13" t="str">
        <f>IF(AA164&gt;0,Y92&amp;Sprache!$E$71&amp;X92,"")</f>
        <v/>
      </c>
      <c r="AC164" s="2"/>
      <c r="AD164" s="144"/>
    </row>
    <row r="165" spans="25:30" x14ac:dyDescent="0.2">
      <c r="Y165" s="67" t="s">
        <v>45</v>
      </c>
      <c r="Z165" s="35" t="str">
        <f t="shared" si="48"/>
        <v/>
      </c>
      <c r="AA165" s="13">
        <f t="shared" si="47"/>
        <v>0</v>
      </c>
      <c r="AB165" s="13" t="str">
        <f>IF(AA165&gt;0,Y93&amp;Sprache!$E$71&amp;X93,"")</f>
        <v/>
      </c>
      <c r="AC165" s="2"/>
      <c r="AD165" s="144"/>
    </row>
    <row r="166" spans="25:30" x14ac:dyDescent="0.2">
      <c r="Y166" s="67" t="s">
        <v>46</v>
      </c>
      <c r="Z166" s="35" t="str">
        <f t="shared" si="48"/>
        <v/>
      </c>
      <c r="AA166" s="13">
        <f t="shared" si="47"/>
        <v>0</v>
      </c>
      <c r="AB166" s="13" t="str">
        <f>IF(AA166&gt;0,Y94&amp;Sprache!$E$71&amp;X94,"")</f>
        <v/>
      </c>
      <c r="AC166" s="2"/>
      <c r="AD166" s="144"/>
    </row>
    <row r="167" spans="25:30" x14ac:dyDescent="0.2">
      <c r="Y167" s="67" t="s">
        <v>47</v>
      </c>
      <c r="Z167" s="35" t="str">
        <f t="shared" si="48"/>
        <v/>
      </c>
      <c r="AA167" s="13">
        <f t="shared" si="47"/>
        <v>0</v>
      </c>
      <c r="AB167" s="13" t="str">
        <f>IF(AA167&gt;0,Y95&amp;Sprache!$E$71&amp;X95,"")</f>
        <v/>
      </c>
      <c r="AC167" s="2"/>
      <c r="AD167" s="144"/>
    </row>
    <row r="168" spans="25:30" x14ac:dyDescent="0.2">
      <c r="Y168" s="67" t="s">
        <v>48</v>
      </c>
      <c r="Z168" s="35" t="str">
        <f t="shared" si="48"/>
        <v/>
      </c>
      <c r="AA168" s="13">
        <f t="shared" si="47"/>
        <v>0</v>
      </c>
      <c r="AB168" s="13" t="str">
        <f>IF(AA168&gt;0,Y96&amp;Sprache!$E$71&amp;X96,"")</f>
        <v/>
      </c>
      <c r="AC168" s="2"/>
      <c r="AD168" s="144"/>
    </row>
    <row r="169" spans="25:30" x14ac:dyDescent="0.2">
      <c r="Y169" s="67" t="s">
        <v>49</v>
      </c>
      <c r="Z169" s="35" t="str">
        <f t="shared" si="48"/>
        <v/>
      </c>
      <c r="AA169" s="13">
        <f t="shared" si="47"/>
        <v>0</v>
      </c>
      <c r="AB169" s="13" t="str">
        <f>IF(AA169&gt;0,Y97&amp;Sprache!$E$71&amp;X97,"")</f>
        <v/>
      </c>
      <c r="AC169" s="2"/>
      <c r="AD169" s="144"/>
    </row>
    <row r="170" spans="25:30" x14ac:dyDescent="0.2">
      <c r="Y170" s="67" t="s">
        <v>50</v>
      </c>
      <c r="Z170" s="35" t="str">
        <f t="shared" si="48"/>
        <v/>
      </c>
      <c r="AA170" s="13">
        <f t="shared" si="47"/>
        <v>0</v>
      </c>
      <c r="AB170" s="13" t="str">
        <f>IF(AA170&gt;0,Y98&amp;Sprache!$E$71&amp;X98,"")</f>
        <v/>
      </c>
      <c r="AC170" s="2"/>
      <c r="AD170" s="144"/>
    </row>
    <row r="171" spans="25:30" x14ac:dyDescent="0.2">
      <c r="Y171" s="67" t="s">
        <v>51</v>
      </c>
      <c r="Z171" s="35" t="str">
        <f t="shared" si="48"/>
        <v/>
      </c>
      <c r="AA171" s="13">
        <f t="shared" si="47"/>
        <v>0</v>
      </c>
      <c r="AB171" s="13" t="str">
        <f>IF(AA171&gt;0,Y99&amp;Sprache!$E$71&amp;X99,"")</f>
        <v/>
      </c>
      <c r="AC171" s="2"/>
      <c r="AD171" s="144"/>
    </row>
    <row r="172" spans="25:30" x14ac:dyDescent="0.2">
      <c r="Y172" s="67" t="s">
        <v>60</v>
      </c>
      <c r="Z172" s="35" t="str">
        <f t="shared" si="48"/>
        <v/>
      </c>
      <c r="AA172" s="13">
        <f t="shared" si="47"/>
        <v>0</v>
      </c>
      <c r="AB172" s="13" t="str">
        <f>IF(AA172&gt;0,Y100&amp;Sprache!$E$71&amp;X100,"")</f>
        <v/>
      </c>
      <c r="AC172" s="2"/>
      <c r="AD172" s="144"/>
    </row>
    <row r="173" spans="25:30" x14ac:dyDescent="0.2">
      <c r="Y173" s="67" t="s">
        <v>61</v>
      </c>
      <c r="Z173" s="35" t="str">
        <f t="shared" si="48"/>
        <v/>
      </c>
      <c r="AA173" s="13">
        <f t="shared" si="47"/>
        <v>0</v>
      </c>
      <c r="AB173" s="13" t="str">
        <f>IF(AA173&gt;0,Y101&amp;Sprache!$E$71&amp;X101,"")</f>
        <v/>
      </c>
      <c r="AC173" s="2"/>
      <c r="AD173" s="144"/>
    </row>
    <row r="174" spans="25:30" x14ac:dyDescent="0.2">
      <c r="Y174" s="67" t="s">
        <v>62</v>
      </c>
      <c r="Z174" s="35" t="str">
        <f t="shared" si="48"/>
        <v/>
      </c>
      <c r="AA174" s="13">
        <f t="shared" si="47"/>
        <v>0</v>
      </c>
      <c r="AB174" s="13" t="str">
        <f>IF(AA174&gt;0,Y102&amp;Sprache!$E$71&amp;X102,"")</f>
        <v/>
      </c>
      <c r="AC174" s="2"/>
      <c r="AD174" s="144"/>
    </row>
    <row r="175" spans="25:30" x14ac:dyDescent="0.2">
      <c r="Y175" s="67" t="s">
        <v>63</v>
      </c>
      <c r="Z175" s="35" t="str">
        <f t="shared" si="48"/>
        <v/>
      </c>
      <c r="AA175" s="13">
        <f t="shared" si="47"/>
        <v>0</v>
      </c>
      <c r="AB175" s="13" t="str">
        <f>IF(AA175&gt;0,Y103&amp;Sprache!$E$71&amp;X103,"")</f>
        <v/>
      </c>
      <c r="AC175" s="2"/>
      <c r="AD175" s="144"/>
    </row>
    <row r="176" spans="25:30" x14ac:dyDescent="0.2">
      <c r="Y176" s="67" t="s">
        <v>64</v>
      </c>
      <c r="Z176" s="35" t="str">
        <f t="shared" si="48"/>
        <v/>
      </c>
      <c r="AA176" s="13">
        <f t="shared" si="47"/>
        <v>0</v>
      </c>
      <c r="AB176" s="13" t="str">
        <f>IF(AA176&gt;0,Y104&amp;Sprache!$E$71&amp;X104,"")</f>
        <v/>
      </c>
      <c r="AC176" s="2"/>
      <c r="AD176" s="144"/>
    </row>
    <row r="177" spans="25:30" x14ac:dyDescent="0.2">
      <c r="Y177" s="67" t="s">
        <v>65</v>
      </c>
      <c r="Z177" s="35" t="str">
        <f t="shared" si="48"/>
        <v/>
      </c>
      <c r="AA177" s="13">
        <f t="shared" si="47"/>
        <v>0</v>
      </c>
      <c r="AB177" s="13" t="str">
        <f>IF(AA177&gt;0,Y105&amp;Sprache!$E$71&amp;X105,"")</f>
        <v/>
      </c>
      <c r="AC177" s="2"/>
      <c r="AD177" s="144"/>
    </row>
    <row r="178" spans="25:30" x14ac:dyDescent="0.2">
      <c r="Y178" s="67" t="s">
        <v>66</v>
      </c>
      <c r="Z178" s="35" t="str">
        <f t="shared" si="48"/>
        <v/>
      </c>
      <c r="AA178" s="13">
        <f t="shared" si="47"/>
        <v>0</v>
      </c>
      <c r="AB178" s="13" t="str">
        <f>IF(AA178&gt;0,Y106&amp;Sprache!$E$71&amp;X106,"")</f>
        <v/>
      </c>
      <c r="AC178" s="2"/>
      <c r="AD178" s="144"/>
    </row>
    <row r="179" spans="25:30" x14ac:dyDescent="0.2">
      <c r="Y179" s="67" t="s">
        <v>67</v>
      </c>
      <c r="Z179" s="35" t="str">
        <f t="shared" si="48"/>
        <v/>
      </c>
      <c r="AA179" s="13">
        <f t="shared" si="47"/>
        <v>0</v>
      </c>
      <c r="AB179" s="13" t="str">
        <f>IF(AA179&gt;0,Y107&amp;Sprache!$E$71&amp;X107,"")</f>
        <v/>
      </c>
      <c r="AC179" s="2"/>
      <c r="AD179" s="144"/>
    </row>
    <row r="180" spans="25:30" x14ac:dyDescent="0.2">
      <c r="Y180" s="67" t="s">
        <v>68</v>
      </c>
      <c r="Z180" s="35" t="str">
        <f t="shared" si="48"/>
        <v/>
      </c>
      <c r="AA180" s="13">
        <f t="shared" si="47"/>
        <v>0</v>
      </c>
      <c r="AB180" s="13" t="str">
        <f>IF(AA180&gt;0,Y108&amp;Sprache!$E$71&amp;X108,"")</f>
        <v/>
      </c>
      <c r="AC180" s="2"/>
      <c r="AD180" s="144"/>
    </row>
    <row r="181" spans="25:30" x14ac:dyDescent="0.2">
      <c r="Y181" s="67" t="s">
        <v>69</v>
      </c>
      <c r="Z181" s="35" t="str">
        <f t="shared" si="48"/>
        <v/>
      </c>
      <c r="AA181" s="13">
        <f t="shared" si="47"/>
        <v>0</v>
      </c>
      <c r="AB181" s="13" t="str">
        <f>IF(AA181&gt;0,Y109&amp;Sprache!$E$71&amp;X109,"")</f>
        <v/>
      </c>
      <c r="AC181" s="2"/>
      <c r="AD181" s="144"/>
    </row>
    <row r="182" spans="25:30" x14ac:dyDescent="0.2">
      <c r="Y182" s="67" t="s">
        <v>70</v>
      </c>
      <c r="Z182" s="35" t="str">
        <f t="shared" si="48"/>
        <v/>
      </c>
      <c r="AA182" s="13">
        <f t="shared" si="47"/>
        <v>0</v>
      </c>
      <c r="AB182" s="13" t="str">
        <f>IF(AA182&gt;0,Y110&amp;Sprache!$E$71&amp;X110,"")</f>
        <v/>
      </c>
      <c r="AC182" s="2"/>
      <c r="AD182" s="144"/>
    </row>
    <row r="183" spans="25:30" x14ac:dyDescent="0.2">
      <c r="Y183" s="67" t="s">
        <v>71</v>
      </c>
      <c r="Z183" s="35" t="str">
        <f t="shared" si="48"/>
        <v/>
      </c>
      <c r="AA183" s="13">
        <f t="shared" si="47"/>
        <v>0</v>
      </c>
      <c r="AB183" s="13" t="str">
        <f>IF(AA183&gt;0,Y111&amp;Sprache!$E$71&amp;X111,"")</f>
        <v/>
      </c>
      <c r="AC183" s="2"/>
      <c r="AD183" s="144"/>
    </row>
    <row r="184" spans="25:30" x14ac:dyDescent="0.2">
      <c r="Y184" s="67" t="s">
        <v>72</v>
      </c>
      <c r="Z184" s="35" t="str">
        <f t="shared" si="48"/>
        <v/>
      </c>
      <c r="AA184" s="13">
        <f t="shared" si="47"/>
        <v>0</v>
      </c>
      <c r="AB184" s="13" t="str">
        <f>IF(AA184&gt;0,Y112&amp;Sprache!$E$71&amp;X112,"")</f>
        <v/>
      </c>
      <c r="AC184" s="2"/>
      <c r="AD184" s="144"/>
    </row>
    <row r="185" spans="25:30" x14ac:dyDescent="0.2">
      <c r="Y185" s="67" t="s">
        <v>73</v>
      </c>
      <c r="Z185" s="35" t="str">
        <f t="shared" si="48"/>
        <v/>
      </c>
      <c r="AA185" s="13">
        <f t="shared" si="47"/>
        <v>0</v>
      </c>
      <c r="AB185" s="13" t="str">
        <f>IF(AA185&gt;0,Y113&amp;Sprache!$E$71&amp;X113,"")</f>
        <v/>
      </c>
      <c r="AC185" s="2"/>
      <c r="AD185" s="144"/>
    </row>
    <row r="186" spans="25:30" x14ac:dyDescent="0.2">
      <c r="Y186" s="67" t="s">
        <v>74</v>
      </c>
      <c r="Z186" s="35" t="str">
        <f t="shared" si="48"/>
        <v/>
      </c>
      <c r="AA186" s="13">
        <f t="shared" si="47"/>
        <v>0</v>
      </c>
      <c r="AB186" s="13" t="str">
        <f>IF(AA186&gt;0,Y114&amp;Sprache!$E$71&amp;X114,"")</f>
        <v/>
      </c>
      <c r="AC186" s="2"/>
      <c r="AD186" s="144"/>
    </row>
    <row r="187" spans="25:30" x14ac:dyDescent="0.2">
      <c r="Y187" s="67" t="s">
        <v>75</v>
      </c>
      <c r="Z187" s="35" t="str">
        <f t="shared" si="48"/>
        <v/>
      </c>
      <c r="AA187" s="13">
        <f t="shared" si="47"/>
        <v>0</v>
      </c>
      <c r="AB187" s="13" t="str">
        <f>IF(AA187&gt;0,Y115&amp;Sprache!$E$71&amp;X115,"")</f>
        <v/>
      </c>
      <c r="AC187" s="2"/>
      <c r="AD187" s="144"/>
    </row>
    <row r="188" spans="25:30" x14ac:dyDescent="0.2">
      <c r="Y188" s="67" t="s">
        <v>76</v>
      </c>
      <c r="Z188" s="35" t="str">
        <f t="shared" si="48"/>
        <v/>
      </c>
      <c r="AA188" s="13">
        <f t="shared" si="47"/>
        <v>0</v>
      </c>
      <c r="AB188" s="13" t="str">
        <f>IF(AA188&gt;0,Y116&amp;Sprache!$E$71&amp;X116,"")</f>
        <v/>
      </c>
      <c r="AC188" s="2"/>
      <c r="AD188" s="144"/>
    </row>
    <row r="189" spans="25:30" x14ac:dyDescent="0.2">
      <c r="Y189" s="67" t="s">
        <v>77</v>
      </c>
      <c r="Z189" s="35" t="str">
        <f t="shared" si="48"/>
        <v/>
      </c>
      <c r="AA189" s="13">
        <f t="shared" si="47"/>
        <v>0</v>
      </c>
      <c r="AB189" s="13" t="str">
        <f>IF(AA189&gt;0,Y117&amp;Sprache!$E$71&amp;X117,"")</f>
        <v/>
      </c>
      <c r="AC189" s="2"/>
      <c r="AD189" s="144"/>
    </row>
    <row r="190" spans="25:30" x14ac:dyDescent="0.2">
      <c r="Y190" s="67" t="s">
        <v>78</v>
      </c>
      <c r="Z190" s="35" t="str">
        <f t="shared" si="48"/>
        <v/>
      </c>
      <c r="AA190" s="13">
        <f t="shared" si="47"/>
        <v>0</v>
      </c>
      <c r="AB190" s="13" t="str">
        <f>IF(AA190&gt;0,Y118&amp;Sprache!$E$71&amp;X118,"")</f>
        <v/>
      </c>
      <c r="AC190" s="2"/>
      <c r="AD190" s="144"/>
    </row>
    <row r="191" spans="25:30" x14ac:dyDescent="0.2">
      <c r="Y191" s="67" t="s">
        <v>79</v>
      </c>
      <c r="Z191" s="35" t="str">
        <f t="shared" si="48"/>
        <v/>
      </c>
      <c r="AA191" s="13">
        <f t="shared" si="47"/>
        <v>0</v>
      </c>
      <c r="AB191" s="13" t="str">
        <f>IF(AA191&gt;0,Y119&amp;Sprache!$E$71&amp;X119,"")</f>
        <v/>
      </c>
      <c r="AC191" s="2"/>
      <c r="AD191" s="144"/>
    </row>
    <row r="192" spans="25:30" x14ac:dyDescent="0.2">
      <c r="Y192" s="67" t="s">
        <v>80</v>
      </c>
      <c r="Z192" s="35" t="str">
        <f t="shared" si="48"/>
        <v/>
      </c>
      <c r="AA192" s="13">
        <f t="shared" si="47"/>
        <v>0</v>
      </c>
      <c r="AB192" s="13" t="str">
        <f>IF(AA192&gt;0,Y120&amp;Sprache!$E$71&amp;X120,"")</f>
        <v/>
      </c>
      <c r="AC192" s="2"/>
      <c r="AD192" s="144"/>
    </row>
    <row r="193" spans="25:30" x14ac:dyDescent="0.2">
      <c r="Y193" s="67" t="s">
        <v>81</v>
      </c>
      <c r="Z193" s="35" t="str">
        <f t="shared" si="48"/>
        <v/>
      </c>
      <c r="AA193" s="13">
        <f t="shared" si="47"/>
        <v>0</v>
      </c>
      <c r="AB193" s="13" t="str">
        <f>IF(AA193&gt;0,Y121&amp;Sprache!$E$71&amp;X121,"")</f>
        <v/>
      </c>
      <c r="AC193" s="2"/>
      <c r="AD193" s="144"/>
    </row>
    <row r="194" spans="25:30" x14ac:dyDescent="0.2">
      <c r="Y194" s="67" t="s">
        <v>82</v>
      </c>
      <c r="Z194" s="35" t="str">
        <f t="shared" si="48"/>
        <v/>
      </c>
      <c r="AA194" s="13">
        <f t="shared" si="47"/>
        <v>0</v>
      </c>
      <c r="AB194" s="13" t="str">
        <f>IF(AA194&gt;0,Y122&amp;Sprache!$E$71&amp;X122,"")</f>
        <v/>
      </c>
      <c r="AC194" s="2"/>
      <c r="AD194" s="144"/>
    </row>
    <row r="195" spans="25:30" x14ac:dyDescent="0.2">
      <c r="Y195" s="67" t="s">
        <v>83</v>
      </c>
      <c r="Z195" s="35" t="str">
        <f t="shared" si="48"/>
        <v/>
      </c>
      <c r="AA195" s="13">
        <f t="shared" si="47"/>
        <v>0</v>
      </c>
      <c r="AB195" s="13" t="str">
        <f>IF(AA195&gt;0,Y123&amp;Sprache!$E$71&amp;X123,"")</f>
        <v/>
      </c>
      <c r="AC195" s="2"/>
      <c r="AD195" s="144"/>
    </row>
    <row r="196" spans="25:30" x14ac:dyDescent="0.2">
      <c r="Y196" s="67" t="s">
        <v>84</v>
      </c>
      <c r="Z196" s="35" t="str">
        <f t="shared" si="48"/>
        <v/>
      </c>
      <c r="AA196" s="13">
        <f t="shared" si="47"/>
        <v>0</v>
      </c>
      <c r="AB196" s="13" t="str">
        <f>IF(AA196&gt;0,Y124&amp;Sprache!$E$71&amp;X124,"")</f>
        <v/>
      </c>
      <c r="AC196" s="2"/>
      <c r="AD196" s="144"/>
    </row>
    <row r="197" spans="25:30" x14ac:dyDescent="0.2">
      <c r="Y197" s="67" t="s">
        <v>85</v>
      </c>
      <c r="Z197" s="35" t="str">
        <f t="shared" si="48"/>
        <v/>
      </c>
      <c r="AA197" s="13">
        <f t="shared" si="47"/>
        <v>0</v>
      </c>
      <c r="AB197" s="13" t="str">
        <f>IF(AA197&gt;0,Y125&amp;Sprache!$E$71&amp;X125,"")</f>
        <v/>
      </c>
      <c r="AC197" s="2"/>
      <c r="AD197" s="144"/>
    </row>
    <row r="198" spans="25:30" x14ac:dyDescent="0.2">
      <c r="Y198" s="67" t="s">
        <v>86</v>
      </c>
      <c r="Z198" s="35" t="str">
        <f t="shared" si="48"/>
        <v/>
      </c>
      <c r="AA198" s="13">
        <f t="shared" si="47"/>
        <v>0</v>
      </c>
      <c r="AB198" s="13" t="str">
        <f>IF(AA198&gt;0,Y126&amp;Sprache!$E$71&amp;X126,"")</f>
        <v/>
      </c>
      <c r="AC198" s="2"/>
      <c r="AD198" s="144"/>
    </row>
    <row r="199" spans="25:30" x14ac:dyDescent="0.2">
      <c r="Y199" s="67" t="s">
        <v>87</v>
      </c>
      <c r="Z199" s="35" t="str">
        <f t="shared" si="48"/>
        <v/>
      </c>
      <c r="AA199" s="13">
        <f t="shared" si="47"/>
        <v>0</v>
      </c>
      <c r="AB199" s="13" t="str">
        <f>IF(AA199&gt;0,Y127&amp;Sprache!$E$71&amp;X127,"")</f>
        <v/>
      </c>
      <c r="AC199" s="2"/>
      <c r="AD199" s="144"/>
    </row>
    <row r="200" spans="25:30" x14ac:dyDescent="0.2">
      <c r="Y200" s="67" t="s">
        <v>88</v>
      </c>
      <c r="Z200" s="35" t="str">
        <f t="shared" si="48"/>
        <v/>
      </c>
      <c r="AA200" s="13">
        <f t="shared" si="47"/>
        <v>0</v>
      </c>
      <c r="AB200" s="13" t="str">
        <f>IF(AA200&gt;0,Y128&amp;Sprache!$E$71&amp;X128,"")</f>
        <v/>
      </c>
      <c r="AC200" s="2"/>
      <c r="AD200" s="144"/>
    </row>
    <row r="201" spans="25:30" x14ac:dyDescent="0.2">
      <c r="Y201" s="67" t="s">
        <v>89</v>
      </c>
      <c r="Z201" s="35" t="str">
        <f t="shared" si="48"/>
        <v/>
      </c>
      <c r="AA201" s="13">
        <f t="shared" ref="AA201:AA207" si="49">AA129</f>
        <v>0</v>
      </c>
      <c r="AB201" s="13" t="str">
        <f>IF(AA201&gt;0,Y129&amp;Sprache!$E$71&amp;X129,"")</f>
        <v/>
      </c>
      <c r="AC201" s="2"/>
      <c r="AD201" s="144"/>
    </row>
    <row r="202" spans="25:30" x14ac:dyDescent="0.2">
      <c r="Y202" s="67" t="s">
        <v>90</v>
      </c>
      <c r="Z202" s="35" t="str">
        <f t="shared" ref="Z202:Z206" si="50">W130&amp;V130</f>
        <v/>
      </c>
      <c r="AA202" s="13">
        <f t="shared" si="49"/>
        <v>0</v>
      </c>
      <c r="AB202" s="13" t="str">
        <f>IF(AA202&gt;0,Y130&amp;Sprache!$E$71&amp;X130,"")</f>
        <v/>
      </c>
      <c r="AC202" s="2"/>
      <c r="AD202" s="144"/>
    </row>
    <row r="203" spans="25:30" x14ac:dyDescent="0.2">
      <c r="Y203" s="67" t="s">
        <v>91</v>
      </c>
      <c r="Z203" s="35" t="str">
        <f t="shared" si="50"/>
        <v/>
      </c>
      <c r="AA203" s="13">
        <f t="shared" si="49"/>
        <v>0</v>
      </c>
      <c r="AB203" s="13" t="str">
        <f>IF(AA203&gt;0,Y131&amp;Sprache!$E$71&amp;X131,"")</f>
        <v/>
      </c>
      <c r="AC203" s="2"/>
      <c r="AD203" s="144"/>
    </row>
    <row r="204" spans="25:30" x14ac:dyDescent="0.2">
      <c r="Y204" s="67" t="s">
        <v>92</v>
      </c>
      <c r="Z204" s="35" t="str">
        <f t="shared" si="50"/>
        <v/>
      </c>
      <c r="AA204" s="13">
        <f t="shared" si="49"/>
        <v>0</v>
      </c>
      <c r="AB204" s="13" t="str">
        <f>IF(AA204&gt;0,Y132&amp;Sprache!$E$71&amp;X132,"")</f>
        <v/>
      </c>
      <c r="AC204" s="2"/>
      <c r="AD204" s="144"/>
    </row>
    <row r="205" spans="25:30" x14ac:dyDescent="0.2">
      <c r="Y205" s="67" t="s">
        <v>93</v>
      </c>
      <c r="Z205" s="35" t="str">
        <f t="shared" si="50"/>
        <v/>
      </c>
      <c r="AA205" s="13">
        <f t="shared" si="49"/>
        <v>0</v>
      </c>
      <c r="AB205" s="13" t="str">
        <f>IF(AA205&gt;0,Y133&amp;Sprache!$E$71&amp;X133,"")</f>
        <v/>
      </c>
      <c r="AC205" s="2"/>
      <c r="AD205" s="144"/>
    </row>
    <row r="206" spans="25:30" x14ac:dyDescent="0.2">
      <c r="Y206" s="67" t="s">
        <v>94</v>
      </c>
      <c r="Z206" s="35" t="str">
        <f t="shared" si="50"/>
        <v/>
      </c>
      <c r="AA206" s="13">
        <f t="shared" si="49"/>
        <v>0</v>
      </c>
      <c r="AB206" s="13" t="str">
        <f>IF(AA206&gt;0,Y134&amp;Sprache!$E$71&amp;X134,"")</f>
        <v/>
      </c>
      <c r="AC206" s="2"/>
      <c r="AD206" s="144"/>
    </row>
    <row r="207" spans="25:30" ht="12.75" thickBot="1" x14ac:dyDescent="0.25">
      <c r="Y207" s="68" t="s">
        <v>95</v>
      </c>
      <c r="Z207" s="37" t="str">
        <f>W135&amp;V135</f>
        <v/>
      </c>
      <c r="AA207" s="38">
        <f t="shared" si="49"/>
        <v>0</v>
      </c>
      <c r="AB207" s="145" t="str">
        <f>IF(AA207&gt;0,Y135&amp;Sprache!$E$71&amp;X135,"")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62"/>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491">
        <f ca="1">COUNTIF($C$3:$C$62,"")</f>
        <v>0</v>
      </c>
      <c r="F2" s="491">
        <f t="array" aca="1" ref="F2" ca="1">SUMPRODUCT(($C$3:$C$62&lt;&gt;"")/($D$3:$D$62+($C$3:$C$62="")))</f>
        <v>60</v>
      </c>
      <c r="G2" s="492" t="str">
        <f ca="1">IF(E2+F2&lt;60,"FEHLER","okay")</f>
        <v>okay</v>
      </c>
    </row>
    <row r="3" spans="2:7" ht="13.5" thickTop="1" x14ac:dyDescent="0.2">
      <c r="B3" s="168">
        <v>1</v>
      </c>
      <c r="C3" t="str">
        <f ca="1">IF(OR(Planung!$L6="",Planung!$N6=""),"Z"&amp;ROW($M6),Planung!$I6&amp;Planung!$F6)</f>
        <v>A50,375</v>
      </c>
      <c r="D3" s="168">
        <f t="array" aca="1" ref="D3:D62" ca="1">COUNTIF($C$3:$C$62,$C$3:$C$62)</f>
        <v>1</v>
      </c>
      <c r="E3" s="168" t="e">
        <f ca="1">IF($F$8&gt;30,$F$8-30,$F$8)</f>
        <v>#NUM!</v>
      </c>
      <c r="F3" s="472" t="s">
        <v>293</v>
      </c>
    </row>
    <row r="4" spans="2:7" x14ac:dyDescent="0.2">
      <c r="B4" s="168">
        <v>2</v>
      </c>
      <c r="C4" t="str">
        <f ca="1">IF(OR(Planung!$L7="",Planung!$N7=""),"Z"&amp;ROW($M7),Planung!$I7&amp;Planung!$F7)</f>
        <v>B50,375</v>
      </c>
      <c r="D4" s="168">
        <f ca="1"/>
        <v>1</v>
      </c>
      <c r="E4" s="168" t="e">
        <f ca="1">IF($F$9&gt;30,$F$9-30,$F$9)</f>
        <v>#NUM!</v>
      </c>
      <c r="F4" s="472" t="s">
        <v>294</v>
      </c>
    </row>
    <row r="5" spans="2:7" x14ac:dyDescent="0.2">
      <c r="B5" s="168">
        <v>3</v>
      </c>
      <c r="C5" t="str">
        <f ca="1">IF(OR(Planung!$L8="",Planung!$N8=""),"Z"&amp;ROW($M8),Planung!$I8&amp;Planung!$F8)</f>
        <v>A30,375</v>
      </c>
      <c r="D5" s="168">
        <f ca="1"/>
        <v>1</v>
      </c>
      <c r="E5" s="472" t="str">
        <f t="array" aca="1" ref="E5" ca="1">VLOOKUP(MATCH($E$7,$D$3:$D$62,0),$B$3:$C$62,2,0)</f>
        <v>A50,375</v>
      </c>
      <c r="F5" s="519" t="s">
        <v>295</v>
      </c>
    </row>
    <row r="6" spans="2:7" ht="13.5" thickBot="1" x14ac:dyDescent="0.25">
      <c r="B6" s="168">
        <v>4</v>
      </c>
      <c r="C6" t="str">
        <f ca="1">IF(OR(Planung!$L9="",Planung!$N9=""),"Z"&amp;ROW($M9),Planung!$I9&amp;Planung!$F9)</f>
        <v>B30,375</v>
      </c>
      <c r="D6" s="168">
        <f ca="1"/>
        <v>1</v>
      </c>
      <c r="E6" s="168" t="str">
        <f ca="1">LEFT($E$5,2)</f>
        <v>A5</v>
      </c>
      <c r="F6" s="168"/>
    </row>
    <row r="7" spans="2:7" ht="13.5" thickBot="1" x14ac:dyDescent="0.25">
      <c r="B7" s="168">
        <v>5</v>
      </c>
      <c r="C7" t="str">
        <f ca="1">IF(OR(Planung!$L10="",Planung!$N10=""),"Z"&amp;ROW($M10),Planung!$I10&amp;Planung!$F10)</f>
        <v>A50,399305555555556</v>
      </c>
      <c r="D7" s="168">
        <f ca="1"/>
        <v>1</v>
      </c>
      <c r="E7" s="537">
        <f ca="1">MAX($D$3:$D$62)</f>
        <v>1</v>
      </c>
    </row>
    <row r="8" spans="2:7" x14ac:dyDescent="0.2">
      <c r="B8" s="168">
        <v>6</v>
      </c>
      <c r="C8" t="str">
        <f ca="1">IF(OR(Planung!$L11="",Planung!$N11=""),"Z"&amp;ROW($M11),Planung!$I11&amp;Planung!$F11)</f>
        <v>B50,399305555555556</v>
      </c>
      <c r="D8" s="168">
        <f ca="1"/>
        <v>1</v>
      </c>
      <c r="E8" s="168">
        <f t="array" aca="1" ref="E8" ca="1">MATCH($E$7,$D$3:$D$62,0)</f>
        <v>1</v>
      </c>
      <c r="F8" s="168" t="e">
        <f ca="1">IF($E$8&lt;$E$9,$E$8,$E$9)</f>
        <v>#NUM!</v>
      </c>
    </row>
    <row r="9" spans="2:7" x14ac:dyDescent="0.2">
      <c r="B9" s="168">
        <v>7</v>
      </c>
      <c r="C9" t="str">
        <f ca="1">IF(OR(Planung!$L12="",Planung!$N12=""),"Z"&amp;ROW($M12),Planung!$I12&amp;Planung!$F12)</f>
        <v>A20,399305555555556</v>
      </c>
      <c r="D9" s="168">
        <f ca="1"/>
        <v>1</v>
      </c>
      <c r="E9" s="168" t="e">
        <f t="array" aca="1" ref="E9" ca="1">INDEX($B$3:$B$62,SMALL(IF($E$5=$C$3:$C$62,ROW($C$3:$C$62)-ROW($C$3)+1),2))</f>
        <v>#NUM!</v>
      </c>
      <c r="F9" s="168" t="e">
        <f ca="1">IF($E$8&gt;$E$9,$E$8,$E$9)</f>
        <v>#NUM!</v>
      </c>
    </row>
    <row r="10" spans="2:7" x14ac:dyDescent="0.2">
      <c r="B10" s="168">
        <v>8</v>
      </c>
      <c r="C10" t="str">
        <f ca="1">IF(OR(Planung!$L13="",Planung!$N13=""),"Z"&amp;ROW($M13),Planung!$I13&amp;Planung!$F13)</f>
        <v>B20,399305555555556</v>
      </c>
      <c r="D10" s="168">
        <f ca="1"/>
        <v>1</v>
      </c>
    </row>
    <row r="11" spans="2:7" x14ac:dyDescent="0.2">
      <c r="B11" s="168">
        <v>9</v>
      </c>
      <c r="C11" t="str">
        <f ca="1">IF(OR(Planung!$L14="",Planung!$N14=""),"Z"&amp;ROW($M14),Planung!$I14&amp;Planung!$F14)</f>
        <v>A10,423611111111111</v>
      </c>
      <c r="D11" s="168">
        <f ca="1"/>
        <v>1</v>
      </c>
    </row>
    <row r="12" spans="2:7" x14ac:dyDescent="0.2">
      <c r="B12" s="168">
        <v>10</v>
      </c>
      <c r="C12" t="str">
        <f ca="1">IF(OR(Planung!$L15="",Planung!$N15=""),"Z"&amp;ROW($M15),Planung!$I15&amp;Planung!$F15)</f>
        <v>B10,423611111111111</v>
      </c>
      <c r="D12" s="168">
        <f ca="1"/>
        <v>1</v>
      </c>
    </row>
    <row r="13" spans="2:7" x14ac:dyDescent="0.2">
      <c r="B13" s="168">
        <v>11</v>
      </c>
      <c r="C13" t="str">
        <f ca="1">IF(OR(Planung!$L16="",Planung!$N16=""),"Z"&amp;ROW($M16),Planung!$I16&amp;Planung!$F16)</f>
        <v>A30,423611111111111</v>
      </c>
      <c r="D13" s="168">
        <f ca="1"/>
        <v>1</v>
      </c>
    </row>
    <row r="14" spans="2:7" x14ac:dyDescent="0.2">
      <c r="B14" s="168">
        <v>12</v>
      </c>
      <c r="C14" t="str">
        <f ca="1">IF(OR(Planung!$L17="",Planung!$N17=""),"Z"&amp;ROW($M17),Planung!$I17&amp;Planung!$F17)</f>
        <v>B30,423611111111111</v>
      </c>
      <c r="D14" s="168">
        <f ca="1"/>
        <v>1</v>
      </c>
    </row>
    <row r="15" spans="2:7" x14ac:dyDescent="0.2">
      <c r="B15" s="168">
        <v>13</v>
      </c>
      <c r="C15" t="str">
        <f ca="1">IF(OR(Planung!$L18="",Planung!$N18=""),"Z"&amp;ROW($M18),Planung!$I18&amp;Planung!$F18)</f>
        <v>A20,447916666666667</v>
      </c>
      <c r="D15" s="168">
        <f ca="1"/>
        <v>1</v>
      </c>
    </row>
    <row r="16" spans="2:7" x14ac:dyDescent="0.2">
      <c r="B16" s="168">
        <v>14</v>
      </c>
      <c r="C16" t="str">
        <f ca="1">IF(OR(Planung!$L19="",Planung!$N19=""),"Z"&amp;ROW($M19),Planung!$I19&amp;Planung!$F19)</f>
        <v>B20,447916666666667</v>
      </c>
      <c r="D16" s="168">
        <f ca="1"/>
        <v>1</v>
      </c>
    </row>
    <row r="17" spans="1:7" x14ac:dyDescent="0.2">
      <c r="B17" s="168">
        <v>15</v>
      </c>
      <c r="C17" t="str">
        <f ca="1">IF(OR(Planung!$L20="",Planung!$N20=""),"Z"&amp;ROW($M20),Planung!$I20&amp;Planung!$F20)</f>
        <v>A30,447916666666667</v>
      </c>
      <c r="D17" s="168">
        <f ca="1"/>
        <v>1</v>
      </c>
    </row>
    <row r="18" spans="1:7" x14ac:dyDescent="0.2">
      <c r="B18" s="168">
        <v>16</v>
      </c>
      <c r="C18" t="str">
        <f ca="1">IF(OR(Planung!$L21="",Planung!$N21=""),"Z"&amp;ROW($M21),Planung!$I21&amp;Planung!$F21)</f>
        <v>B30,447916666666667</v>
      </c>
      <c r="D18" s="168">
        <f ca="1"/>
        <v>1</v>
      </c>
    </row>
    <row r="19" spans="1:7" x14ac:dyDescent="0.2">
      <c r="B19" s="168">
        <v>17</v>
      </c>
      <c r="C19" t="str">
        <f ca="1">IF(OR(Planung!$L22="",Planung!$N22=""),"Z"&amp;ROW($M22),Planung!$I22&amp;Planung!$F22)</f>
        <v>A40,472222222222222</v>
      </c>
      <c r="D19" s="168">
        <f ca="1"/>
        <v>1</v>
      </c>
    </row>
    <row r="20" spans="1:7" x14ac:dyDescent="0.2">
      <c r="B20" s="168">
        <v>18</v>
      </c>
      <c r="C20" t="str">
        <f ca="1">IF(OR(Planung!$L23="",Planung!$N23=""),"Z"&amp;ROW($M23),Planung!$I23&amp;Planung!$F23)</f>
        <v>B40,472222222222222</v>
      </c>
      <c r="D20" s="168">
        <f ca="1"/>
        <v>1</v>
      </c>
    </row>
    <row r="21" spans="1:7" x14ac:dyDescent="0.2">
      <c r="B21" s="168">
        <v>19</v>
      </c>
      <c r="C21" t="str">
        <f ca="1">IF(OR(Planung!$L24="",Planung!$N24=""),"Z"&amp;ROW($M24),Planung!$I24&amp;Planung!$F24)</f>
        <v>A10,472222222222222</v>
      </c>
      <c r="D21" s="168">
        <f ca="1"/>
        <v>1</v>
      </c>
      <c r="G21" s="722" t="s">
        <v>265</v>
      </c>
    </row>
    <row r="22" spans="1:7" x14ac:dyDescent="0.2">
      <c r="B22" s="168">
        <v>20</v>
      </c>
      <c r="C22" t="str">
        <f ca="1">IF(OR(Planung!$L25="",Planung!$N25=""),"Z"&amp;ROW($M25),Planung!$I25&amp;Planung!$F25)</f>
        <v>B10,472222222222222</v>
      </c>
      <c r="D22" s="168">
        <f ca="1"/>
        <v>1</v>
      </c>
      <c r="G22" s="722"/>
    </row>
    <row r="23" spans="1:7" x14ac:dyDescent="0.2">
      <c r="B23" s="168">
        <v>21</v>
      </c>
      <c r="C23" t="str">
        <f ca="1">IF(OR(Planung!$L26="",Planung!$N26=""),"Z"&amp;ROW($M26),Planung!$I26&amp;Planung!$F26)</f>
        <v>Z26</v>
      </c>
      <c r="D23" s="168">
        <f ca="1"/>
        <v>1</v>
      </c>
      <c r="G23" s="722" t="s">
        <v>266</v>
      </c>
    </row>
    <row r="24" spans="1:7" x14ac:dyDescent="0.2">
      <c r="B24" s="168">
        <v>22</v>
      </c>
      <c r="C24" t="str">
        <f ca="1">IF(OR(Planung!$L27="",Planung!$N27=""),"Z"&amp;ROW($M27),Planung!$I27&amp;Planung!$F27)</f>
        <v>Z27</v>
      </c>
      <c r="D24" s="168">
        <f ca="1"/>
        <v>1</v>
      </c>
      <c r="G24" s="722"/>
    </row>
    <row r="25" spans="1:7" x14ac:dyDescent="0.2">
      <c r="B25" s="168">
        <v>23</v>
      </c>
      <c r="C25" t="str">
        <f ca="1">IF(OR(Planung!$L28="",Planung!$N28=""),"Z"&amp;ROW($M28),Planung!$I28&amp;Planung!$F28)</f>
        <v>Z28</v>
      </c>
      <c r="D25" s="168">
        <f ca="1"/>
        <v>1</v>
      </c>
      <c r="G25" s="722" t="s">
        <v>267</v>
      </c>
    </row>
    <row r="26" spans="1:7" x14ac:dyDescent="0.2">
      <c r="B26" s="168">
        <v>24</v>
      </c>
      <c r="C26" t="str">
        <f ca="1">IF(OR(Planung!$L29="",Planung!$N29=""),"Z"&amp;ROW($M29),Planung!$I29&amp;Planung!$F29)</f>
        <v>Z29</v>
      </c>
      <c r="D26" s="168">
        <f ca="1"/>
        <v>1</v>
      </c>
      <c r="G26" s="722"/>
    </row>
    <row r="27" spans="1:7" x14ac:dyDescent="0.2">
      <c r="B27" s="168">
        <v>25</v>
      </c>
      <c r="C27" t="str">
        <f ca="1">IF(OR(Planung!$L30="",Planung!$N30=""),"Z"&amp;ROW($M30),Planung!$I30&amp;Planung!$F30)</f>
        <v>Z30</v>
      </c>
      <c r="D27" s="168">
        <f ca="1"/>
        <v>1</v>
      </c>
      <c r="G27" s="722" t="s">
        <v>268</v>
      </c>
    </row>
    <row r="28" spans="1:7" x14ac:dyDescent="0.2">
      <c r="B28" s="168">
        <v>26</v>
      </c>
      <c r="C28" t="str">
        <f ca="1">IF(OR(Planung!$L31="",Planung!$N31=""),"Z"&amp;ROW($M31),Planung!$I31&amp;Planung!$F31)</f>
        <v>Z31</v>
      </c>
      <c r="D28" s="168">
        <f ca="1"/>
        <v>1</v>
      </c>
      <c r="G28" s="722"/>
    </row>
    <row r="29" spans="1:7" x14ac:dyDescent="0.2">
      <c r="B29" s="168">
        <v>27</v>
      </c>
      <c r="C29" t="str">
        <f ca="1">IF(OR(Planung!$L32="",Planung!$N32=""),"Z"&amp;ROW($M32),Planung!$I32&amp;Planung!$F32)</f>
        <v>Z32</v>
      </c>
      <c r="D29" s="168">
        <f ca="1"/>
        <v>1</v>
      </c>
      <c r="G29" s="722" t="s">
        <v>339</v>
      </c>
    </row>
    <row r="30" spans="1:7" x14ac:dyDescent="0.2">
      <c r="B30" s="168">
        <v>28</v>
      </c>
      <c r="C30" t="str">
        <f ca="1">IF(OR(Planung!$L33="",Planung!$N33=""),"Z"&amp;ROW($M33),Planung!$I33&amp;Planung!$F33)</f>
        <v>Z33</v>
      </c>
      <c r="D30" s="168">
        <f ca="1"/>
        <v>1</v>
      </c>
      <c r="G30" s="722"/>
    </row>
    <row r="31" spans="1:7" x14ac:dyDescent="0.2">
      <c r="B31" s="168">
        <v>29</v>
      </c>
      <c r="C31" t="str">
        <f ca="1">IF(OR(Planung!$L34="",Planung!$N34=""),"Z"&amp;ROW($M34),Planung!$I34&amp;Planung!$F34)</f>
        <v>Z34</v>
      </c>
      <c r="D31" s="168">
        <f ca="1"/>
        <v>1</v>
      </c>
      <c r="G31" s="168"/>
    </row>
    <row r="32" spans="1:7" ht="13.5" thickBot="1" x14ac:dyDescent="0.25">
      <c r="A32" s="533"/>
      <c r="B32" s="534">
        <v>30</v>
      </c>
      <c r="C32" s="533" t="str">
        <f ca="1">IF(OR(Planung!$L35="",Planung!$N35=""),"Z"&amp;ROW($M35),Planung!$I35&amp;Planung!$F35)</f>
        <v>Z35</v>
      </c>
      <c r="D32" s="168">
        <f ca="1"/>
        <v>1</v>
      </c>
      <c r="G32" s="168"/>
    </row>
    <row r="33" spans="1:7" x14ac:dyDescent="0.2">
      <c r="A33" s="168"/>
      <c r="B33" s="168">
        <v>31</v>
      </c>
      <c r="C33" t="str">
        <f ca="1">IF(OR(Planung!$L6="",Planung!$N6=""),"ZZ"&amp;ROW($M6)+45,Planung!$K6&amp;Planung!$F6)</f>
        <v>A20,375</v>
      </c>
      <c r="D33" s="168">
        <f ca="1"/>
        <v>1</v>
      </c>
      <c r="G33" s="722" t="s">
        <v>269</v>
      </c>
    </row>
    <row r="34" spans="1:7" x14ac:dyDescent="0.2">
      <c r="A34" s="168"/>
      <c r="B34" s="168">
        <v>32</v>
      </c>
      <c r="C34" t="str">
        <f ca="1">IF(OR(Planung!$L7="",Planung!$N7=""),"ZZ"&amp;ROW($M7)+45,Planung!$K7&amp;Planung!$F7)</f>
        <v>B20,375</v>
      </c>
      <c r="D34" s="168">
        <f ca="1"/>
        <v>1</v>
      </c>
      <c r="G34" s="722"/>
    </row>
    <row r="35" spans="1:7" x14ac:dyDescent="0.2">
      <c r="A35" s="168"/>
      <c r="B35" s="168">
        <v>33</v>
      </c>
      <c r="C35" t="str">
        <f ca="1">IF(OR(Planung!$L8="",Planung!$N8=""),"ZZ"&amp;ROW($M8)+45,Planung!$K8&amp;Planung!$F8)</f>
        <v>A40,375</v>
      </c>
      <c r="D35" s="168">
        <f ca="1"/>
        <v>1</v>
      </c>
      <c r="G35" s="722" t="s">
        <v>270</v>
      </c>
    </row>
    <row r="36" spans="1:7" x14ac:dyDescent="0.2">
      <c r="A36" s="168"/>
      <c r="B36" s="168">
        <v>34</v>
      </c>
      <c r="C36" t="str">
        <f ca="1">IF(OR(Planung!$L9="",Planung!$N9=""),"ZZ"&amp;ROW($M9)+45,Planung!$K9&amp;Planung!$F9)</f>
        <v>B40,375</v>
      </c>
      <c r="D36" s="168">
        <f ca="1"/>
        <v>1</v>
      </c>
      <c r="G36" s="722"/>
    </row>
    <row r="37" spans="1:7" x14ac:dyDescent="0.2">
      <c r="A37" s="168"/>
      <c r="B37" s="168">
        <v>35</v>
      </c>
      <c r="C37" t="str">
        <f ca="1">IF(OR(Planung!$L10="",Planung!$N10=""),"ZZ"&amp;ROW($M10)+45,Planung!$K10&amp;Planung!$F10)</f>
        <v>A10,399305555555556</v>
      </c>
      <c r="D37" s="168">
        <f ca="1"/>
        <v>1</v>
      </c>
      <c r="G37" s="722" t="s">
        <v>272</v>
      </c>
    </row>
    <row r="38" spans="1:7" x14ac:dyDescent="0.2">
      <c r="A38" s="168"/>
      <c r="B38" s="168">
        <v>36</v>
      </c>
      <c r="C38" t="str">
        <f ca="1">IF(OR(Planung!$L11="",Planung!$N11=""),"ZZ"&amp;ROW($M11)+45,Planung!$K11&amp;Planung!$F11)</f>
        <v>B10,399305555555556</v>
      </c>
      <c r="D38" s="168">
        <f ca="1"/>
        <v>1</v>
      </c>
      <c r="G38" s="722"/>
    </row>
    <row r="39" spans="1:7" x14ac:dyDescent="0.2">
      <c r="A39" s="168"/>
      <c r="B39" s="168">
        <v>37</v>
      </c>
      <c r="C39" t="str">
        <f ca="1">IF(OR(Planung!$L12="",Planung!$N12=""),"ZZ"&amp;ROW($M12)+45,Planung!$K12&amp;Planung!$F12)</f>
        <v>A30,399305555555556</v>
      </c>
      <c r="D39" s="168">
        <f ca="1"/>
        <v>1</v>
      </c>
      <c r="G39" s="722" t="s">
        <v>271</v>
      </c>
    </row>
    <row r="40" spans="1:7" x14ac:dyDescent="0.2">
      <c r="A40" s="168"/>
      <c r="B40" s="168">
        <v>38</v>
      </c>
      <c r="C40" t="str">
        <f ca="1">IF(OR(Planung!$L13="",Planung!$N13=""),"ZZ"&amp;ROW($M13)+45,Planung!$K13&amp;Planung!$F13)</f>
        <v>B30,399305555555556</v>
      </c>
      <c r="D40" s="168">
        <f ca="1"/>
        <v>1</v>
      </c>
      <c r="G40" s="722"/>
    </row>
    <row r="41" spans="1:7" x14ac:dyDescent="0.2">
      <c r="A41" s="168"/>
      <c r="B41" s="168">
        <v>39</v>
      </c>
      <c r="C41" t="str">
        <f ca="1">IF(OR(Planung!$L14="",Planung!$N14=""),"ZZ"&amp;ROW($M14)+45,Planung!$K14&amp;Planung!$F14)</f>
        <v>A40,423611111111111</v>
      </c>
      <c r="D41" s="168">
        <f ca="1"/>
        <v>1</v>
      </c>
      <c r="G41" s="722" t="s">
        <v>273</v>
      </c>
    </row>
    <row r="42" spans="1:7" x14ac:dyDescent="0.2">
      <c r="A42" s="168"/>
      <c r="B42" s="168">
        <v>40</v>
      </c>
      <c r="C42" t="str">
        <f ca="1">IF(OR(Planung!$L15="",Planung!$N15=""),"ZZ"&amp;ROW($M15)+45,Planung!$K15&amp;Planung!$F15)</f>
        <v>B40,423611111111111</v>
      </c>
      <c r="D42" s="168">
        <f ca="1"/>
        <v>1</v>
      </c>
      <c r="G42" s="722"/>
    </row>
    <row r="43" spans="1:7" x14ac:dyDescent="0.2">
      <c r="A43" s="168"/>
      <c r="B43" s="168">
        <v>41</v>
      </c>
      <c r="C43" t="str">
        <f ca="1">IF(OR(Planung!$L16="",Planung!$N16=""),"ZZ"&amp;ROW($M16)+45,Planung!$K16&amp;Planung!$F16)</f>
        <v>A50,423611111111111</v>
      </c>
      <c r="D43" s="168">
        <f ca="1"/>
        <v>1</v>
      </c>
    </row>
    <row r="44" spans="1:7" x14ac:dyDescent="0.2">
      <c r="A44" s="168"/>
      <c r="B44" s="168">
        <v>42</v>
      </c>
      <c r="C44" t="str">
        <f ca="1">IF(OR(Planung!$L17="",Planung!$N17=""),"ZZ"&amp;ROW($M17)+45,Planung!$K17&amp;Planung!$F17)</f>
        <v>B50,423611111111111</v>
      </c>
      <c r="D44" s="168">
        <f ca="1"/>
        <v>1</v>
      </c>
    </row>
    <row r="45" spans="1:7" x14ac:dyDescent="0.2">
      <c r="A45" s="168"/>
      <c r="B45" s="168">
        <v>43</v>
      </c>
      <c r="C45" t="str">
        <f ca="1">IF(OR(Planung!$L18="",Planung!$N18=""),"ZZ"&amp;ROW($M18)+45,Planung!$K18&amp;Planung!$F18)</f>
        <v>A40,447916666666667</v>
      </c>
      <c r="D45" s="168">
        <f ca="1"/>
        <v>1</v>
      </c>
    </row>
    <row r="46" spans="1:7" x14ac:dyDescent="0.2">
      <c r="A46" s="168"/>
      <c r="B46" s="168">
        <v>44</v>
      </c>
      <c r="C46" t="str">
        <f ca="1">IF(OR(Planung!$L19="",Planung!$N19=""),"ZZ"&amp;ROW($M19)+45,Planung!$K19&amp;Planung!$F19)</f>
        <v>B40,447916666666667</v>
      </c>
      <c r="D46" s="168">
        <f ca="1"/>
        <v>1</v>
      </c>
    </row>
    <row r="47" spans="1:7" x14ac:dyDescent="0.2">
      <c r="A47" s="168"/>
      <c r="B47" s="168">
        <v>45</v>
      </c>
      <c r="C47" t="str">
        <f ca="1">IF(OR(Planung!$L20="",Planung!$N20=""),"ZZ"&amp;ROW($M20)+45,Planung!$K20&amp;Planung!$F20)</f>
        <v>A10,447916666666667</v>
      </c>
      <c r="D47" s="168">
        <f ca="1"/>
        <v>1</v>
      </c>
    </row>
    <row r="48" spans="1:7" x14ac:dyDescent="0.2">
      <c r="A48" s="168"/>
      <c r="B48" s="168">
        <v>46</v>
      </c>
      <c r="C48" t="str">
        <f ca="1">IF(OR(Planung!$L21="",Planung!$N21=""),"ZZ"&amp;ROW($M21)+45,Planung!$K21&amp;Planung!$F21)</f>
        <v>B10,447916666666667</v>
      </c>
      <c r="D48" s="168">
        <f ca="1"/>
        <v>1</v>
      </c>
    </row>
    <row r="49" spans="1:4" x14ac:dyDescent="0.2">
      <c r="A49" s="168"/>
      <c r="B49" s="168">
        <v>47</v>
      </c>
      <c r="C49" t="str">
        <f ca="1">IF(OR(Planung!$L22="",Planung!$N22=""),"ZZ"&amp;ROW($M22)+45,Planung!$K22&amp;Planung!$F22)</f>
        <v>A50,472222222222222</v>
      </c>
      <c r="D49" s="168">
        <f ca="1"/>
        <v>1</v>
      </c>
    </row>
    <row r="50" spans="1:4" x14ac:dyDescent="0.2">
      <c r="A50" s="168"/>
      <c r="B50" s="168">
        <v>48</v>
      </c>
      <c r="C50" t="str">
        <f ca="1">IF(OR(Planung!$L23="",Planung!$N23=""),"ZZ"&amp;ROW($M23)+45,Planung!$K23&amp;Planung!$F23)</f>
        <v>B50,472222222222222</v>
      </c>
      <c r="D50" s="168">
        <f ca="1"/>
        <v>1</v>
      </c>
    </row>
    <row r="51" spans="1:4" x14ac:dyDescent="0.2">
      <c r="A51" s="168"/>
      <c r="B51" s="168">
        <v>49</v>
      </c>
      <c r="C51" t="str">
        <f ca="1">IF(OR(Planung!$L24="",Planung!$N24=""),"ZZ"&amp;ROW($M24)+45,Planung!$K24&amp;Planung!$F24)</f>
        <v>A20,472222222222222</v>
      </c>
      <c r="D51" s="168">
        <f ca="1"/>
        <v>1</v>
      </c>
    </row>
    <row r="52" spans="1:4" x14ac:dyDescent="0.2">
      <c r="A52" s="168"/>
      <c r="B52" s="168">
        <v>50</v>
      </c>
      <c r="C52" t="str">
        <f ca="1">IF(OR(Planung!$L25="",Planung!$N25=""),"ZZ"&amp;ROW($M25)+45,Planung!$K25&amp;Planung!$F25)</f>
        <v>B20,472222222222222</v>
      </c>
      <c r="D52" s="168">
        <f ca="1"/>
        <v>1</v>
      </c>
    </row>
    <row r="53" spans="1:4" x14ac:dyDescent="0.2">
      <c r="A53" s="168"/>
      <c r="B53" s="168">
        <v>51</v>
      </c>
      <c r="C53" t="str">
        <f ca="1">IF(OR(Planung!$L26="",Planung!$N26=""),"ZZ"&amp;ROW($M26)+45,Planung!$K26&amp;Planung!$F26)</f>
        <v>ZZ71</v>
      </c>
      <c r="D53" s="168">
        <f ca="1"/>
        <v>1</v>
      </c>
    </row>
    <row r="54" spans="1:4" x14ac:dyDescent="0.2">
      <c r="A54" s="168"/>
      <c r="B54" s="168">
        <v>52</v>
      </c>
      <c r="C54" t="str">
        <f ca="1">IF(OR(Planung!$L27="",Planung!$N27=""),"ZZ"&amp;ROW($M27)+45,Planung!$K27&amp;Planung!$F27)</f>
        <v>ZZ72</v>
      </c>
      <c r="D54" s="168">
        <f ca="1"/>
        <v>1</v>
      </c>
    </row>
    <row r="55" spans="1:4" x14ac:dyDescent="0.2">
      <c r="A55" s="168"/>
      <c r="B55" s="168">
        <v>53</v>
      </c>
      <c r="C55" t="str">
        <f ca="1">IF(OR(Planung!$L28="",Planung!$N28=""),"ZZ"&amp;ROW($M28)+45,Planung!$K28&amp;Planung!$F28)</f>
        <v>ZZ73</v>
      </c>
      <c r="D55" s="168">
        <f ca="1"/>
        <v>1</v>
      </c>
    </row>
    <row r="56" spans="1:4" x14ac:dyDescent="0.2">
      <c r="A56" s="168"/>
      <c r="B56" s="168">
        <v>54</v>
      </c>
      <c r="C56" t="str">
        <f ca="1">IF(OR(Planung!$L29="",Planung!$N29=""),"ZZ"&amp;ROW($M29)+45,Planung!$K29&amp;Planung!$F29)</f>
        <v>ZZ74</v>
      </c>
      <c r="D56" s="168">
        <f ca="1"/>
        <v>1</v>
      </c>
    </row>
    <row r="57" spans="1:4" x14ac:dyDescent="0.2">
      <c r="A57" s="168"/>
      <c r="B57" s="168">
        <v>55</v>
      </c>
      <c r="C57" t="str">
        <f ca="1">IF(OR(Planung!$L30="",Planung!$N30=""),"ZZ"&amp;ROW($M30)+45,Planung!$K30&amp;Planung!$F30)</f>
        <v>ZZ75</v>
      </c>
      <c r="D57" s="168">
        <f ca="1"/>
        <v>1</v>
      </c>
    </row>
    <row r="58" spans="1:4" x14ac:dyDescent="0.2">
      <c r="A58" s="168"/>
      <c r="B58" s="168">
        <v>56</v>
      </c>
      <c r="C58" t="str">
        <f ca="1">IF(OR(Planung!$L31="",Planung!$N31=""),"ZZ"&amp;ROW($M31)+45,Planung!$K31&amp;Planung!$F31)</f>
        <v>ZZ76</v>
      </c>
      <c r="D58" s="168">
        <f ca="1"/>
        <v>1</v>
      </c>
    </row>
    <row r="59" spans="1:4" x14ac:dyDescent="0.2">
      <c r="A59" s="168"/>
      <c r="B59" s="168">
        <v>57</v>
      </c>
      <c r="C59" t="str">
        <f ca="1">IF(OR(Planung!$L32="",Planung!$N32=""),"ZZ"&amp;ROW($M32)+45,Planung!$K32&amp;Planung!$F32)</f>
        <v>ZZ77</v>
      </c>
      <c r="D59" s="168">
        <f ca="1"/>
        <v>1</v>
      </c>
    </row>
    <row r="60" spans="1:4" x14ac:dyDescent="0.2">
      <c r="A60" s="168"/>
      <c r="B60" s="168">
        <v>58</v>
      </c>
      <c r="C60" t="str">
        <f ca="1">IF(OR(Planung!$L33="",Planung!$N33=""),"ZZ"&amp;ROW($M33)+45,Planung!$K33&amp;Planung!$F33)</f>
        <v>ZZ78</v>
      </c>
      <c r="D60" s="168">
        <f ca="1"/>
        <v>1</v>
      </c>
    </row>
    <row r="61" spans="1:4" x14ac:dyDescent="0.2">
      <c r="A61" s="168"/>
      <c r="B61" s="168">
        <v>59</v>
      </c>
      <c r="C61" t="str">
        <f ca="1">IF(OR(Planung!$L34="",Planung!$N34=""),"ZZ"&amp;ROW($M34)+45,Planung!$K34&amp;Planung!$F34)</f>
        <v>ZZ79</v>
      </c>
      <c r="D61" s="168">
        <f ca="1"/>
        <v>1</v>
      </c>
    </row>
    <row r="62" spans="1:4" x14ac:dyDescent="0.2">
      <c r="A62" s="168"/>
      <c r="B62" s="168">
        <v>60</v>
      </c>
      <c r="C62" t="str">
        <f ca="1">IF(OR(Planung!$L35="",Planung!$N35=""),"ZZ"&amp;ROW($M35)+45,Planung!$K35&amp;Planung!$F35)</f>
        <v>ZZ80</v>
      </c>
      <c r="D62" s="168">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31" priority="7">
      <formula>G2="FEHLER"</formula>
    </cfRule>
  </conditionalFormatting>
  <conditionalFormatting sqref="C3:C62">
    <cfRule type="duplicateValues" dxfId="30" priority="6"/>
  </conditionalFormatting>
  <conditionalFormatting sqref="E3">
    <cfRule type="cellIs" dxfId="29" priority="3" operator="greaterThan">
      <formula>0</formula>
    </cfRule>
  </conditionalFormatting>
  <conditionalFormatting sqref="E4">
    <cfRule type="cellIs" dxfId="28" priority="2" operator="greaterThan">
      <formula>0</formula>
    </cfRule>
  </conditionalFormatting>
  <conditionalFormatting sqref="E7">
    <cfRule type="expression" dxfId="27" priority="1">
      <formula>E7="FEHLER"</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44"/>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723" t="str">
        <f>Sprache!$E$50</f>
        <v>Spielpaarungen</v>
      </c>
      <c r="C1" s="240" t="s">
        <v>187</v>
      </c>
      <c r="D1" s="247" t="s">
        <v>206</v>
      </c>
      <c r="E1" s="247" t="s">
        <v>210</v>
      </c>
      <c r="G1" s="240" t="s">
        <v>178</v>
      </c>
      <c r="H1" s="75" t="s">
        <v>208</v>
      </c>
      <c r="I1" s="75" t="s">
        <v>212</v>
      </c>
      <c r="K1" s="240" t="s">
        <v>179</v>
      </c>
      <c r="L1" s="75" t="s">
        <v>214</v>
      </c>
      <c r="M1" s="75" t="s">
        <v>210</v>
      </c>
      <c r="O1" s="240" t="s">
        <v>180</v>
      </c>
      <c r="P1" s="75" t="s">
        <v>208</v>
      </c>
      <c r="Q1" s="75" t="s">
        <v>216</v>
      </c>
    </row>
    <row r="2" spans="1:17" x14ac:dyDescent="0.2">
      <c r="A2" s="723"/>
      <c r="C2" s="337"/>
      <c r="D2" s="247" t="s">
        <v>207</v>
      </c>
      <c r="E2" s="247" t="s">
        <v>211</v>
      </c>
      <c r="G2" s="337"/>
      <c r="H2" s="75" t="s">
        <v>209</v>
      </c>
      <c r="I2" s="75" t="s">
        <v>213</v>
      </c>
      <c r="J2" s="75"/>
      <c r="K2" s="337"/>
      <c r="L2" s="75" t="s">
        <v>215</v>
      </c>
      <c r="M2" s="75" t="s">
        <v>211</v>
      </c>
      <c r="O2" s="337"/>
      <c r="P2" s="75" t="s">
        <v>209</v>
      </c>
      <c r="Q2" s="75" t="s">
        <v>217</v>
      </c>
    </row>
    <row r="3" spans="1:17" ht="12.75" customHeight="1" x14ac:dyDescent="0.2">
      <c r="A3" s="723"/>
      <c r="C3" s="334"/>
      <c r="D3" s="247" t="s">
        <v>206</v>
      </c>
      <c r="E3" s="247" t="s">
        <v>208</v>
      </c>
      <c r="G3" s="334"/>
      <c r="H3" s="75" t="s">
        <v>206</v>
      </c>
      <c r="I3" s="75" t="s">
        <v>210</v>
      </c>
      <c r="K3" s="335"/>
      <c r="L3" s="75" t="s">
        <v>206</v>
      </c>
      <c r="M3" s="75" t="s">
        <v>212</v>
      </c>
      <c r="O3" s="168"/>
      <c r="P3" s="75" t="s">
        <v>214</v>
      </c>
      <c r="Q3" s="75" t="s">
        <v>210</v>
      </c>
    </row>
    <row r="4" spans="1:17" ht="12.75" customHeight="1" x14ac:dyDescent="0.2">
      <c r="A4" s="723"/>
      <c r="C4" s="334"/>
      <c r="D4" s="247" t="s">
        <v>207</v>
      </c>
      <c r="E4" s="247" t="s">
        <v>209</v>
      </c>
      <c r="G4" s="334"/>
      <c r="H4" s="75" t="s">
        <v>207</v>
      </c>
      <c r="I4" s="75" t="s">
        <v>211</v>
      </c>
      <c r="K4" s="335"/>
      <c r="L4" s="75" t="s">
        <v>207</v>
      </c>
      <c r="M4" s="75" t="s">
        <v>213</v>
      </c>
      <c r="O4" s="168"/>
      <c r="P4" s="75" t="s">
        <v>215</v>
      </c>
      <c r="Q4" s="75" t="s">
        <v>211</v>
      </c>
    </row>
    <row r="5" spans="1:17" x14ac:dyDescent="0.2">
      <c r="A5" s="723"/>
      <c r="C5" s="334"/>
      <c r="D5" s="247" t="s">
        <v>208</v>
      </c>
      <c r="E5" s="247" t="s">
        <v>210</v>
      </c>
      <c r="G5" s="334"/>
      <c r="H5" s="75" t="s">
        <v>206</v>
      </c>
      <c r="I5" s="75" t="s">
        <v>208</v>
      </c>
      <c r="K5" s="336"/>
      <c r="L5" s="75" t="s">
        <v>214</v>
      </c>
      <c r="M5" s="75" t="s">
        <v>208</v>
      </c>
      <c r="P5" s="75" t="s">
        <v>206</v>
      </c>
      <c r="Q5" s="75" t="s">
        <v>212</v>
      </c>
    </row>
    <row r="6" spans="1:17" x14ac:dyDescent="0.2">
      <c r="A6" s="723"/>
      <c r="C6" s="334"/>
      <c r="D6" s="247" t="s">
        <v>209</v>
      </c>
      <c r="E6" s="247" t="s">
        <v>211</v>
      </c>
      <c r="G6" s="334"/>
      <c r="H6" s="75" t="s">
        <v>210</v>
      </c>
      <c r="I6" s="75" t="s">
        <v>212</v>
      </c>
      <c r="J6" s="535" t="s">
        <v>302</v>
      </c>
      <c r="K6" s="75"/>
      <c r="L6" s="75" t="s">
        <v>215</v>
      </c>
      <c r="M6" s="75" t="s">
        <v>209</v>
      </c>
      <c r="P6" s="75" t="s">
        <v>207</v>
      </c>
      <c r="Q6" s="75" t="s">
        <v>213</v>
      </c>
    </row>
    <row r="7" spans="1:17" ht="12.75" customHeight="1" x14ac:dyDescent="0.2">
      <c r="A7" s="723"/>
      <c r="C7" s="334"/>
      <c r="D7" s="247"/>
      <c r="E7" s="247"/>
      <c r="G7" s="334"/>
      <c r="H7" s="75" t="s">
        <v>207</v>
      </c>
      <c r="I7" s="75" t="s">
        <v>209</v>
      </c>
      <c r="J7" s="535" t="s">
        <v>302</v>
      </c>
      <c r="K7" s="75"/>
      <c r="L7" s="75" t="s">
        <v>210</v>
      </c>
      <c r="M7" s="75" t="s">
        <v>206</v>
      </c>
      <c r="P7" s="75" t="s">
        <v>214</v>
      </c>
      <c r="Q7" s="75" t="s">
        <v>208</v>
      </c>
    </row>
    <row r="8" spans="1:17" ht="12.75" customHeight="1" x14ac:dyDescent="0.2">
      <c r="A8" s="723"/>
      <c r="C8" s="334"/>
      <c r="D8" s="247"/>
      <c r="E8" s="247"/>
      <c r="G8" s="334"/>
      <c r="H8" s="75" t="s">
        <v>211</v>
      </c>
      <c r="I8" s="75" t="s">
        <v>213</v>
      </c>
      <c r="K8" s="336"/>
      <c r="L8" s="75" t="s">
        <v>211</v>
      </c>
      <c r="M8" s="75" t="s">
        <v>207</v>
      </c>
      <c r="P8" s="75" t="s">
        <v>215</v>
      </c>
      <c r="Q8" s="75" t="s">
        <v>209</v>
      </c>
    </row>
    <row r="9" spans="1:17" x14ac:dyDescent="0.2">
      <c r="A9" s="723"/>
      <c r="C9" s="334"/>
      <c r="D9" s="247"/>
      <c r="E9" s="247"/>
      <c r="G9" s="334"/>
      <c r="H9" s="75" t="s">
        <v>208</v>
      </c>
      <c r="I9" s="75" t="s">
        <v>210</v>
      </c>
      <c r="K9" s="336"/>
      <c r="L9" s="75" t="s">
        <v>208</v>
      </c>
      <c r="M9" s="75" t="s">
        <v>212</v>
      </c>
      <c r="P9" s="75" t="s">
        <v>212</v>
      </c>
      <c r="Q9" s="75" t="s">
        <v>216</v>
      </c>
    </row>
    <row r="10" spans="1:17" x14ac:dyDescent="0.2">
      <c r="A10" s="723"/>
      <c r="C10" s="334"/>
      <c r="D10" s="247"/>
      <c r="E10" s="247"/>
      <c r="G10" s="334"/>
      <c r="H10" s="75" t="s">
        <v>209</v>
      </c>
      <c r="I10" s="75" t="s">
        <v>211</v>
      </c>
      <c r="K10" s="336"/>
      <c r="L10" s="75" t="s">
        <v>209</v>
      </c>
      <c r="M10" s="75" t="s">
        <v>213</v>
      </c>
      <c r="P10" s="75" t="s">
        <v>213</v>
      </c>
      <c r="Q10" s="75" t="s">
        <v>217</v>
      </c>
    </row>
    <row r="11" spans="1:17" ht="13.5" customHeight="1" x14ac:dyDescent="0.2">
      <c r="A11" s="723"/>
      <c r="C11" s="334"/>
      <c r="D11" s="247"/>
      <c r="E11" s="247"/>
      <c r="G11" s="334"/>
      <c r="H11" s="75" t="s">
        <v>212</v>
      </c>
      <c r="I11" s="75" t="s">
        <v>206</v>
      </c>
      <c r="K11" s="334"/>
      <c r="L11" s="75" t="s">
        <v>206</v>
      </c>
      <c r="M11" s="75" t="s">
        <v>214</v>
      </c>
      <c r="P11" s="75" t="s">
        <v>210</v>
      </c>
      <c r="Q11" s="75" t="s">
        <v>206</v>
      </c>
    </row>
    <row r="12" spans="1:17" ht="13.5" customHeight="1" x14ac:dyDescent="0.2">
      <c r="A12" s="723"/>
      <c r="C12" s="334"/>
      <c r="D12" s="247"/>
      <c r="E12" s="247"/>
      <c r="G12" s="334"/>
      <c r="H12" s="75" t="s">
        <v>213</v>
      </c>
      <c r="I12" s="75" t="s">
        <v>207</v>
      </c>
      <c r="K12" s="334"/>
      <c r="L12" s="75" t="s">
        <v>207</v>
      </c>
      <c r="M12" s="75" t="s">
        <v>215</v>
      </c>
      <c r="P12" s="75" t="s">
        <v>211</v>
      </c>
      <c r="Q12" s="75" t="s">
        <v>207</v>
      </c>
    </row>
    <row r="13" spans="1:17" ht="12.75" customHeight="1" x14ac:dyDescent="0.2">
      <c r="A13" s="723"/>
      <c r="D13" s="75"/>
      <c r="E13" s="75"/>
      <c r="G13" s="334"/>
      <c r="H13" s="75"/>
      <c r="I13" s="75"/>
      <c r="K13" s="334"/>
      <c r="L13" s="75" t="s">
        <v>210</v>
      </c>
      <c r="M13" s="75" t="s">
        <v>212</v>
      </c>
      <c r="P13" s="75" t="s">
        <v>208</v>
      </c>
      <c r="Q13" s="75" t="s">
        <v>212</v>
      </c>
    </row>
    <row r="14" spans="1:17" ht="12.75" customHeight="1" x14ac:dyDescent="0.2">
      <c r="A14" s="723"/>
      <c r="D14" s="75"/>
      <c r="E14" s="75"/>
      <c r="G14" s="334"/>
      <c r="K14" s="334"/>
      <c r="L14" s="75" t="s">
        <v>211</v>
      </c>
      <c r="M14" s="75" t="s">
        <v>213</v>
      </c>
      <c r="P14" s="75" t="s">
        <v>209</v>
      </c>
      <c r="Q14" s="75" t="s">
        <v>213</v>
      </c>
    </row>
    <row r="15" spans="1:17" x14ac:dyDescent="0.2">
      <c r="A15" s="723"/>
      <c r="C15" s="248"/>
      <c r="D15" s="75"/>
      <c r="E15" s="75"/>
      <c r="G15" s="334"/>
      <c r="H15" s="75"/>
      <c r="I15" s="536"/>
      <c r="J15" s="535" t="s">
        <v>309</v>
      </c>
      <c r="K15" s="334"/>
      <c r="L15" s="75" t="s">
        <v>206</v>
      </c>
      <c r="M15" s="75" t="s">
        <v>208</v>
      </c>
      <c r="P15" s="75" t="s">
        <v>206</v>
      </c>
      <c r="Q15" s="75" t="s">
        <v>214</v>
      </c>
    </row>
    <row r="16" spans="1:17" x14ac:dyDescent="0.2">
      <c r="A16" s="723"/>
      <c r="C16" s="248"/>
      <c r="D16" s="75"/>
      <c r="E16" s="75"/>
      <c r="G16" s="334"/>
      <c r="H16" s="75"/>
      <c r="I16" s="75"/>
      <c r="J16" s="472" t="s">
        <v>303</v>
      </c>
      <c r="K16" s="334"/>
      <c r="L16" s="75" t="s">
        <v>207</v>
      </c>
      <c r="M16" s="75" t="s">
        <v>209</v>
      </c>
      <c r="P16" s="75" t="s">
        <v>207</v>
      </c>
      <c r="Q16" s="75" t="s">
        <v>215</v>
      </c>
    </row>
    <row r="17" spans="1:17" x14ac:dyDescent="0.2">
      <c r="A17" s="723"/>
      <c r="C17" s="248"/>
      <c r="D17" s="75"/>
      <c r="E17" s="75"/>
      <c r="G17" s="334"/>
      <c r="H17" s="75"/>
      <c r="I17" s="75"/>
      <c r="J17" s="472" t="s">
        <v>168</v>
      </c>
      <c r="K17" s="334"/>
      <c r="L17" s="75" t="s">
        <v>212</v>
      </c>
      <c r="M17" s="75" t="s">
        <v>214</v>
      </c>
      <c r="P17" s="75" t="s">
        <v>216</v>
      </c>
      <c r="Q17" s="75" t="s">
        <v>210</v>
      </c>
    </row>
    <row r="18" spans="1:17" x14ac:dyDescent="0.2">
      <c r="A18" s="723"/>
      <c r="C18" s="248"/>
      <c r="D18" s="75"/>
      <c r="E18" s="75"/>
      <c r="G18" s="334"/>
      <c r="H18" s="75"/>
      <c r="I18" s="75"/>
      <c r="J18" s="472" t="s">
        <v>304</v>
      </c>
      <c r="K18" s="334"/>
      <c r="L18" s="75" t="s">
        <v>213</v>
      </c>
      <c r="M18" s="75" t="s">
        <v>215</v>
      </c>
      <c r="P18" s="75" t="s">
        <v>217</v>
      </c>
      <c r="Q18" s="75" t="s">
        <v>211</v>
      </c>
    </row>
    <row r="19" spans="1:17" x14ac:dyDescent="0.2">
      <c r="A19" s="723"/>
      <c r="C19" s="248"/>
      <c r="D19" s="75"/>
      <c r="E19" s="75"/>
      <c r="G19" s="334"/>
      <c r="H19" s="75"/>
      <c r="I19" s="75"/>
      <c r="J19" s="472" t="s">
        <v>305</v>
      </c>
      <c r="K19" s="334"/>
      <c r="L19" s="75" t="s">
        <v>208</v>
      </c>
      <c r="M19" s="75" t="s">
        <v>210</v>
      </c>
      <c r="P19" s="75" t="s">
        <v>206</v>
      </c>
      <c r="Q19" s="75" t="s">
        <v>208</v>
      </c>
    </row>
    <row r="20" spans="1:17" x14ac:dyDescent="0.2">
      <c r="A20" s="723"/>
      <c r="C20" s="248"/>
      <c r="D20" s="75"/>
      <c r="E20" s="75"/>
      <c r="G20" s="334"/>
      <c r="H20" s="75"/>
      <c r="I20" s="75"/>
      <c r="K20" s="334"/>
      <c r="L20" s="75" t="s">
        <v>209</v>
      </c>
      <c r="M20" s="75" t="s">
        <v>211</v>
      </c>
      <c r="P20" s="75" t="s">
        <v>207</v>
      </c>
      <c r="Q20" s="75" t="s">
        <v>209</v>
      </c>
    </row>
    <row r="21" spans="1:17" x14ac:dyDescent="0.2">
      <c r="A21" s="723"/>
      <c r="C21" s="248"/>
      <c r="D21" s="75"/>
      <c r="E21" s="75"/>
      <c r="G21" s="334"/>
      <c r="H21" s="75"/>
      <c r="I21" s="536"/>
      <c r="J21" s="472" t="s">
        <v>310</v>
      </c>
      <c r="K21" s="334"/>
      <c r="L21" s="75"/>
      <c r="M21" s="75"/>
      <c r="O21" s="334"/>
      <c r="P21" s="75" t="s">
        <v>210</v>
      </c>
      <c r="Q21" s="75" t="s">
        <v>212</v>
      </c>
    </row>
    <row r="22" spans="1:17" x14ac:dyDescent="0.2">
      <c r="A22" s="723"/>
      <c r="C22" s="248"/>
      <c r="D22" s="75"/>
      <c r="E22" s="75"/>
      <c r="G22" s="334"/>
      <c r="H22" s="75"/>
      <c r="I22" s="75"/>
      <c r="J22" s="472" t="s">
        <v>306</v>
      </c>
      <c r="K22" s="334"/>
      <c r="L22" s="75"/>
      <c r="M22" s="75"/>
      <c r="O22" s="334"/>
      <c r="P22" s="75" t="s">
        <v>211</v>
      </c>
      <c r="Q22" s="75" t="s">
        <v>213</v>
      </c>
    </row>
    <row r="23" spans="1:17" x14ac:dyDescent="0.2">
      <c r="A23" s="723"/>
      <c r="D23" s="75"/>
      <c r="E23" s="75"/>
      <c r="H23" s="75"/>
      <c r="I23" s="75"/>
      <c r="J23" s="472" t="s">
        <v>307</v>
      </c>
      <c r="K23" s="334"/>
      <c r="L23" s="75"/>
      <c r="M23" s="75"/>
      <c r="O23" s="334"/>
      <c r="P23" s="75" t="s">
        <v>214</v>
      </c>
      <c r="Q23" s="75" t="s">
        <v>216</v>
      </c>
    </row>
    <row r="24" spans="1:17" x14ac:dyDescent="0.2">
      <c r="A24" s="723"/>
      <c r="D24" s="75"/>
      <c r="E24" s="75"/>
      <c r="H24" s="75"/>
      <c r="I24" s="75"/>
      <c r="J24" s="472" t="s">
        <v>308</v>
      </c>
      <c r="K24" s="334"/>
      <c r="L24" s="75"/>
      <c r="M24" s="75"/>
      <c r="O24" s="334"/>
      <c r="P24" s="75" t="s">
        <v>215</v>
      </c>
      <c r="Q24" s="75" t="s">
        <v>217</v>
      </c>
    </row>
    <row r="25" spans="1:17" x14ac:dyDescent="0.2">
      <c r="A25" s="723"/>
      <c r="J25" s="472"/>
      <c r="K25" s="334"/>
      <c r="L25" s="75"/>
      <c r="M25" s="75"/>
      <c r="O25" s="334"/>
      <c r="P25" s="75" t="s">
        <v>208</v>
      </c>
      <c r="Q25" s="75" t="s">
        <v>210</v>
      </c>
    </row>
    <row r="26" spans="1:17" x14ac:dyDescent="0.2">
      <c r="A26" s="723"/>
      <c r="K26" s="334"/>
      <c r="L26" s="75"/>
      <c r="M26" s="75"/>
      <c r="O26" s="334"/>
      <c r="P26" s="75" t="s">
        <v>209</v>
      </c>
      <c r="Q26" s="75" t="s">
        <v>211</v>
      </c>
    </row>
    <row r="27" spans="1:17" x14ac:dyDescent="0.2">
      <c r="A27" s="723"/>
      <c r="K27" s="334"/>
      <c r="L27" s="75"/>
      <c r="M27" s="75"/>
      <c r="O27" s="334"/>
      <c r="P27" s="75" t="s">
        <v>216</v>
      </c>
      <c r="Q27" s="75" t="s">
        <v>206</v>
      </c>
    </row>
    <row r="28" spans="1:17" x14ac:dyDescent="0.2">
      <c r="A28" s="723"/>
      <c r="K28" s="334"/>
      <c r="L28" s="75"/>
      <c r="M28" s="75"/>
      <c r="O28" s="334"/>
      <c r="P28" s="75" t="s">
        <v>217</v>
      </c>
      <c r="Q28" s="75" t="s">
        <v>207</v>
      </c>
    </row>
    <row r="29" spans="1:17" x14ac:dyDescent="0.2">
      <c r="A29" s="723"/>
      <c r="K29" s="334"/>
      <c r="L29" s="75"/>
      <c r="M29" s="75"/>
      <c r="O29" s="334"/>
      <c r="P29" s="75" t="s">
        <v>212</v>
      </c>
      <c r="Q29" s="75" t="s">
        <v>214</v>
      </c>
    </row>
    <row r="30" spans="1:17" x14ac:dyDescent="0.2">
      <c r="A30" s="723"/>
      <c r="K30" s="336"/>
      <c r="L30" s="75"/>
      <c r="M30" s="75"/>
      <c r="O30" s="334"/>
      <c r="P30" s="75" t="s">
        <v>213</v>
      </c>
      <c r="Q30" s="75" t="s">
        <v>215</v>
      </c>
    </row>
    <row r="31" spans="1:17" x14ac:dyDescent="0.2">
      <c r="A31" s="723"/>
      <c r="L31" s="75"/>
      <c r="M31" s="75"/>
      <c r="O31" s="334"/>
      <c r="P31" s="75"/>
      <c r="Q31" s="75"/>
    </row>
    <row r="32" spans="1:17" x14ac:dyDescent="0.2">
      <c r="A32" s="723"/>
      <c r="L32" s="75"/>
      <c r="M32" s="75"/>
      <c r="O32" s="334"/>
      <c r="P32" s="75"/>
      <c r="Q32" s="75"/>
    </row>
    <row r="33" spans="12:17" x14ac:dyDescent="0.2">
      <c r="L33" s="75"/>
      <c r="M33" s="75"/>
      <c r="O33" s="334"/>
      <c r="P33" s="75"/>
      <c r="Q33" s="75"/>
    </row>
    <row r="34" spans="12:17" x14ac:dyDescent="0.2">
      <c r="L34" s="75"/>
      <c r="M34" s="75"/>
      <c r="O34" s="334"/>
      <c r="P34" s="75"/>
      <c r="Q34" s="75"/>
    </row>
    <row r="35" spans="12:17" x14ac:dyDescent="0.2">
      <c r="P35" s="75"/>
      <c r="Q35" s="75"/>
    </row>
    <row r="36" spans="12:17" x14ac:dyDescent="0.2">
      <c r="P36" s="75"/>
      <c r="Q36" s="75"/>
    </row>
    <row r="37" spans="12:17" x14ac:dyDescent="0.2">
      <c r="P37" s="75"/>
      <c r="Q37" s="75"/>
    </row>
    <row r="38" spans="12:17" x14ac:dyDescent="0.2">
      <c r="P38" s="75"/>
      <c r="Q38" s="75"/>
    </row>
    <row r="39" spans="12:17" x14ac:dyDescent="0.2">
      <c r="P39" s="75"/>
      <c r="Q39" s="75"/>
    </row>
    <row r="40" spans="12:17" x14ac:dyDescent="0.2">
      <c r="P40" s="75"/>
      <c r="Q40" s="75"/>
    </row>
    <row r="41" spans="12:17" x14ac:dyDescent="0.2">
      <c r="P41" s="75"/>
      <c r="Q41" s="75"/>
    </row>
    <row r="42" spans="12:17" x14ac:dyDescent="0.2">
      <c r="P42" s="75"/>
      <c r="Q42" s="75"/>
    </row>
    <row r="43" spans="12:17" x14ac:dyDescent="0.2">
      <c r="P43" s="75"/>
      <c r="Q43" s="75"/>
    </row>
    <row r="44" spans="12:17" x14ac:dyDescent="0.2">
      <c r="P44" s="75"/>
      <c r="Q44" s="75"/>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pageSetUpPr fitToPage="1"/>
  </sheetPr>
  <dimension ref="A1:AJ43"/>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4" customWidth="1"/>
    <col min="2" max="2" width="6.7109375" style="44" customWidth="1"/>
    <col min="3" max="3" width="10" style="44" customWidth="1"/>
    <col min="4" max="5" width="6.5703125" style="44" customWidth="1"/>
    <col min="6" max="6" width="26.7109375" style="44" customWidth="1"/>
    <col min="7" max="7" width="3" style="44" customWidth="1"/>
    <col min="8" max="8" width="26.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6.7109375" style="44" customWidth="1"/>
    <col min="15" max="19" width="6.7109375" style="44" customWidth="1"/>
    <col min="20" max="20" width="2.140625" style="44" customWidth="1"/>
    <col min="21" max="23" width="6.7109375" style="44" customWidth="1"/>
    <col min="24" max="29" width="7.85546875" style="44" customWidth="1"/>
    <col min="30" max="30" width="26.7109375" style="44" customWidth="1"/>
    <col min="31" max="31" width="4.140625" style="44" customWidth="1"/>
    <col min="32" max="32" width="11.42578125" style="44" customWidth="1"/>
    <col min="33" max="33" width="8" style="44" customWidth="1"/>
    <col min="34" max="34" width="30.7109375" style="44" customWidth="1"/>
    <col min="35" max="36" width="11.42578125" style="44" customWidth="1"/>
    <col min="37" max="16384" width="11.42578125" style="44" hidden="1"/>
  </cols>
  <sheetData>
    <row r="1" spans="1:35" ht="13.5" thickBot="1" x14ac:dyDescent="0.25">
      <c r="B1" s="349"/>
      <c r="C1" s="349"/>
      <c r="D1" s="282"/>
      <c r="E1" s="282"/>
      <c r="F1" s="282"/>
      <c r="G1" s="282"/>
      <c r="H1" s="282"/>
      <c r="I1" s="282"/>
      <c r="J1" s="282"/>
      <c r="K1" s="282"/>
      <c r="M1" s="724"/>
      <c r="N1" s="724"/>
      <c r="AB1" s="349"/>
      <c r="AC1" s="349"/>
    </row>
    <row r="2" spans="1:35" ht="36" customHeight="1" thickTop="1" x14ac:dyDescent="0.2">
      <c r="B2" s="281"/>
      <c r="C2" s="281"/>
      <c r="G2" s="739" t="s">
        <v>351</v>
      </c>
      <c r="H2" s="740"/>
      <c r="I2" s="740"/>
      <c r="J2" s="740"/>
      <c r="K2" s="740"/>
      <c r="L2" s="740"/>
      <c r="M2" s="740"/>
      <c r="N2" s="740"/>
      <c r="O2" s="740"/>
      <c r="P2" s="740"/>
      <c r="Q2" s="740"/>
      <c r="R2" s="740"/>
      <c r="S2" s="740"/>
      <c r="T2" s="740"/>
      <c r="U2" s="740"/>
      <c r="V2" s="740"/>
      <c r="W2" s="740"/>
      <c r="X2" s="740"/>
      <c r="Y2" s="741"/>
      <c r="AC2" s="351"/>
      <c r="AD2" s="364" t="s">
        <v>348</v>
      </c>
    </row>
    <row r="3" spans="1:35" ht="30" customHeight="1" x14ac:dyDescent="0.2">
      <c r="G3" s="742" t="s">
        <v>342</v>
      </c>
      <c r="H3" s="743"/>
      <c r="I3" s="743"/>
      <c r="J3" s="743"/>
      <c r="K3" s="743"/>
      <c r="L3" s="743"/>
      <c r="M3" s="743"/>
      <c r="N3" s="743"/>
      <c r="O3" s="743"/>
      <c r="P3" s="743"/>
      <c r="Q3" s="743"/>
      <c r="R3" s="743"/>
      <c r="S3" s="743"/>
      <c r="T3" s="743"/>
      <c r="U3" s="743"/>
      <c r="V3" s="743"/>
      <c r="W3" s="743"/>
      <c r="X3" s="743"/>
      <c r="Y3" s="744"/>
    </row>
    <row r="4" spans="1:35" ht="30" customHeight="1" x14ac:dyDescent="0.2">
      <c r="G4" s="745" t="s">
        <v>343</v>
      </c>
      <c r="H4" s="746"/>
      <c r="I4" s="746"/>
      <c r="J4" s="746"/>
      <c r="K4" s="746"/>
      <c r="L4" s="746"/>
      <c r="M4" s="746"/>
      <c r="N4" s="746"/>
      <c r="O4" s="746"/>
      <c r="P4" s="746"/>
      <c r="Q4" s="746"/>
      <c r="R4" s="746"/>
      <c r="S4" s="746"/>
      <c r="T4" s="746"/>
      <c r="U4" s="746"/>
      <c r="V4" s="746"/>
      <c r="W4" s="746"/>
      <c r="X4" s="746"/>
      <c r="Y4" s="747"/>
    </row>
    <row r="5" spans="1:35" ht="30" customHeight="1" thickBot="1" x14ac:dyDescent="0.25">
      <c r="G5" s="748" t="s">
        <v>344</v>
      </c>
      <c r="H5" s="749"/>
      <c r="I5" s="749"/>
      <c r="J5" s="749"/>
      <c r="K5" s="749"/>
      <c r="L5" s="749"/>
      <c r="M5" s="749"/>
      <c r="N5" s="749"/>
      <c r="O5" s="749"/>
      <c r="P5" s="749"/>
      <c r="Q5" s="749"/>
      <c r="R5" s="749"/>
      <c r="S5" s="749"/>
      <c r="T5" s="749"/>
      <c r="U5" s="749"/>
      <c r="V5" s="749"/>
      <c r="W5" s="749"/>
      <c r="X5" s="749"/>
      <c r="Y5" s="750"/>
      <c r="AG5" s="487"/>
      <c r="AH5" s="487"/>
      <c r="AI5" s="487"/>
    </row>
    <row r="6" spans="1:35" ht="9" customHeight="1" thickTop="1" thickBot="1" x14ac:dyDescent="0.25">
      <c r="B6" s="350"/>
      <c r="C6" s="350"/>
      <c r="D6" s="350"/>
      <c r="E6" s="350"/>
      <c r="F6" s="350"/>
      <c r="G6" s="350"/>
      <c r="H6" s="350"/>
      <c r="I6" s="350"/>
      <c r="J6" s="350"/>
      <c r="K6" s="350"/>
      <c r="AG6" s="487"/>
      <c r="AH6" s="487"/>
      <c r="AI6" s="487"/>
    </row>
    <row r="7" spans="1:35" ht="30" customHeight="1" thickTop="1" x14ac:dyDescent="0.2">
      <c r="B7" s="350"/>
      <c r="C7" s="350"/>
      <c r="D7" s="350"/>
      <c r="E7" s="350"/>
      <c r="F7" s="350"/>
      <c r="G7" s="350"/>
      <c r="H7" s="350"/>
      <c r="I7" s="350"/>
      <c r="J7" s="350"/>
      <c r="K7" s="727" t="str">
        <f>Sprache!$E$18</f>
        <v>Vorrunde</v>
      </c>
      <c r="L7" s="728"/>
      <c r="M7" s="728"/>
      <c r="N7" s="728"/>
      <c r="O7" s="728"/>
      <c r="P7" s="728"/>
      <c r="Q7" s="728"/>
      <c r="R7" s="728"/>
      <c r="S7" s="729"/>
      <c r="AD7" s="607" t="str">
        <f>Sprache!$E$49&amp;"      --&gt;"</f>
        <v>Bonus      --&gt;</v>
      </c>
      <c r="AG7" s="753" t="str">
        <f>Sprache!$E$63</f>
        <v>Sind zwei oder mehr Mannschaften nicht unterscheidbar und wird eine Entscheidung z.B. durch Elfmeterschießen oder Los getroffen, genügt es, für die bevorzugte Mannschaft einen Bonuspunkt einzutragen.</v>
      </c>
      <c r="AH7" s="753"/>
      <c r="AI7" s="753"/>
    </row>
    <row r="8" spans="1:35" ht="30" customHeight="1" thickBot="1" x14ac:dyDescent="0.25">
      <c r="B8" s="350"/>
      <c r="C8" s="350"/>
      <c r="D8" s="350"/>
      <c r="E8" s="350"/>
      <c r="F8" s="350"/>
      <c r="G8" s="350"/>
      <c r="H8" s="350"/>
      <c r="I8" s="350"/>
      <c r="J8" s="350"/>
      <c r="K8" s="730"/>
      <c r="L8" s="731"/>
      <c r="M8" s="731"/>
      <c r="N8" s="731"/>
      <c r="O8" s="731"/>
      <c r="P8" s="731"/>
      <c r="Q8" s="731"/>
      <c r="R8" s="731"/>
      <c r="S8" s="732"/>
      <c r="AG8" s="753"/>
      <c r="AH8" s="753"/>
      <c r="AI8" s="753"/>
    </row>
    <row r="9" spans="1:35" ht="13.5" customHeight="1" thickTop="1" thickBot="1" x14ac:dyDescent="0.35">
      <c r="C9" s="45"/>
      <c r="D9" s="45"/>
      <c r="E9" s="45"/>
      <c r="F9" s="348"/>
      <c r="G9" s="348"/>
      <c r="H9" s="348"/>
      <c r="I9" s="348"/>
      <c r="J9" s="348"/>
      <c r="K9" s="348"/>
      <c r="X9" s="315"/>
      <c r="Y9" s="315"/>
      <c r="Z9" s="315"/>
      <c r="AA9" s="315"/>
      <c r="AB9" s="315"/>
      <c r="AC9" s="315"/>
    </row>
    <row r="10" spans="1:35" ht="24" customHeight="1" thickBot="1" x14ac:dyDescent="0.45">
      <c r="A10" s="341"/>
      <c r="B10" s="346" t="str">
        <f>Sprache!$E$11</f>
        <v>Ergebnisse</v>
      </c>
      <c r="C10" s="342"/>
      <c r="D10" s="342"/>
      <c r="E10" s="342"/>
      <c r="F10" s="347"/>
      <c r="G10" s="347"/>
      <c r="H10" s="347"/>
      <c r="I10" s="347"/>
      <c r="J10" s="347"/>
      <c r="K10" s="347"/>
      <c r="M10" s="738" t="str">
        <f>Sprache!$E$16&amp;" A"</f>
        <v>Gruppe A</v>
      </c>
      <c r="N10" s="738"/>
      <c r="O10" s="202"/>
      <c r="P10" s="202"/>
      <c r="Q10" s="202"/>
      <c r="R10" s="202"/>
      <c r="S10" s="202"/>
      <c r="T10" s="202"/>
      <c r="U10" s="202"/>
      <c r="V10" s="202"/>
      <c r="W10" s="202"/>
      <c r="X10" s="312" t="str">
        <f ca="1">IF(LEN(N12)&gt;Einstellungen!$C$17,LEFT(N12,Einstellungen!$C$17)&amp;".",N12)</f>
        <v>FC Barc.</v>
      </c>
      <c r="Y10" s="313" t="str">
        <f ca="1">IF(LEN(N13)&gt;Einstellungen!$C$17,LEFT(N13,Einstellungen!$C$17)&amp;".",N13)</f>
        <v>Eintrac.</v>
      </c>
      <c r="Z10" s="313" t="str">
        <f ca="1">IF(LEN(N14)&gt;Einstellungen!$C$17,LEFT(N14,Einstellungen!$C$17)&amp;".",N14)</f>
        <v>1. FC R.</v>
      </c>
      <c r="AA10" s="313" t="str">
        <f ca="1">IF(LEN(N15)&gt;Einstellungen!$C$17,LEFT(N15,Einstellungen!$C$17)&amp;".",N15)</f>
        <v>VFB Ess.</v>
      </c>
      <c r="AB10" s="313" t="str">
        <f ca="1">IF(LEN(N16)&gt;Einstellungen!$C$17,LEFT(N16,Einstellungen!$C$17)&amp;".",N16)</f>
        <v>Maibach.</v>
      </c>
      <c r="AC10" s="314" t="str">
        <f ca="1">IF(LEN(N17)&gt;Einstellungen!$C$17,LEFT(N17,Einstellungen!$C$17)&amp;".",N17)</f>
        <v/>
      </c>
      <c r="AD10" s="203"/>
      <c r="AG10" s="738" t="str">
        <f>Sprache!$E$16&amp;" A"</f>
        <v>Gruppe A</v>
      </c>
      <c r="AH10" s="738"/>
    </row>
    <row r="11" spans="1:35" ht="24" customHeight="1" thickTop="1" thickBot="1" x14ac:dyDescent="0.25">
      <c r="B11" s="456" t="str">
        <f>Sprache!$E$9</f>
        <v>Nr.</v>
      </c>
      <c r="C11" s="626" t="str">
        <f>Sprache!$E$39</f>
        <v>Beginn</v>
      </c>
      <c r="D11" s="626" t="str">
        <f>Sprache!$E$48</f>
        <v>Feld</v>
      </c>
      <c r="E11" s="626" t="str">
        <f>Sprache!$E$17</f>
        <v>Grp</v>
      </c>
      <c r="F11" s="725" t="str">
        <f>Sprache!$E$14</f>
        <v>Spielpaarung</v>
      </c>
      <c r="G11" s="725"/>
      <c r="H11" s="725"/>
      <c r="I11" s="725" t="str">
        <f>Sprache!$E$15</f>
        <v>Ergebnis</v>
      </c>
      <c r="J11" s="725"/>
      <c r="K11" s="726"/>
      <c r="M11" s="736"/>
      <c r="N11" s="737"/>
      <c r="O11" s="204" t="str">
        <f>Sprache!$E$21</f>
        <v>SP</v>
      </c>
      <c r="P11" s="205" t="str">
        <f>Sprache!$E$22</f>
        <v>G</v>
      </c>
      <c r="Q11" s="205" t="str">
        <f>Sprache!$E$23</f>
        <v>U</v>
      </c>
      <c r="R11" s="206" t="str">
        <f>Sprache!$E$24</f>
        <v>V</v>
      </c>
      <c r="S11" s="733" t="str">
        <f>Sprache!$E$25</f>
        <v>Tore</v>
      </c>
      <c r="T11" s="734"/>
      <c r="U11" s="735"/>
      <c r="V11" s="205" t="str">
        <f>Sprache!$E$26</f>
        <v>Diff.</v>
      </c>
      <c r="W11" s="207" t="str">
        <f>Sprache!$E$27</f>
        <v>Pkt</v>
      </c>
      <c r="X11" s="208" t="str">
        <f ca="1">N12</f>
        <v>FC Barcelona</v>
      </c>
      <c r="Y11" s="209" t="str">
        <f ca="1">N13</f>
        <v>Eintracht Frankfurt</v>
      </c>
      <c r="Z11" s="209" t="str">
        <f ca="1">N14</f>
        <v>1. FC Riedwald</v>
      </c>
      <c r="AA11" s="209" t="str">
        <f ca="1">N15</f>
        <v>VFB Essenheim</v>
      </c>
      <c r="AB11" s="209" t="str">
        <f ca="1">N16</f>
        <v>Maibach 1822 eV</v>
      </c>
      <c r="AC11" s="609" t="str">
        <f ca="1">N17</f>
        <v/>
      </c>
      <c r="AD11" s="203"/>
      <c r="AG11" s="484" t="str">
        <f>Sprache!$E$9</f>
        <v>Nr.</v>
      </c>
      <c r="AH11" s="485" t="str">
        <f>Sprache!$E$10</f>
        <v>Teilnehmer bzw. Mannschaft</v>
      </c>
      <c r="AI11" s="486" t="str">
        <f>Sprache!$E$49</f>
        <v>Bonus</v>
      </c>
    </row>
    <row r="12" spans="1:35" ht="24" customHeight="1" x14ac:dyDescent="0.2">
      <c r="B12" s="505">
        <f>Planung!$E6</f>
        <v>1</v>
      </c>
      <c r="C12" s="642">
        <f>Planung!$F6</f>
        <v>0.375</v>
      </c>
      <c r="D12" s="643" t="str">
        <f>Planung!$G6</f>
        <v>1</v>
      </c>
      <c r="E12" s="643" t="str">
        <f ca="1">Planung!$H6</f>
        <v>A</v>
      </c>
      <c r="F12" s="511" t="str">
        <f ca="1">Planung!$L6</f>
        <v>VFB Essenheim</v>
      </c>
      <c r="G12" s="498" t="s">
        <v>5</v>
      </c>
      <c r="H12" s="514" t="str">
        <f ca="1">Planung!$N6</f>
        <v>FC Barcelona</v>
      </c>
      <c r="I12" s="508">
        <v>2</v>
      </c>
      <c r="J12" s="499" t="str">
        <f>Sprache!$E$71</f>
        <v>:</v>
      </c>
      <c r="K12" s="500">
        <v>6</v>
      </c>
      <c r="M12" s="437">
        <f ca="1">IF(Calc1!$K$13=0,"",1)</f>
        <v>1</v>
      </c>
      <c r="N12" s="438" t="str">
        <f ca="1">IF(Calc1!$F$14&lt;3,"",IF(Calc1!$K$13=0,Calc1!$Q64,VLOOKUP(Calc1!B4,Calc1!$C$4:$N$12,4,0)))</f>
        <v>FC Barcelona</v>
      </c>
      <c r="O12" s="210">
        <f ca="1">IF(Calc1!$K$13=0,"",VLOOKUP(Calc1!B4,Calc1!$C$4:$N$12,9,0))</f>
        <v>4</v>
      </c>
      <c r="P12" s="211">
        <f ca="1">IF(Calc1!$K$13=0,"",VLOOKUP(Calc1!B4,Calc1!$C$4:$N$12,10,0))</f>
        <v>4</v>
      </c>
      <c r="Q12" s="211">
        <f ca="1">IF(Calc1!$K$13=0,"",VLOOKUP(Calc1!B4,Calc1!$C$4:$N$12,11,0))</f>
        <v>0</v>
      </c>
      <c r="R12" s="212">
        <f ca="1">IF(Calc1!$K$13=0,"",VLOOKUP(Calc1!B4,Calc1!$C$4:$N$12,12,0))</f>
        <v>0</v>
      </c>
      <c r="S12" s="213">
        <f ca="1">IF(Calc1!$K$13=0,"",VLOOKUP(Calc1!B4,Calc1!$C$4:$N$12,5,0))</f>
        <v>17</v>
      </c>
      <c r="T12" s="214" t="str">
        <f>Sprache!$E$71</f>
        <v>:</v>
      </c>
      <c r="U12" s="215">
        <f ca="1">IF(Calc1!$K$13=0,"",VLOOKUP(Calc1!B4,Calc1!$C$4:$N$12,6,0))</f>
        <v>3</v>
      </c>
      <c r="V12" s="210">
        <f ca="1">IF(Calc1!$K$13=0,"",VLOOKUP(Calc1!B4,Calc1!$C$4:$N$12,7,0))</f>
        <v>14</v>
      </c>
      <c r="W12" s="216">
        <f ca="1">IF(Calc1!$K$13=0,"",VLOOKUP(Calc1!B4,Calc1!$C$4:$N$12,8,0))</f>
        <v>12</v>
      </c>
      <c r="X12" s="217"/>
      <c r="Y12" s="211" t="str">
        <f ca="1">IFERROR(VLOOKUP($N12&amp;Y$11,Calc1!$Z$64:$AB$207,3,0),"")</f>
        <v>2:1</v>
      </c>
      <c r="Z12" s="211" t="str">
        <f ca="1">IFERROR(VLOOKUP($N12&amp;Z$11,Calc1!$Z$64:$AB$207,3,0),"")</f>
        <v>3:0</v>
      </c>
      <c r="AA12" s="211" t="str">
        <f ca="1">IFERROR(VLOOKUP($N12&amp;AA$11,Calc1!$Z$64:$AB$207,3,0),"")</f>
        <v>6:2</v>
      </c>
      <c r="AB12" s="211" t="str">
        <f ca="1">IFERROR(VLOOKUP($N12&amp;AB$11,Calc1!$Z$64:$AB$207,3,0),"")</f>
        <v>6:0</v>
      </c>
      <c r="AC12" s="218" t="str">
        <f ca="1">IFERROR(VLOOKUP($N12&amp;AC$11,Calc1!$Z$64:$AB$207,3,0),"")</f>
        <v/>
      </c>
      <c r="AD12" s="219" t="str">
        <f t="shared" ref="AD12:AD17" ca="1" si="0">N12</f>
        <v>FC Barcelona</v>
      </c>
      <c r="AG12" s="482" t="s">
        <v>208</v>
      </c>
      <c r="AH12" s="483" t="str">
        <f>IF(Planung!$C7="","",Planung!$C7)</f>
        <v>1. FC Riedwald</v>
      </c>
      <c r="AI12" s="488"/>
    </row>
    <row r="13" spans="1:35" ht="24" customHeight="1" x14ac:dyDescent="0.2">
      <c r="B13" s="506">
        <f ca="1">Planung!$E7</f>
        <v>2</v>
      </c>
      <c r="C13" s="644">
        <f ca="1">Planung!$F7</f>
        <v>0.375</v>
      </c>
      <c r="D13" s="645">
        <f ca="1">Planung!$G7</f>
        <v>2</v>
      </c>
      <c r="E13" s="645" t="str">
        <f ca="1">Planung!$H7</f>
        <v>B</v>
      </c>
      <c r="F13" s="512" t="str">
        <f ca="1">Planung!$L7</f>
        <v>FC Grönlingen</v>
      </c>
      <c r="G13" s="223" t="s">
        <v>5</v>
      </c>
      <c r="H13" s="515" t="str">
        <f ca="1">Planung!$N7</f>
        <v>Inter Mailand</v>
      </c>
      <c r="I13" s="509">
        <v>2</v>
      </c>
      <c r="J13" s="501" t="str">
        <f>Sprache!$E$71</f>
        <v>:</v>
      </c>
      <c r="K13" s="502">
        <v>4</v>
      </c>
      <c r="M13" s="439">
        <f ca="1">IF(Calc1!$K$13=0,"",IF(VLOOKUP(Calc1!B5,Calc1!$C$4:$E$12,3,0)=MAX(M$12:M12),VLOOKUP(Calc1!B5,Calc1!$C$4:$E$12,3,0),Calc1!B5))</f>
        <v>2</v>
      </c>
      <c r="N13" s="440" t="str">
        <f ca="1">IF(Calc1!$F$14&lt;3,"",IF(Calc1!$K$13=0,Calc1!$Q65,VLOOKUP(Calc1!B5,Calc1!$C$4:$N$12,4,0)))</f>
        <v>Eintracht Frankfurt</v>
      </c>
      <c r="O13" s="220">
        <f ca="1">IF(Calc1!$K$13=0,"",VLOOKUP(Calc1!B5,Calc1!$C$4:$N$12,9,0))</f>
        <v>4</v>
      </c>
      <c r="P13" s="201">
        <f ca="1">IF(Calc1!$K$13=0,"",VLOOKUP(Calc1!B5,Calc1!$C$4:$N$12,10,0))</f>
        <v>3</v>
      </c>
      <c r="Q13" s="201">
        <f ca="1">IF(Calc1!$K$13=0,"",VLOOKUP(Calc1!B5,Calc1!$C$4:$N$12,11,0))</f>
        <v>0</v>
      </c>
      <c r="R13" s="221">
        <f ca="1">IF(Calc1!$K$13=0,"",VLOOKUP(Calc1!B5,Calc1!$C$4:$N$12,12,0))</f>
        <v>1</v>
      </c>
      <c r="S13" s="222">
        <f ca="1">IF(Calc1!$K$13=0,"",VLOOKUP(Calc1!B5,Calc1!$C$4:$N$12,5,0))</f>
        <v>12</v>
      </c>
      <c r="T13" s="223" t="str">
        <f>Sprache!$E$71</f>
        <v>:</v>
      </c>
      <c r="U13" s="224">
        <f ca="1">IF(Calc1!$K$13=0,"",VLOOKUP(Calc1!B5,Calc1!$C$4:$N$12,6,0))</f>
        <v>8</v>
      </c>
      <c r="V13" s="220">
        <f ca="1">IF(Calc1!$K$13=0,"",VLOOKUP(Calc1!B5,Calc1!$C$4:$N$12,7,0))</f>
        <v>4</v>
      </c>
      <c r="W13" s="225">
        <f ca="1">IF(Calc1!$K$13=0,"",VLOOKUP(Calc1!B5,Calc1!$C$4:$N$12,8,0))</f>
        <v>9</v>
      </c>
      <c r="X13" s="226" t="str">
        <f ca="1">IFERROR(VLOOKUP($N13&amp;X$11,Calc1!$Z$64:$AB$207,3,0),"")</f>
        <v>1:2</v>
      </c>
      <c r="Y13" s="227"/>
      <c r="Z13" s="201" t="str">
        <f ca="1">IFERROR(VLOOKUP($N13&amp;Z$11,Calc1!$Z$64:$AB$207,3,0),"")</f>
        <v>4:3</v>
      </c>
      <c r="AA13" s="201" t="str">
        <f ca="1">IFERROR(VLOOKUP($N13&amp;AA$11,Calc1!$Z$64:$AB$207,3,0),"")</f>
        <v>3:2</v>
      </c>
      <c r="AB13" s="201" t="str">
        <f ca="1">IFERROR(VLOOKUP($N13&amp;AB$11,Calc1!$Z$64:$AB$207,3,0),"")</f>
        <v>4:1</v>
      </c>
      <c r="AC13" s="228" t="str">
        <f ca="1">IFERROR(VLOOKUP($N13&amp;AC$11,Calc1!$Z$64:$AB$207,3,0),"")</f>
        <v/>
      </c>
      <c r="AD13" s="229" t="str">
        <f t="shared" ca="1" si="0"/>
        <v>Eintracht Frankfurt</v>
      </c>
      <c r="AG13" s="478" t="s">
        <v>210</v>
      </c>
      <c r="AH13" s="480" t="str">
        <f>IF(Planung!$C9="","",Planung!$C9)</f>
        <v>FC Barcelona</v>
      </c>
      <c r="AI13" s="489"/>
    </row>
    <row r="14" spans="1:35" ht="24" customHeight="1" x14ac:dyDescent="0.2">
      <c r="B14" s="506">
        <f ca="1">Planung!$E8</f>
        <v>3</v>
      </c>
      <c r="C14" s="644">
        <f ca="1">Planung!$F8</f>
        <v>0.375</v>
      </c>
      <c r="D14" s="645">
        <f ca="1">Planung!$G8</f>
        <v>3</v>
      </c>
      <c r="E14" s="645" t="str">
        <f ca="1">Planung!$H8</f>
        <v>A</v>
      </c>
      <c r="F14" s="512" t="str">
        <f ca="1">Planung!$L8</f>
        <v>Eintracht Frankfurt</v>
      </c>
      <c r="G14" s="223" t="s">
        <v>5</v>
      </c>
      <c r="H14" s="515" t="str">
        <f ca="1">Planung!$N8</f>
        <v>Maibach 1822 eV</v>
      </c>
      <c r="I14" s="509">
        <v>4</v>
      </c>
      <c r="J14" s="501" t="str">
        <f>Sprache!$E$71</f>
        <v>:</v>
      </c>
      <c r="K14" s="502">
        <v>1</v>
      </c>
      <c r="M14" s="439">
        <f ca="1">IF(Calc1!$K$13=0,"",IF(VLOOKUP(Calc1!B6,Calc1!$C$4:$E$12,3,0)=MAX(M$12:M13),VLOOKUP(Calc1!B6,Calc1!$C$4:$E$12,3,0),Calc1!B6))</f>
        <v>3</v>
      </c>
      <c r="N14" s="440" t="str">
        <f ca="1">IF(Calc1!$F$14&lt;3,"",IF(Calc1!$K$13=0,Calc1!$Q66,VLOOKUP(Calc1!B6,Calc1!$C$4:$N$12,4,0)))</f>
        <v>1. FC Riedwald</v>
      </c>
      <c r="O14" s="220">
        <f ca="1">IF(Calc1!$K$13=0,"",VLOOKUP(Calc1!B6,Calc1!$C$4:$N$12,9,0))</f>
        <v>4</v>
      </c>
      <c r="P14" s="201">
        <f ca="1">IF(Calc1!$K$13=0,"",VLOOKUP(Calc1!B6,Calc1!$C$4:$N$12,10,0))</f>
        <v>1</v>
      </c>
      <c r="Q14" s="201">
        <f ca="1">IF(Calc1!$K$13=0,"",VLOOKUP(Calc1!B6,Calc1!$C$4:$N$12,11,0))</f>
        <v>1</v>
      </c>
      <c r="R14" s="221">
        <f ca="1">IF(Calc1!$K$13=0,"",VLOOKUP(Calc1!B6,Calc1!$C$4:$N$12,12,0))</f>
        <v>2</v>
      </c>
      <c r="S14" s="222">
        <f ca="1">IF(Calc1!$K$13=0,"",VLOOKUP(Calc1!B6,Calc1!$C$4:$N$12,5,0))</f>
        <v>7</v>
      </c>
      <c r="T14" s="223" t="str">
        <f>Sprache!$E$71</f>
        <v>:</v>
      </c>
      <c r="U14" s="224">
        <f ca="1">IF(Calc1!$K$13=0,"",VLOOKUP(Calc1!B6,Calc1!$C$4:$N$12,6,0))</f>
        <v>9</v>
      </c>
      <c r="V14" s="220">
        <f ca="1">IF(Calc1!$K$13=0,"",VLOOKUP(Calc1!B6,Calc1!$C$4:$N$12,7,0))</f>
        <v>-2</v>
      </c>
      <c r="W14" s="225">
        <f ca="1">IF(Calc1!$K$13=0,"",VLOOKUP(Calc1!B6,Calc1!$C$4:$N$12,8,0))</f>
        <v>4</v>
      </c>
      <c r="X14" s="226" t="str">
        <f ca="1">IFERROR(VLOOKUP($N14&amp;X$11,Calc1!$Z$64:$AB$207,3,0),"")</f>
        <v>0:3</v>
      </c>
      <c r="Y14" s="475" t="str">
        <f ca="1">IFERROR(VLOOKUP($N14&amp;Y$11,Calc1!$Z$64:$AB$207,3,0),"")</f>
        <v>3:4</v>
      </c>
      <c r="Z14" s="227"/>
      <c r="AA14" s="201" t="str">
        <f ca="1">IFERROR(VLOOKUP($N14&amp;AA$11,Calc1!$Z$64:$AB$207,3,0),"")</f>
        <v>2:2</v>
      </c>
      <c r="AB14" s="201" t="str">
        <f ca="1">IFERROR(VLOOKUP($N14&amp;AB$11,Calc1!$Z$64:$AB$207,3,0),"")</f>
        <v>2:0</v>
      </c>
      <c r="AC14" s="228" t="str">
        <f ca="1">IFERROR(VLOOKUP($N14&amp;AC$11,Calc1!$Z$64:$AB$207,3,0),"")</f>
        <v/>
      </c>
      <c r="AD14" s="229" t="str">
        <f t="shared" ca="1" si="0"/>
        <v>1. FC Riedwald</v>
      </c>
      <c r="AG14" s="478" t="s">
        <v>206</v>
      </c>
      <c r="AH14" s="480" t="str">
        <f>IF(Planung!$C11="","",Planung!$C11)</f>
        <v>Eintracht Frankfurt</v>
      </c>
      <c r="AI14" s="489"/>
    </row>
    <row r="15" spans="1:35" ht="24" customHeight="1" x14ac:dyDescent="0.2">
      <c r="B15" s="506">
        <f ca="1">Planung!$E9</f>
        <v>4</v>
      </c>
      <c r="C15" s="644">
        <f ca="1">Planung!$F9</f>
        <v>0.375</v>
      </c>
      <c r="D15" s="645">
        <f ca="1">Planung!$G9</f>
        <v>4</v>
      </c>
      <c r="E15" s="645" t="str">
        <f ca="1">Planung!$H9</f>
        <v>B</v>
      </c>
      <c r="F15" s="512" t="str">
        <f ca="1">Planung!$L9</f>
        <v>SSV Wildbach</v>
      </c>
      <c r="G15" s="223" t="s">
        <v>5</v>
      </c>
      <c r="H15" s="515" t="str">
        <f ca="1">Planung!$N9</f>
        <v>Manchester City</v>
      </c>
      <c r="I15" s="509">
        <v>2</v>
      </c>
      <c r="J15" s="501" t="str">
        <f>Sprache!$E$71</f>
        <v>:</v>
      </c>
      <c r="K15" s="502">
        <v>5</v>
      </c>
      <c r="M15" s="439">
        <f ca="1">IF(Calc1!$K$13=0,"",IF(VLOOKUP(Calc1!B7,Calc1!$C$4:$E$12,3,0)=MAX(M$12:M14),VLOOKUP(Calc1!B7,Calc1!$C$4:$E$12,3,0),Calc1!B7))</f>
        <v>4</v>
      </c>
      <c r="N15" s="440" t="str">
        <f ca="1">IF(Calc1!$F$14&lt;3,"",IF(Calc1!$K$13=0,Calc1!$Q67,VLOOKUP(Calc1!B7,Calc1!$C$4:$N$12,4,0)))</f>
        <v>VFB Essenheim</v>
      </c>
      <c r="O15" s="220">
        <f ca="1">IF(Calc1!$K$13=0,"",VLOOKUP(Calc1!B7,Calc1!$C$4:$N$12,9,0))</f>
        <v>4</v>
      </c>
      <c r="P15" s="201">
        <f ca="1">IF(Calc1!$K$13=0,"",VLOOKUP(Calc1!B7,Calc1!$C$4:$N$12,10,0))</f>
        <v>1</v>
      </c>
      <c r="Q15" s="201">
        <f ca="1">IF(Calc1!$K$13=0,"",VLOOKUP(Calc1!B7,Calc1!$C$4:$N$12,11,0))</f>
        <v>1</v>
      </c>
      <c r="R15" s="221">
        <f ca="1">IF(Calc1!$K$13=0,"",VLOOKUP(Calc1!B7,Calc1!$C$4:$N$12,12,0))</f>
        <v>2</v>
      </c>
      <c r="S15" s="222">
        <f ca="1">IF(Calc1!$K$13=0,"",VLOOKUP(Calc1!B7,Calc1!$C$4:$N$12,5,0))</f>
        <v>10</v>
      </c>
      <c r="T15" s="223" t="str">
        <f>Sprache!$E$71</f>
        <v>:</v>
      </c>
      <c r="U15" s="224">
        <f ca="1">IF(Calc1!$K$13=0,"",VLOOKUP(Calc1!B7,Calc1!$C$4:$N$12,6,0))</f>
        <v>13</v>
      </c>
      <c r="V15" s="220">
        <f ca="1">IF(Calc1!$K$13=0,"",VLOOKUP(Calc1!B7,Calc1!$C$4:$N$12,7,0))</f>
        <v>-3</v>
      </c>
      <c r="W15" s="225">
        <f ca="1">IF(Calc1!$K$13=0,"",VLOOKUP(Calc1!B7,Calc1!$C$4:$N$12,8,0))</f>
        <v>4</v>
      </c>
      <c r="X15" s="226" t="str">
        <f ca="1">IFERROR(VLOOKUP($N15&amp;X$11,Calc1!$Z$64:$AB$207,3,0),"")</f>
        <v>2:6</v>
      </c>
      <c r="Y15" s="475" t="str">
        <f ca="1">IFERROR(VLOOKUP($N15&amp;Y$11,Calc1!$Z$64:$AB$207,3,0),"")</f>
        <v>2:3</v>
      </c>
      <c r="Z15" s="201" t="str">
        <f ca="1">IFERROR(VLOOKUP($N15&amp;Z$11,Calc1!$Z$64:$AB$207,3,0),"")</f>
        <v>2:2</v>
      </c>
      <c r="AA15" s="227"/>
      <c r="AB15" s="201" t="str">
        <f ca="1">IFERROR(VLOOKUP($N15&amp;AB$11,Calc1!$Z$64:$AB$207,3,0),"")</f>
        <v>4:2</v>
      </c>
      <c r="AC15" s="228" t="str">
        <f ca="1">IFERROR(VLOOKUP($N15&amp;AC$11,Calc1!$Z$64:$AB$207,3,0),"")</f>
        <v/>
      </c>
      <c r="AD15" s="229" t="str">
        <f t="shared" ca="1" si="0"/>
        <v>VFB Essenheim</v>
      </c>
      <c r="AG15" s="478" t="s">
        <v>212</v>
      </c>
      <c r="AH15" s="480" t="str">
        <f>IF(Planung!$C13="","",Planung!$C13)</f>
        <v>Maibach 1822 eV</v>
      </c>
      <c r="AI15" s="489"/>
    </row>
    <row r="16" spans="1:35" ht="24" customHeight="1" x14ac:dyDescent="0.2">
      <c r="B16" s="506">
        <f ca="1">Planung!$E10</f>
        <v>5</v>
      </c>
      <c r="C16" s="644">
        <f ca="1">Planung!$F10</f>
        <v>0.39930555555555558</v>
      </c>
      <c r="D16" s="645">
        <f ca="1">Planung!$G10</f>
        <v>1</v>
      </c>
      <c r="E16" s="645" t="str">
        <f ca="1">Planung!$H10</f>
        <v>A</v>
      </c>
      <c r="F16" s="512" t="str">
        <f ca="1">Planung!$L10</f>
        <v>VFB Essenheim</v>
      </c>
      <c r="G16" s="223" t="s">
        <v>5</v>
      </c>
      <c r="H16" s="515" t="str">
        <f ca="1">Planung!$N10</f>
        <v>1. FC Riedwald</v>
      </c>
      <c r="I16" s="509">
        <v>2</v>
      </c>
      <c r="J16" s="501" t="str">
        <f>Sprache!$E$71</f>
        <v>:</v>
      </c>
      <c r="K16" s="502">
        <v>2</v>
      </c>
      <c r="M16" s="439">
        <f ca="1">IF(Calc1!$K$13=0,"",IF(VLOOKUP(Calc1!B8,Calc1!$C$4:$E$12,3,0)=MAX(M$12:M15),VLOOKUP(Calc1!B8,Calc1!$C$4:$E$12,3,0),Calc1!B8))</f>
        <v>5</v>
      </c>
      <c r="N16" s="440" t="str">
        <f ca="1">IF(Calc1!$F$14&lt;3,"",IF(Calc1!$K$13=0,Calc1!$Q68,VLOOKUP(Calc1!B8,Calc1!$C$4:$N$12,4,0)))</f>
        <v>Maibach 1822 eV</v>
      </c>
      <c r="O16" s="220">
        <f ca="1">IF(Calc1!$K$13=0,"",VLOOKUP(Calc1!B8,Calc1!$C$4:$N$12,9,0))</f>
        <v>4</v>
      </c>
      <c r="P16" s="201">
        <f ca="1">IF(Calc1!$K$13=0,"",VLOOKUP(Calc1!B8,Calc1!$C$4:$N$12,10,0))</f>
        <v>0</v>
      </c>
      <c r="Q16" s="201">
        <f ca="1">IF(Calc1!$K$13=0,"",VLOOKUP(Calc1!B8,Calc1!$C$4:$N$12,11,0))</f>
        <v>0</v>
      </c>
      <c r="R16" s="221">
        <f ca="1">IF(Calc1!$K$13=0,"",VLOOKUP(Calc1!B8,Calc1!$C$4:$N$12,12,0))</f>
        <v>4</v>
      </c>
      <c r="S16" s="222">
        <f ca="1">IF(Calc1!$K$13=0,"",VLOOKUP(Calc1!B8,Calc1!$C$4:$N$12,5,0))</f>
        <v>3</v>
      </c>
      <c r="T16" s="223" t="str">
        <f>Sprache!$E$71</f>
        <v>:</v>
      </c>
      <c r="U16" s="224">
        <f ca="1">IF(Calc1!$K$13=0,"",VLOOKUP(Calc1!B8,Calc1!$C$4:$N$12,6,0))</f>
        <v>16</v>
      </c>
      <c r="V16" s="220">
        <f ca="1">IF(Calc1!$K$13=0,"",VLOOKUP(Calc1!B8,Calc1!$C$4:$N$12,7,0))</f>
        <v>-13</v>
      </c>
      <c r="W16" s="225">
        <f ca="1">IF(Calc1!$K$13=0,"",VLOOKUP(Calc1!B8,Calc1!$C$4:$N$12,8,0))</f>
        <v>0</v>
      </c>
      <c r="X16" s="226" t="str">
        <f ca="1">IFERROR(VLOOKUP($N16&amp;X$11,Calc1!$Z$64:$AB$207,3,0),"")</f>
        <v>0:6</v>
      </c>
      <c r="Y16" s="475" t="str">
        <f ca="1">IFERROR(VLOOKUP($N16&amp;Y$11,Calc1!$Z$64:$AB$207,3,0),"")</f>
        <v>1:4</v>
      </c>
      <c r="Z16" s="201" t="str">
        <f ca="1">IFERROR(VLOOKUP($N16&amp;Z$11,Calc1!$Z$64:$AB$207,3,0),"")</f>
        <v>0:2</v>
      </c>
      <c r="AA16" s="201" t="str">
        <f ca="1">IFERROR(VLOOKUP($N16&amp;AA$11,Calc1!$Z$64:$AB$207,3,0),"")</f>
        <v>2:4</v>
      </c>
      <c r="AB16" s="227"/>
      <c r="AC16" s="228" t="str">
        <f ca="1">IFERROR(VLOOKUP($N16&amp;AC$11,Calc1!$Z$64:$AB$207,3,0),"")</f>
        <v/>
      </c>
      <c r="AD16" s="229" t="str">
        <f t="shared" ca="1" si="0"/>
        <v>Maibach 1822 eV</v>
      </c>
      <c r="AG16" s="478" t="s">
        <v>214</v>
      </c>
      <c r="AH16" s="480" t="str">
        <f>IF(Planung!$C15="","",Planung!$C15)</f>
        <v>VFB Essenheim</v>
      </c>
      <c r="AI16" s="489"/>
    </row>
    <row r="17" spans="2:35" ht="24" customHeight="1" thickBot="1" x14ac:dyDescent="0.25">
      <c r="B17" s="506">
        <f ca="1">Planung!$E11</f>
        <v>6</v>
      </c>
      <c r="C17" s="644">
        <f ca="1">Planung!$F11</f>
        <v>0.39930555555555558</v>
      </c>
      <c r="D17" s="645">
        <f ca="1">Planung!$G11</f>
        <v>2</v>
      </c>
      <c r="E17" s="645" t="str">
        <f ca="1">Planung!$H11</f>
        <v>B</v>
      </c>
      <c r="F17" s="512" t="str">
        <f ca="1">Planung!$L11</f>
        <v>FC Grönlingen</v>
      </c>
      <c r="G17" s="223" t="s">
        <v>5</v>
      </c>
      <c r="H17" s="515" t="str">
        <f ca="1">Planung!$N11</f>
        <v>Mainz 05</v>
      </c>
      <c r="I17" s="509">
        <v>0</v>
      </c>
      <c r="J17" s="501" t="str">
        <f>Sprache!$E$71</f>
        <v>:</v>
      </c>
      <c r="K17" s="502">
        <v>0</v>
      </c>
      <c r="M17" s="441">
        <f ca="1">IF(Calc1!$K$13=0,"",IF(VLOOKUP(Calc1!B9,Calc1!$C$4:$E$12,3,0)=MAX(M$12:M16),VLOOKUP(Calc1!B9,Calc1!$C$4:$E$12,3,0),Calc1!B9))</f>
        <v>5</v>
      </c>
      <c r="N17" s="442" t="str">
        <f ca="1">IF(Calc1!$F$14&lt;3,"",IF(Calc1!$K$13=0,Calc1!$Q69,VLOOKUP(Calc1!B9,Calc1!$C$4:$N$12,4,0)))</f>
        <v/>
      </c>
      <c r="O17" s="230">
        <f ca="1">IF(Calc1!$K$13=0,"",VLOOKUP(Calc1!B9,Calc1!$C$4:$N$12,9,0))</f>
        <v>0</v>
      </c>
      <c r="P17" s="231">
        <f ca="1">IF(Calc1!$K$13=0,"",VLOOKUP(Calc1!B9,Calc1!$C$4:$N$12,10,0))</f>
        <v>0</v>
      </c>
      <c r="Q17" s="231">
        <f ca="1">IF(Calc1!$K$13=0,"",VLOOKUP(Calc1!B9,Calc1!$C$4:$N$12,11,0))</f>
        <v>0</v>
      </c>
      <c r="R17" s="232">
        <f ca="1">IF(Calc1!$K$13=0,"",VLOOKUP(Calc1!B9,Calc1!$C$4:$N$12,12,0))</f>
        <v>0</v>
      </c>
      <c r="S17" s="233">
        <f ca="1">IF(Calc1!$K$13=0,"",VLOOKUP(Calc1!B9,Calc1!$C$4:$N$12,5,0))</f>
        <v>0</v>
      </c>
      <c r="T17" s="234" t="str">
        <f>Sprache!$E$71</f>
        <v>:</v>
      </c>
      <c r="U17" s="235">
        <f ca="1">IF(Calc1!$K$13=0,"",VLOOKUP(Calc1!B9,Calc1!$C$4:$N$12,6,0))</f>
        <v>0</v>
      </c>
      <c r="V17" s="230">
        <f ca="1">IF(Calc1!$K$13=0,"",VLOOKUP(Calc1!B9,Calc1!$C$4:$N$12,7,0))</f>
        <v>0</v>
      </c>
      <c r="W17" s="236">
        <f ca="1">IF(Calc1!$K$13=0,"",VLOOKUP(Calc1!B9,Calc1!$C$4:$N$12,8,0))</f>
        <v>0</v>
      </c>
      <c r="X17" s="237" t="str">
        <f ca="1">IFERROR(VLOOKUP($N17&amp;X$11,Calc1!$Z$64:$AB$207,3,0),"")</f>
        <v/>
      </c>
      <c r="Y17" s="231" t="str">
        <f ca="1">IFERROR(VLOOKUP($N17&amp;Y$11,Calc1!$Z$64:$AB$207,3,0),"")</f>
        <v/>
      </c>
      <c r="Z17" s="231" t="str">
        <f ca="1">IFERROR(VLOOKUP($N17&amp;Z$11,Calc1!$Z$64:$AB$207,3,0),"")</f>
        <v/>
      </c>
      <c r="AA17" s="231" t="str">
        <f ca="1">IFERROR(VLOOKUP($N17&amp;AA$11,Calc1!$Z$64:$AB$207,3,0),"")</f>
        <v/>
      </c>
      <c r="AB17" s="231" t="str">
        <f ca="1">IFERROR(VLOOKUP($N17&amp;AB$11,Calc1!$Z$64:$AB$207,3,0),"")</f>
        <v/>
      </c>
      <c r="AC17" s="238"/>
      <c r="AD17" s="340" t="str">
        <f t="shared" ca="1" si="0"/>
        <v/>
      </c>
      <c r="AG17" s="479" t="s">
        <v>216</v>
      </c>
      <c r="AH17" s="481" t="str">
        <f>IF(Planung!$C17="","",Planung!$C17)</f>
        <v/>
      </c>
      <c r="AI17" s="490"/>
    </row>
    <row r="18" spans="2:35" ht="24" customHeight="1" thickTop="1" x14ac:dyDescent="0.2">
      <c r="B18" s="506">
        <f ca="1">Planung!$E12</f>
        <v>7</v>
      </c>
      <c r="C18" s="644">
        <f ca="1">Planung!$F12</f>
        <v>0.39930555555555558</v>
      </c>
      <c r="D18" s="645">
        <f ca="1">Planung!$G12</f>
        <v>3</v>
      </c>
      <c r="E18" s="645" t="str">
        <f ca="1">Planung!$H12</f>
        <v>A</v>
      </c>
      <c r="F18" s="512" t="str">
        <f ca="1">Planung!$L12</f>
        <v>FC Barcelona</v>
      </c>
      <c r="G18" s="223" t="s">
        <v>5</v>
      </c>
      <c r="H18" s="515" t="str">
        <f ca="1">Planung!$N12</f>
        <v>Eintracht Frankfurt</v>
      </c>
      <c r="I18" s="509">
        <v>2</v>
      </c>
      <c r="J18" s="501" t="str">
        <f>Sprache!$E$71</f>
        <v>:</v>
      </c>
      <c r="K18" s="502">
        <v>1</v>
      </c>
      <c r="M18" s="339"/>
      <c r="N18" s="290"/>
      <c r="O18" s="291"/>
      <c r="P18" s="291"/>
      <c r="Q18" s="291"/>
      <c r="R18" s="291"/>
      <c r="S18" s="292"/>
      <c r="T18" s="291"/>
      <c r="U18" s="290"/>
      <c r="V18" s="291"/>
      <c r="W18" s="293"/>
      <c r="X18" s="291"/>
      <c r="Y18" s="291"/>
      <c r="Z18" s="291"/>
      <c r="AA18" s="291"/>
      <c r="AB18" s="291"/>
      <c r="AC18" s="291"/>
      <c r="AD18" s="290"/>
      <c r="AG18" s="339"/>
      <c r="AH18" s="290"/>
    </row>
    <row r="19" spans="2:35" ht="24" customHeight="1" thickBot="1" x14ac:dyDescent="0.25">
      <c r="B19" s="506">
        <f ca="1">Planung!$E13</f>
        <v>8</v>
      </c>
      <c r="C19" s="644">
        <f ca="1">Planung!$F13</f>
        <v>0.39930555555555558</v>
      </c>
      <c r="D19" s="645">
        <f ca="1">Planung!$G13</f>
        <v>4</v>
      </c>
      <c r="E19" s="645" t="str">
        <f ca="1">Planung!$H13</f>
        <v>B</v>
      </c>
      <c r="F19" s="512" t="str">
        <f ca="1">Planung!$L13</f>
        <v>Inter Mailand</v>
      </c>
      <c r="G19" s="223" t="s">
        <v>5</v>
      </c>
      <c r="H19" s="515" t="str">
        <f ca="1">Planung!$N13</f>
        <v>SSV Wildbach</v>
      </c>
      <c r="I19" s="509">
        <v>2</v>
      </c>
      <c r="J19" s="501" t="str">
        <f>Sprache!$E$71</f>
        <v>:</v>
      </c>
      <c r="K19" s="502">
        <v>1</v>
      </c>
      <c r="X19" s="315"/>
      <c r="Y19" s="315"/>
      <c r="Z19" s="315"/>
      <c r="AA19" s="315"/>
      <c r="AB19" s="315"/>
      <c r="AC19" s="315"/>
    </row>
    <row r="20" spans="2:35" ht="24" customHeight="1" thickBot="1" x14ac:dyDescent="0.45">
      <c r="B20" s="506">
        <f ca="1">Planung!$E14</f>
        <v>9</v>
      </c>
      <c r="C20" s="644">
        <f ca="1">Planung!$F14</f>
        <v>0.4236111111111111</v>
      </c>
      <c r="D20" s="645">
        <f ca="1">Planung!$G14</f>
        <v>1</v>
      </c>
      <c r="E20" s="645" t="str">
        <f ca="1">Planung!$H14</f>
        <v>A</v>
      </c>
      <c r="F20" s="512" t="str">
        <f ca="1">Planung!$L14</f>
        <v>1. FC Riedwald</v>
      </c>
      <c r="G20" s="223" t="s">
        <v>5</v>
      </c>
      <c r="H20" s="515" t="str">
        <f ca="1">Planung!$N14</f>
        <v>Maibach 1822 eV</v>
      </c>
      <c r="I20" s="509">
        <v>2</v>
      </c>
      <c r="J20" s="501" t="str">
        <f>Sprache!$E$71</f>
        <v>:</v>
      </c>
      <c r="K20" s="502">
        <v>0</v>
      </c>
      <c r="M20" s="738" t="str">
        <f>Sprache!$E$16&amp;" B"</f>
        <v>Gruppe B</v>
      </c>
      <c r="N20" s="738"/>
      <c r="O20" s="202"/>
      <c r="P20" s="202"/>
      <c r="Q20" s="202"/>
      <c r="R20" s="202"/>
      <c r="S20" s="202"/>
      <c r="T20" s="202"/>
      <c r="U20" s="202"/>
      <c r="V20" s="202"/>
      <c r="W20" s="202"/>
      <c r="X20" s="312" t="str">
        <f ca="1">IF(LEN(N22)&gt;Einstellungen!$C$17,LEFT(N22,Einstellungen!$C$17)&amp;".",N22)</f>
        <v>Manches.</v>
      </c>
      <c r="Y20" s="313" t="str">
        <f ca="1">IF(LEN(N23)&gt;Einstellungen!$C$17,LEFT(N23,Einstellungen!$C$17)&amp;".",N23)</f>
        <v>Inter M.</v>
      </c>
      <c r="Z20" s="313" t="str">
        <f ca="1">IF(LEN(N24)&gt;Einstellungen!$C$17,LEFT(N24,Einstellungen!$C$17)&amp;".",N24)</f>
        <v>Mainz 0.</v>
      </c>
      <c r="AA20" s="313" t="str">
        <f ca="1">IF(LEN(N25)&gt;Einstellungen!$C$17,LEFT(N25,Einstellungen!$C$17)&amp;".",N25)</f>
        <v>FC Grön.</v>
      </c>
      <c r="AB20" s="313" t="str">
        <f ca="1">IF(LEN(N26)&gt;Einstellungen!$C$17,LEFT(N26,Einstellungen!$C$17)&amp;".",N26)</f>
        <v>SSV Wil.</v>
      </c>
      <c r="AC20" s="314" t="str">
        <f ca="1">IF(LEN(N27)&gt;Einstellungen!$C$17,LEFT(N27,Einstellungen!$C$17)&amp;".",N27)</f>
        <v/>
      </c>
      <c r="AD20" s="203"/>
      <c r="AG20" s="738" t="str">
        <f>Sprache!$E$16&amp;" B"</f>
        <v>Gruppe B</v>
      </c>
      <c r="AH20" s="738"/>
    </row>
    <row r="21" spans="2:35" ht="24" customHeight="1" thickTop="1" thickBot="1" x14ac:dyDescent="0.25">
      <c r="B21" s="506">
        <f ca="1">Planung!$E15</f>
        <v>10</v>
      </c>
      <c r="C21" s="644">
        <f ca="1">Planung!$F15</f>
        <v>0.4236111111111111</v>
      </c>
      <c r="D21" s="645">
        <f ca="1">Planung!$G15</f>
        <v>2</v>
      </c>
      <c r="E21" s="645" t="str">
        <f ca="1">Planung!$H15</f>
        <v>B</v>
      </c>
      <c r="F21" s="512" t="str">
        <f ca="1">Planung!$L15</f>
        <v>Mainz 05</v>
      </c>
      <c r="G21" s="223" t="s">
        <v>5</v>
      </c>
      <c r="H21" s="515" t="str">
        <f ca="1">Planung!$N15</f>
        <v>Manchester City</v>
      </c>
      <c r="I21" s="509">
        <v>2</v>
      </c>
      <c r="J21" s="501" t="str">
        <f>Sprache!$E$71</f>
        <v>:</v>
      </c>
      <c r="K21" s="502">
        <v>6</v>
      </c>
      <c r="M21" s="736"/>
      <c r="N21" s="737"/>
      <c r="O21" s="204" t="str">
        <f>Sprache!$E$21</f>
        <v>SP</v>
      </c>
      <c r="P21" s="205" t="str">
        <f>Sprache!$E$22</f>
        <v>G</v>
      </c>
      <c r="Q21" s="205" t="str">
        <f>Sprache!$E$23</f>
        <v>U</v>
      </c>
      <c r="R21" s="279" t="str">
        <f>Sprache!$E$24</f>
        <v>V</v>
      </c>
      <c r="S21" s="733" t="str">
        <f>Sprache!$E$25</f>
        <v>Tore</v>
      </c>
      <c r="T21" s="734"/>
      <c r="U21" s="735"/>
      <c r="V21" s="205" t="str">
        <f>Sprache!$E$26</f>
        <v>Diff.</v>
      </c>
      <c r="W21" s="207" t="str">
        <f>Sprache!$E$27</f>
        <v>Pkt</v>
      </c>
      <c r="X21" s="208" t="str">
        <f ca="1">N22</f>
        <v>Manchester City</v>
      </c>
      <c r="Y21" s="209" t="str">
        <f ca="1">N23</f>
        <v>Inter Mailand</v>
      </c>
      <c r="Z21" s="209" t="str">
        <f ca="1">N24</f>
        <v>Mainz 05</v>
      </c>
      <c r="AA21" s="209" t="str">
        <f ca="1">N25</f>
        <v>FC Grönlingen</v>
      </c>
      <c r="AB21" s="209" t="str">
        <f ca="1">N26</f>
        <v>SSV Wildbach</v>
      </c>
      <c r="AC21" s="609" t="str">
        <f ca="1">N27</f>
        <v/>
      </c>
      <c r="AD21" s="203"/>
      <c r="AG21" s="484" t="str">
        <f>Sprache!$E$9</f>
        <v>Nr.</v>
      </c>
      <c r="AH21" s="485" t="str">
        <f>Sprache!$E$10</f>
        <v>Teilnehmer bzw. Mannschaft</v>
      </c>
      <c r="AI21" s="486" t="str">
        <f>Sprache!$E$49</f>
        <v>Bonus</v>
      </c>
    </row>
    <row r="22" spans="2:35" ht="24" customHeight="1" x14ac:dyDescent="0.2">
      <c r="B22" s="506">
        <f ca="1">Planung!$E16</f>
        <v>11</v>
      </c>
      <c r="C22" s="644">
        <f ca="1">Planung!$F16</f>
        <v>0.4236111111111111</v>
      </c>
      <c r="D22" s="645">
        <f ca="1">Planung!$G16</f>
        <v>3</v>
      </c>
      <c r="E22" s="645" t="str">
        <f ca="1">Planung!$H16</f>
        <v>A</v>
      </c>
      <c r="F22" s="512" t="str">
        <f ca="1">Planung!$L16</f>
        <v>Eintracht Frankfurt</v>
      </c>
      <c r="G22" s="223" t="s">
        <v>5</v>
      </c>
      <c r="H22" s="515" t="str">
        <f ca="1">Planung!$N16</f>
        <v>VFB Essenheim</v>
      </c>
      <c r="I22" s="509">
        <v>3</v>
      </c>
      <c r="J22" s="501" t="str">
        <f>Sprache!$E$71</f>
        <v>:</v>
      </c>
      <c r="K22" s="502">
        <v>2</v>
      </c>
      <c r="M22" s="437">
        <f ca="1">IF(Calc2!$K$13=0,"",1)</f>
        <v>1</v>
      </c>
      <c r="N22" s="438" t="str">
        <f ca="1">IF(Calc1!$F$14&lt;3,"",IF(Calc2!$K$13=0,Calc2!$Q64,VLOOKUP(Calc2!B4,Calc2!$C$4:$N$12,4,0)))</f>
        <v>Manchester City</v>
      </c>
      <c r="O22" s="210">
        <f ca="1">IF(Calc2!$K$13=0,"",VLOOKUP(Calc2!B4,Calc2!$C$4:$N$12,9,0))</f>
        <v>4</v>
      </c>
      <c r="P22" s="211">
        <f ca="1">IF(Calc2!$K$13=0,"",VLOOKUP(Calc2!B4,Calc2!$C$4:$N$12,10,0))</f>
        <v>4</v>
      </c>
      <c r="Q22" s="211">
        <f ca="1">IF(Calc2!$K$13=0,"",VLOOKUP(Calc2!B4,Calc2!$C$4:$N$12,11,0))</f>
        <v>0</v>
      </c>
      <c r="R22" s="212">
        <f ca="1">IF(Calc2!$K$13=0,"",VLOOKUP(Calc2!B4,Calc2!$C$4:$N$12,12,0))</f>
        <v>0</v>
      </c>
      <c r="S22" s="213">
        <f ca="1">IF(Calc2!$K$13=0,"",VLOOKUP(Calc2!B4,Calc2!$C$4:$N$12,5,0))</f>
        <v>18</v>
      </c>
      <c r="T22" s="214" t="str">
        <f>Sprache!$E$71</f>
        <v>:</v>
      </c>
      <c r="U22" s="215">
        <f ca="1">IF(Calc2!$K$13=0,"",VLOOKUP(Calc2!B4,Calc2!$C$4:$N$12,6,0))</f>
        <v>5</v>
      </c>
      <c r="V22" s="210">
        <f ca="1">IF(Calc2!$K$13=0,"",VLOOKUP(Calc2!B4,Calc2!$C$4:$N$12,7,0))</f>
        <v>13</v>
      </c>
      <c r="W22" s="216">
        <f ca="1">IF(Calc2!$K$13=0,"",VLOOKUP(Calc2!B4,Calc2!$C$4:$N$12,8,0))</f>
        <v>12</v>
      </c>
      <c r="X22" s="217"/>
      <c r="Y22" s="211" t="str">
        <f ca="1">IFERROR(VLOOKUP($N22&amp;Y$21,Calc2!$Z$64:$AB$207,3,0),"")</f>
        <v>2:0</v>
      </c>
      <c r="Z22" s="211" t="str">
        <f ca="1">IFERROR(VLOOKUP($N22&amp;Z$21,Calc2!$Z$64:$AB$207,3,0),"")</f>
        <v>6:2</v>
      </c>
      <c r="AA22" s="211" t="str">
        <f ca="1">IFERROR(VLOOKUP($N22&amp;AA$21,Calc2!$Z$64:$AB$207,3,0),"")</f>
        <v>5:1</v>
      </c>
      <c r="AB22" s="211" t="str">
        <f ca="1">IFERROR(VLOOKUP($N22&amp;AB$21,Calc2!$Z$64:$AB$207,3,0),"")</f>
        <v>5:2</v>
      </c>
      <c r="AC22" s="218" t="str">
        <f ca="1">IFERROR(VLOOKUP($N22&amp;AC$21,Calc2!$Z$64:$AB$207,3,0),"")</f>
        <v/>
      </c>
      <c r="AD22" s="219" t="str">
        <f t="shared" ref="AD22:AD27" ca="1" si="1">N22</f>
        <v>Manchester City</v>
      </c>
      <c r="AG22" s="482" t="s">
        <v>209</v>
      </c>
      <c r="AH22" s="483" t="str">
        <f>IF(Planung!$C24="","",Planung!$C24)</f>
        <v>Mainz 05</v>
      </c>
      <c r="AI22" s="488"/>
    </row>
    <row r="23" spans="2:35" ht="24" customHeight="1" x14ac:dyDescent="0.2">
      <c r="B23" s="506">
        <f ca="1">Planung!$E17</f>
        <v>12</v>
      </c>
      <c r="C23" s="644">
        <f ca="1">Planung!$F17</f>
        <v>0.4236111111111111</v>
      </c>
      <c r="D23" s="645">
        <f ca="1">Planung!$G17</f>
        <v>4</v>
      </c>
      <c r="E23" s="645" t="str">
        <f ca="1">Planung!$H17</f>
        <v>B</v>
      </c>
      <c r="F23" s="512" t="str">
        <f ca="1">Planung!$L17</f>
        <v>SSV Wildbach</v>
      </c>
      <c r="G23" s="223" t="s">
        <v>5</v>
      </c>
      <c r="H23" s="515" t="str">
        <f ca="1">Planung!$N17</f>
        <v>FC Grönlingen</v>
      </c>
      <c r="I23" s="509">
        <v>1</v>
      </c>
      <c r="J23" s="501" t="str">
        <f>Sprache!$E$71</f>
        <v>:</v>
      </c>
      <c r="K23" s="502">
        <v>1</v>
      </c>
      <c r="M23" s="439">
        <f ca="1">IF(Calc2!$K$13=0,"",IF(VLOOKUP(Calc2!B5,Calc2!$C$4:$E$12,3,0)=MAX(M$22:M22),VLOOKUP(Calc2!B5,Calc2!$C$4:$E$12,3,0),Calc2!B5))</f>
        <v>2</v>
      </c>
      <c r="N23" s="440" t="str">
        <f ca="1">IF(Calc1!$F$14&lt;3,"",IF(Calc2!$K$13=0,Calc2!$Q65,VLOOKUP(Calc2!B5,Calc2!$C$4:$N$12,4,0)))</f>
        <v>Inter Mailand</v>
      </c>
      <c r="O23" s="220">
        <f ca="1">IF(Calc2!$K$13=0,"",VLOOKUP(Calc2!B5,Calc2!$C$4:$N$12,9,0))</f>
        <v>4</v>
      </c>
      <c r="P23" s="201">
        <f ca="1">IF(Calc2!$K$13=0,"",VLOOKUP(Calc2!B5,Calc2!$C$4:$N$12,10,0))</f>
        <v>2</v>
      </c>
      <c r="Q23" s="201">
        <f ca="1">IF(Calc2!$K$13=0,"",VLOOKUP(Calc2!B5,Calc2!$C$4:$N$12,11,0))</f>
        <v>1</v>
      </c>
      <c r="R23" s="221">
        <f ca="1">IF(Calc2!$K$13=0,"",VLOOKUP(Calc2!B5,Calc2!$C$4:$N$12,12,0))</f>
        <v>1</v>
      </c>
      <c r="S23" s="222">
        <f ca="1">IF(Calc2!$K$13=0,"",VLOOKUP(Calc2!B5,Calc2!$C$4:$N$12,5,0))</f>
        <v>7</v>
      </c>
      <c r="T23" s="223" t="str">
        <f>Sprache!$E$71</f>
        <v>:</v>
      </c>
      <c r="U23" s="224">
        <f ca="1">IF(Calc2!$K$13=0,"",VLOOKUP(Calc2!B5,Calc2!$C$4:$N$12,6,0))</f>
        <v>6</v>
      </c>
      <c r="V23" s="220">
        <f ca="1">IF(Calc2!$K$13=0,"",VLOOKUP(Calc2!B5,Calc2!$C$4:$N$12,7,0))</f>
        <v>1</v>
      </c>
      <c r="W23" s="225">
        <f ca="1">IF(Calc2!$K$13=0,"",VLOOKUP(Calc2!B5,Calc2!$C$4:$N$12,8,0))</f>
        <v>7</v>
      </c>
      <c r="X23" s="226" t="str">
        <f ca="1">IFERROR(VLOOKUP($N23&amp;X$21,Calc2!$Z$64:$AB$207,3,0),"")</f>
        <v>0:2</v>
      </c>
      <c r="Y23" s="227"/>
      <c r="Z23" s="201" t="str">
        <f ca="1">IFERROR(VLOOKUP($N23&amp;Z$21,Calc2!$Z$64:$AB$207,3,0),"")</f>
        <v>1:1</v>
      </c>
      <c r="AA23" s="201" t="str">
        <f ca="1">IFERROR(VLOOKUP($N23&amp;AA$21,Calc2!$Z$64:$AB$207,3,0),"")</f>
        <v>4:2</v>
      </c>
      <c r="AB23" s="201" t="str">
        <f ca="1">IFERROR(VLOOKUP($N23&amp;AB$21,Calc2!$Z$64:$AB$207,3,0),"")</f>
        <v>2:1</v>
      </c>
      <c r="AC23" s="228" t="str">
        <f ca="1">IFERROR(VLOOKUP($N23&amp;AC$21,Calc2!$Z$64:$AB$207,3,0),"")</f>
        <v/>
      </c>
      <c r="AD23" s="229" t="str">
        <f t="shared" ca="1" si="1"/>
        <v>Inter Mailand</v>
      </c>
      <c r="AG23" s="478" t="s">
        <v>211</v>
      </c>
      <c r="AH23" s="480" t="str">
        <f>IF(Planung!$C26="","",Planung!$C26)</f>
        <v>Inter Mailand</v>
      </c>
      <c r="AI23" s="489"/>
    </row>
    <row r="24" spans="2:35" ht="24" customHeight="1" x14ac:dyDescent="0.2">
      <c r="B24" s="506">
        <f ca="1">Planung!$E18</f>
        <v>13</v>
      </c>
      <c r="C24" s="644">
        <f ca="1">Planung!$F18</f>
        <v>0.44791666666666669</v>
      </c>
      <c r="D24" s="645">
        <f ca="1">Planung!$G18</f>
        <v>1</v>
      </c>
      <c r="E24" s="645" t="str">
        <f ca="1">Planung!$H18</f>
        <v>A</v>
      </c>
      <c r="F24" s="512" t="str">
        <f ca="1">Planung!$L18</f>
        <v>FC Barcelona</v>
      </c>
      <c r="G24" s="223" t="s">
        <v>5</v>
      </c>
      <c r="H24" s="515" t="str">
        <f ca="1">Planung!$N18</f>
        <v>Maibach 1822 eV</v>
      </c>
      <c r="I24" s="509">
        <v>6</v>
      </c>
      <c r="J24" s="501" t="str">
        <f>Sprache!$E$71</f>
        <v>:</v>
      </c>
      <c r="K24" s="502">
        <v>0</v>
      </c>
      <c r="M24" s="439">
        <f ca="1">IF(Calc2!$K$13=0,"",IF(VLOOKUP(Calc2!B6,Calc2!$C$4:$E$12,3,0)=MAX(M$22:M23),VLOOKUP(Calc2!B6,Calc2!$C$4:$E$12,3,0),Calc2!B6))</f>
        <v>3</v>
      </c>
      <c r="N24" s="440" t="str">
        <f ca="1">IF(Calc1!$F$14&lt;3,"",IF(Calc2!$K$13=0,Calc2!$Q66,VLOOKUP(Calc2!B6,Calc2!$C$4:$N$12,4,0)))</f>
        <v>Mainz 05</v>
      </c>
      <c r="O24" s="220">
        <f ca="1">IF(Calc2!$K$13=0,"",VLOOKUP(Calc2!B6,Calc2!$C$4:$N$12,9,0))</f>
        <v>4</v>
      </c>
      <c r="P24" s="201">
        <f ca="1">IF(Calc2!$K$13=0,"",VLOOKUP(Calc2!B6,Calc2!$C$4:$N$12,10,0))</f>
        <v>1</v>
      </c>
      <c r="Q24" s="201">
        <f ca="1">IF(Calc2!$K$13=0,"",VLOOKUP(Calc2!B6,Calc2!$C$4:$N$12,11,0))</f>
        <v>2</v>
      </c>
      <c r="R24" s="221">
        <f ca="1">IF(Calc2!$K$13=0,"",VLOOKUP(Calc2!B6,Calc2!$C$4:$N$12,12,0))</f>
        <v>1</v>
      </c>
      <c r="S24" s="222">
        <f ca="1">IF(Calc2!$K$13=0,"",VLOOKUP(Calc2!B6,Calc2!$C$4:$N$12,5,0))</f>
        <v>5</v>
      </c>
      <c r="T24" s="223" t="str">
        <f>Sprache!$E$71</f>
        <v>:</v>
      </c>
      <c r="U24" s="224">
        <f ca="1">IF(Calc2!$K$13=0,"",VLOOKUP(Calc2!B6,Calc2!$C$4:$N$12,6,0))</f>
        <v>7</v>
      </c>
      <c r="V24" s="220">
        <f ca="1">IF(Calc2!$K$13=0,"",VLOOKUP(Calc2!B6,Calc2!$C$4:$N$12,7,0))</f>
        <v>-2</v>
      </c>
      <c r="W24" s="225">
        <f ca="1">IF(Calc2!$K$13=0,"",VLOOKUP(Calc2!B6,Calc2!$C$4:$N$12,8,0))</f>
        <v>5</v>
      </c>
      <c r="X24" s="226" t="str">
        <f ca="1">IFERROR(VLOOKUP($N24&amp;X$21,Calc2!$Z$64:$AB$207,3,0),"")</f>
        <v>2:6</v>
      </c>
      <c r="Y24" s="475" t="str">
        <f ca="1">IFERROR(VLOOKUP($N24&amp;Y$21,Calc2!$Z$64:$AB$207,3,0),"")</f>
        <v>1:1</v>
      </c>
      <c r="Z24" s="227"/>
      <c r="AA24" s="201" t="str">
        <f ca="1">IFERROR(VLOOKUP($N24&amp;AA$21,Calc2!$Z$64:$AB$207,3,0),"")</f>
        <v>0:0</v>
      </c>
      <c r="AB24" s="201" t="str">
        <f ca="1">IFERROR(VLOOKUP($N24&amp;AB$21,Calc2!$Z$64:$AB$207,3,0),"")</f>
        <v>2:0</v>
      </c>
      <c r="AC24" s="228" t="str">
        <f ca="1">IFERROR(VLOOKUP($N24&amp;AC$21,Calc2!$Z$64:$AB$207,3,0),"")</f>
        <v/>
      </c>
      <c r="AD24" s="229" t="str">
        <f t="shared" ca="1" si="1"/>
        <v>Mainz 05</v>
      </c>
      <c r="AG24" s="478" t="s">
        <v>207</v>
      </c>
      <c r="AH24" s="480" t="str">
        <f>IF(Planung!$C28="","",Planung!$C28)</f>
        <v>SSV Wildbach</v>
      </c>
      <c r="AI24" s="489"/>
    </row>
    <row r="25" spans="2:35" ht="24" customHeight="1" x14ac:dyDescent="0.2">
      <c r="B25" s="506">
        <f ca="1">Planung!$E19</f>
        <v>14</v>
      </c>
      <c r="C25" s="644">
        <f ca="1">Planung!$F19</f>
        <v>0.44791666666666669</v>
      </c>
      <c r="D25" s="645">
        <f ca="1">Planung!$G19</f>
        <v>2</v>
      </c>
      <c r="E25" s="645" t="str">
        <f ca="1">Planung!$H19</f>
        <v>B</v>
      </c>
      <c r="F25" s="512" t="str">
        <f ca="1">Planung!$L19</f>
        <v>Inter Mailand</v>
      </c>
      <c r="G25" s="223" t="s">
        <v>5</v>
      </c>
      <c r="H25" s="515" t="str">
        <f ca="1">Planung!$N19</f>
        <v>Manchester City</v>
      </c>
      <c r="I25" s="509">
        <v>0</v>
      </c>
      <c r="J25" s="501" t="str">
        <f>Sprache!$E$71</f>
        <v>:</v>
      </c>
      <c r="K25" s="502">
        <v>2</v>
      </c>
      <c r="M25" s="439">
        <f ca="1">IF(Calc2!$K$13=0,"",IF(VLOOKUP(Calc2!B7,Calc2!$C$4:$E$12,3,0)=MAX(M$22:M24),VLOOKUP(Calc2!B7,Calc2!$C$4:$E$12,3,0),Calc2!B7))</f>
        <v>4</v>
      </c>
      <c r="N25" s="440" t="str">
        <f ca="1">IF(Calc1!$F$14&lt;3,"",IF(Calc2!$K$13=0,Calc2!$Q67,VLOOKUP(Calc2!B7,Calc2!$C$4:$N$12,4,0)))</f>
        <v>FC Grönlingen</v>
      </c>
      <c r="O25" s="220">
        <f ca="1">IF(Calc2!$K$13=0,"",VLOOKUP(Calc2!B7,Calc2!$C$4:$N$12,9,0))</f>
        <v>4</v>
      </c>
      <c r="P25" s="201">
        <f ca="1">IF(Calc2!$K$13=0,"",VLOOKUP(Calc2!B7,Calc2!$C$4:$N$12,10,0))</f>
        <v>0</v>
      </c>
      <c r="Q25" s="201">
        <f ca="1">IF(Calc2!$K$13=0,"",VLOOKUP(Calc2!B7,Calc2!$C$4:$N$12,11,0))</f>
        <v>2</v>
      </c>
      <c r="R25" s="221">
        <f ca="1">IF(Calc2!$K$13=0,"",VLOOKUP(Calc2!B7,Calc2!$C$4:$N$12,12,0))</f>
        <v>2</v>
      </c>
      <c r="S25" s="222">
        <f ca="1">IF(Calc2!$K$13=0,"",VLOOKUP(Calc2!B7,Calc2!$C$4:$N$12,5,0))</f>
        <v>4</v>
      </c>
      <c r="T25" s="223" t="str">
        <f>Sprache!$E$71</f>
        <v>:</v>
      </c>
      <c r="U25" s="224">
        <f ca="1">IF(Calc2!$K$13=0,"",VLOOKUP(Calc2!B7,Calc2!$C$4:$N$12,6,0))</f>
        <v>10</v>
      </c>
      <c r="V25" s="220">
        <f ca="1">IF(Calc2!$K$13=0,"",VLOOKUP(Calc2!B7,Calc2!$C$4:$N$12,7,0))</f>
        <v>-6</v>
      </c>
      <c r="W25" s="225">
        <f ca="1">IF(Calc2!$K$13=0,"",VLOOKUP(Calc2!B7,Calc2!$C$4:$N$12,8,0))</f>
        <v>2</v>
      </c>
      <c r="X25" s="226" t="str">
        <f ca="1">IFERROR(VLOOKUP($N25&amp;X$21,Calc2!$Z$64:$AB$207,3,0),"")</f>
        <v>1:5</v>
      </c>
      <c r="Y25" s="475" t="str">
        <f ca="1">IFERROR(VLOOKUP($N25&amp;Y$21,Calc2!$Z$64:$AB$207,3,0),"")</f>
        <v>2:4</v>
      </c>
      <c r="Z25" s="201" t="str">
        <f ca="1">IFERROR(VLOOKUP($N25&amp;Z$21,Calc2!$Z$64:$AB$207,3,0),"")</f>
        <v>0:0</v>
      </c>
      <c r="AA25" s="227"/>
      <c r="AB25" s="201" t="str">
        <f ca="1">IFERROR(VLOOKUP($N25&amp;AB$21,Calc2!$Z$64:$AB$207,3,0),"")</f>
        <v>1:1</v>
      </c>
      <c r="AC25" s="228" t="str">
        <f ca="1">IFERROR(VLOOKUP($N25&amp;AC$21,Calc2!$Z$64:$AB$207,3,0),"")</f>
        <v/>
      </c>
      <c r="AD25" s="229" t="str">
        <f t="shared" ca="1" si="1"/>
        <v>FC Grönlingen</v>
      </c>
      <c r="AG25" s="478" t="s">
        <v>213</v>
      </c>
      <c r="AH25" s="480" t="str">
        <f>IF(Planung!$C30="","",Planung!$C30)</f>
        <v>Manchester City</v>
      </c>
      <c r="AI25" s="489"/>
    </row>
    <row r="26" spans="2:35" ht="24" customHeight="1" x14ac:dyDescent="0.2">
      <c r="B26" s="506">
        <f ca="1">Planung!$E20</f>
        <v>15</v>
      </c>
      <c r="C26" s="644">
        <f ca="1">Planung!$F20</f>
        <v>0.44791666666666669</v>
      </c>
      <c r="D26" s="645">
        <f ca="1">Planung!$G20</f>
        <v>3</v>
      </c>
      <c r="E26" s="645" t="str">
        <f ca="1">Planung!$H20</f>
        <v>A</v>
      </c>
      <c r="F26" s="512" t="str">
        <f ca="1">Planung!$L20</f>
        <v>Eintracht Frankfurt</v>
      </c>
      <c r="G26" s="223" t="s">
        <v>5</v>
      </c>
      <c r="H26" s="515" t="str">
        <f ca="1">Planung!$N20</f>
        <v>1. FC Riedwald</v>
      </c>
      <c r="I26" s="509">
        <v>4</v>
      </c>
      <c r="J26" s="501" t="str">
        <f>Sprache!$E$71</f>
        <v>:</v>
      </c>
      <c r="K26" s="502">
        <v>3</v>
      </c>
      <c r="M26" s="439">
        <f ca="1">IF(Calc2!$K$13=0,"",IF(VLOOKUP(Calc2!B8,Calc2!$C$4:$E$12,3,0)=MAX(M$22:M25),VLOOKUP(Calc2!B8,Calc2!$C$4:$E$12,3,0),Calc2!B8))</f>
        <v>5</v>
      </c>
      <c r="N26" s="440" t="str">
        <f ca="1">IF(Calc1!$F$14&lt;3,"",IF(Calc2!$K$13=0,Calc2!$Q68,VLOOKUP(Calc2!B8,Calc2!$C$4:$N$12,4,0)))</f>
        <v>SSV Wildbach</v>
      </c>
      <c r="O26" s="220">
        <f ca="1">IF(Calc2!$K$13=0,"",VLOOKUP(Calc2!B8,Calc2!$C$4:$N$12,9,0))</f>
        <v>4</v>
      </c>
      <c r="P26" s="201">
        <f ca="1">IF(Calc2!$K$13=0,"",VLOOKUP(Calc2!B8,Calc2!$C$4:$N$12,10,0))</f>
        <v>0</v>
      </c>
      <c r="Q26" s="201">
        <f ca="1">IF(Calc2!$K$13=0,"",VLOOKUP(Calc2!B8,Calc2!$C$4:$N$12,11,0))</f>
        <v>1</v>
      </c>
      <c r="R26" s="221">
        <f ca="1">IF(Calc2!$K$13=0,"",VLOOKUP(Calc2!B8,Calc2!$C$4:$N$12,12,0))</f>
        <v>3</v>
      </c>
      <c r="S26" s="222">
        <f ca="1">IF(Calc2!$K$13=0,"",VLOOKUP(Calc2!B8,Calc2!$C$4:$N$12,5,0))</f>
        <v>4</v>
      </c>
      <c r="T26" s="223" t="str">
        <f>Sprache!$E$71</f>
        <v>:</v>
      </c>
      <c r="U26" s="224">
        <f ca="1">IF(Calc2!$K$13=0,"",VLOOKUP(Calc2!B8,Calc2!$C$4:$N$12,6,0))</f>
        <v>10</v>
      </c>
      <c r="V26" s="220">
        <f ca="1">IF(Calc2!$K$13=0,"",VLOOKUP(Calc2!B8,Calc2!$C$4:$N$12,7,0))</f>
        <v>-6</v>
      </c>
      <c r="W26" s="225">
        <f ca="1">IF(Calc2!$K$13=0,"",VLOOKUP(Calc2!B8,Calc2!$C$4:$N$12,8,0))</f>
        <v>1</v>
      </c>
      <c r="X26" s="226" t="str">
        <f ca="1">IFERROR(VLOOKUP($N26&amp;X$21,Calc2!$Z$64:$AB$207,3,0),"")</f>
        <v>2:5</v>
      </c>
      <c r="Y26" s="475" t="str">
        <f ca="1">IFERROR(VLOOKUP($N26&amp;Y$21,Calc2!$Z$64:$AB$207,3,0),"")</f>
        <v>1:2</v>
      </c>
      <c r="Z26" s="201" t="str">
        <f ca="1">IFERROR(VLOOKUP($N26&amp;Z$21,Calc2!$Z$64:$AB$207,3,0),"")</f>
        <v>0:2</v>
      </c>
      <c r="AA26" s="201" t="str">
        <f ca="1">IFERROR(VLOOKUP($N26&amp;AA$21,Calc2!$Z$64:$AB$207,3,0),"")</f>
        <v>1:1</v>
      </c>
      <c r="AB26" s="227"/>
      <c r="AC26" s="228" t="str">
        <f ca="1">IFERROR(VLOOKUP($N26&amp;AC$21,Calc2!$Z$64:$AB$207,3,0),"")</f>
        <v/>
      </c>
      <c r="AD26" s="229" t="str">
        <f t="shared" ca="1" si="1"/>
        <v>SSV Wildbach</v>
      </c>
      <c r="AG26" s="478" t="s">
        <v>215</v>
      </c>
      <c r="AH26" s="480" t="str">
        <f>IF(Planung!$C32="","",Planung!$C32)</f>
        <v>FC Grönlingen</v>
      </c>
      <c r="AI26" s="489"/>
    </row>
    <row r="27" spans="2:35" ht="24" customHeight="1" thickBot="1" x14ac:dyDescent="0.25">
      <c r="B27" s="506">
        <f ca="1">Planung!$E21</f>
        <v>16</v>
      </c>
      <c r="C27" s="644">
        <f ca="1">Planung!$F21</f>
        <v>0.44791666666666669</v>
      </c>
      <c r="D27" s="645">
        <f ca="1">Planung!$G21</f>
        <v>4</v>
      </c>
      <c r="E27" s="645" t="str">
        <f ca="1">Planung!$H21</f>
        <v>B</v>
      </c>
      <c r="F27" s="512" t="str">
        <f ca="1">Planung!$L21</f>
        <v>SSV Wildbach</v>
      </c>
      <c r="G27" s="223" t="s">
        <v>5</v>
      </c>
      <c r="H27" s="515" t="str">
        <f ca="1">Planung!$N21</f>
        <v>Mainz 05</v>
      </c>
      <c r="I27" s="509">
        <v>0</v>
      </c>
      <c r="J27" s="501" t="str">
        <f>Sprache!$E$71</f>
        <v>:</v>
      </c>
      <c r="K27" s="502">
        <v>2</v>
      </c>
      <c r="M27" s="441">
        <f ca="1">IF(Calc2!$K$13=0,"",IF(VLOOKUP(Calc2!B9,Calc2!$C$4:$E$12,3,0)=MAX(M$22:M26),VLOOKUP(Calc2!B9,Calc2!$C$4:$E$12,3,0),Calc2!B9))</f>
        <v>6</v>
      </c>
      <c r="N27" s="442" t="str">
        <f ca="1">IF(Calc1!$F$14&lt;3,"",IF(Calc2!$K$13=0,Calc2!$Q69,VLOOKUP(Calc2!B9,Calc2!$C$4:$N$12,4,0)))</f>
        <v/>
      </c>
      <c r="O27" s="230">
        <f ca="1">IF(Calc2!$K$13=0,"",VLOOKUP(Calc2!B9,Calc2!$C$4:$N$12,9,0))</f>
        <v>0</v>
      </c>
      <c r="P27" s="231">
        <f ca="1">IF(Calc2!$K$13=0,"",VLOOKUP(Calc2!B9,Calc2!$C$4:$N$12,10,0))</f>
        <v>0</v>
      </c>
      <c r="Q27" s="231">
        <f ca="1">IF(Calc2!$K$13=0,"",VLOOKUP(Calc2!B9,Calc2!$C$4:$N$12,11,0))</f>
        <v>0</v>
      </c>
      <c r="R27" s="232">
        <f ca="1">IF(Calc2!$K$13=0,"",VLOOKUP(Calc2!B9,Calc2!$C$4:$N$12,12,0))</f>
        <v>0</v>
      </c>
      <c r="S27" s="233">
        <f ca="1">IF(Calc2!$K$13=0,"",VLOOKUP(Calc2!B9,Calc2!$C$4:$N$12,5,0))</f>
        <v>0</v>
      </c>
      <c r="T27" s="234" t="str">
        <f>Sprache!$E$71</f>
        <v>:</v>
      </c>
      <c r="U27" s="235">
        <f ca="1">IF(Calc2!$K$13=0,"",VLOOKUP(Calc2!B9,Calc2!$C$4:$N$12,6,0))</f>
        <v>0</v>
      </c>
      <c r="V27" s="230">
        <f ca="1">IF(Calc2!$K$13=0,"",VLOOKUP(Calc2!B9,Calc2!$C$4:$N$12,7,0))</f>
        <v>0</v>
      </c>
      <c r="W27" s="236">
        <f ca="1">IF(Calc2!$K$13=0,"",VLOOKUP(Calc2!B9,Calc2!$C$4:$N$12,8,0))</f>
        <v>0</v>
      </c>
      <c r="X27" s="237" t="str">
        <f ca="1">IFERROR(VLOOKUP($N27&amp;X$21,Calc2!$Z$64:$AB$207,3,0),"")</f>
        <v/>
      </c>
      <c r="Y27" s="231" t="str">
        <f ca="1">IFERROR(VLOOKUP($N27&amp;Y$21,Calc2!$Z$64:$AB$207,3,0),"")</f>
        <v/>
      </c>
      <c r="Z27" s="231" t="str">
        <f ca="1">IFERROR(VLOOKUP($N27&amp;Z$21,Calc2!$Z$64:$AB$207,3,0),"")</f>
        <v/>
      </c>
      <c r="AA27" s="231" t="str">
        <f ca="1">IFERROR(VLOOKUP($N27&amp;AA$21,Calc2!$Z$64:$AB$207,3,0),"")</f>
        <v/>
      </c>
      <c r="AB27" s="231" t="str">
        <f ca="1">IFERROR(VLOOKUP($N27&amp;AB$21,Calc2!$Z$64:$AB$207,3,0),"")</f>
        <v/>
      </c>
      <c r="AC27" s="238"/>
      <c r="AD27" s="340" t="str">
        <f t="shared" ca="1" si="1"/>
        <v/>
      </c>
      <c r="AG27" s="479" t="s">
        <v>217</v>
      </c>
      <c r="AH27" s="481" t="str">
        <f>IF(Planung!$C34="","",Planung!$C34)</f>
        <v/>
      </c>
      <c r="AI27" s="490"/>
    </row>
    <row r="28" spans="2:35" ht="24" customHeight="1" thickTop="1" x14ac:dyDescent="0.2">
      <c r="B28" s="506">
        <f ca="1">Planung!$E22</f>
        <v>17</v>
      </c>
      <c r="C28" s="644">
        <f ca="1">Planung!$F22</f>
        <v>0.47222222222222221</v>
      </c>
      <c r="D28" s="645">
        <f ca="1">Planung!$G22</f>
        <v>1</v>
      </c>
      <c r="E28" s="645" t="str">
        <f ca="1">Planung!$H22</f>
        <v>A</v>
      </c>
      <c r="F28" s="512" t="str">
        <f ca="1">Planung!$L22</f>
        <v>Maibach 1822 eV</v>
      </c>
      <c r="G28" s="223" t="s">
        <v>5</v>
      </c>
      <c r="H28" s="515" t="str">
        <f ca="1">Planung!$N22</f>
        <v>VFB Essenheim</v>
      </c>
      <c r="I28" s="509">
        <v>2</v>
      </c>
      <c r="J28" s="501" t="str">
        <f>Sprache!$E$71</f>
        <v>:</v>
      </c>
      <c r="K28" s="502">
        <v>4</v>
      </c>
    </row>
    <row r="29" spans="2:35" ht="24" customHeight="1" x14ac:dyDescent="0.2">
      <c r="B29" s="506">
        <f ca="1">Planung!$E23</f>
        <v>18</v>
      </c>
      <c r="C29" s="644">
        <f ca="1">Planung!$F23</f>
        <v>0.47222222222222221</v>
      </c>
      <c r="D29" s="645">
        <f ca="1">Planung!$G23</f>
        <v>2</v>
      </c>
      <c r="E29" s="645" t="str">
        <f ca="1">Planung!$H23</f>
        <v>B</v>
      </c>
      <c r="F29" s="512" t="str">
        <f ca="1">Planung!$L23</f>
        <v>Manchester City</v>
      </c>
      <c r="G29" s="223" t="s">
        <v>5</v>
      </c>
      <c r="H29" s="515" t="str">
        <f ca="1">Planung!$N23</f>
        <v>FC Grönlingen</v>
      </c>
      <c r="I29" s="509">
        <v>5</v>
      </c>
      <c r="J29" s="501" t="str">
        <f>Sprache!$E$71</f>
        <v>:</v>
      </c>
      <c r="K29" s="502">
        <v>1</v>
      </c>
      <c r="M29" s="283"/>
      <c r="N29" s="283"/>
      <c r="O29" s="283"/>
      <c r="P29" s="283"/>
      <c r="Q29" s="283"/>
      <c r="R29" s="283"/>
      <c r="S29" s="283"/>
      <c r="T29" s="283"/>
      <c r="U29" s="283"/>
      <c r="V29" s="283"/>
      <c r="W29" s="283"/>
      <c r="X29" s="283"/>
      <c r="Y29" s="283"/>
      <c r="Z29" s="283"/>
      <c r="AA29" s="283"/>
      <c r="AB29" s="283"/>
      <c r="AC29" s="283"/>
      <c r="AD29" s="283"/>
    </row>
    <row r="30" spans="2:35" ht="24" customHeight="1" x14ac:dyDescent="0.2">
      <c r="B30" s="506">
        <f ca="1">Planung!$E24</f>
        <v>19</v>
      </c>
      <c r="C30" s="644">
        <f ca="1">Planung!$F24</f>
        <v>0.47222222222222221</v>
      </c>
      <c r="D30" s="645">
        <f ca="1">Planung!$G24</f>
        <v>3</v>
      </c>
      <c r="E30" s="645" t="str">
        <f ca="1">Planung!$H24</f>
        <v>A</v>
      </c>
      <c r="F30" s="512" t="str">
        <f ca="1">Planung!$L24</f>
        <v>1. FC Riedwald</v>
      </c>
      <c r="G30" s="223" t="s">
        <v>5</v>
      </c>
      <c r="H30" s="515" t="str">
        <f ca="1">Planung!$N24</f>
        <v>FC Barcelona</v>
      </c>
      <c r="I30" s="509">
        <v>0</v>
      </c>
      <c r="J30" s="501" t="str">
        <f>Sprache!$E$71</f>
        <v>:</v>
      </c>
      <c r="K30" s="502">
        <v>3</v>
      </c>
      <c r="M30" s="752" t="str">
        <f>Sprache!$E$40</f>
        <v>Ende der Vorrunde:</v>
      </c>
      <c r="N30" s="752"/>
      <c r="O30" s="752"/>
      <c r="P30" s="752"/>
      <c r="Q30" s="752"/>
      <c r="R30" s="752"/>
      <c r="S30" s="752"/>
      <c r="T30" s="752"/>
      <c r="U30" s="752"/>
      <c r="V30" s="752"/>
      <c r="W30" s="751">
        <f ca="1">Planung!$R$13</f>
        <v>0.49305555555555558</v>
      </c>
      <c r="X30" s="751"/>
      <c r="Y30" s="751"/>
      <c r="Z30" s="751"/>
      <c r="AA30" s="751"/>
      <c r="AB30" s="751"/>
      <c r="AC30" s="751"/>
      <c r="AD30" s="751"/>
    </row>
    <row r="31" spans="2:35" ht="24" customHeight="1" x14ac:dyDescent="0.2">
      <c r="B31" s="506">
        <f ca="1">Planung!$E25</f>
        <v>20</v>
      </c>
      <c r="C31" s="644">
        <f ca="1">Planung!$F25</f>
        <v>0.47222222222222221</v>
      </c>
      <c r="D31" s="645">
        <f ca="1">Planung!$G25</f>
        <v>4</v>
      </c>
      <c r="E31" s="645" t="str">
        <f ca="1">Planung!$H25</f>
        <v>B</v>
      </c>
      <c r="F31" s="512" t="str">
        <f ca="1">Planung!$L25</f>
        <v>Mainz 05</v>
      </c>
      <c r="G31" s="223" t="s">
        <v>5</v>
      </c>
      <c r="H31" s="515" t="str">
        <f ca="1">Planung!$N25</f>
        <v>Inter Mailand</v>
      </c>
      <c r="I31" s="509">
        <v>1</v>
      </c>
      <c r="J31" s="501" t="str">
        <f>Sprache!$E$71</f>
        <v>:</v>
      </c>
      <c r="K31" s="502">
        <v>1</v>
      </c>
      <c r="M31" s="283"/>
      <c r="N31" s="283"/>
      <c r="O31" s="283"/>
      <c r="P31" s="283"/>
      <c r="Q31" s="283"/>
      <c r="R31" s="283"/>
      <c r="S31" s="283"/>
      <c r="T31" s="283"/>
      <c r="U31" s="283"/>
      <c r="V31" s="283"/>
      <c r="W31" s="283"/>
      <c r="X31" s="283"/>
      <c r="Y31" s="283"/>
      <c r="Z31" s="283"/>
      <c r="AA31" s="283"/>
      <c r="AB31" s="283"/>
      <c r="AC31" s="283"/>
      <c r="AD31" s="283"/>
    </row>
    <row r="32" spans="2:35" ht="24" customHeight="1" x14ac:dyDescent="0.4">
      <c r="B32" s="506" t="str">
        <f>Planung!$E26</f>
        <v/>
      </c>
      <c r="C32" s="644" t="str">
        <f>Planung!$F26</f>
        <v/>
      </c>
      <c r="D32" s="645" t="str">
        <f>Planung!$G26</f>
        <v/>
      </c>
      <c r="E32" s="645" t="str">
        <f ca="1">Planung!$H26</f>
        <v/>
      </c>
      <c r="F32" s="512" t="str">
        <f ca="1">Planung!$L26</f>
        <v/>
      </c>
      <c r="G32" s="223" t="s">
        <v>5</v>
      </c>
      <c r="H32" s="515" t="str">
        <f ca="1">Planung!$N26</f>
        <v/>
      </c>
      <c r="I32" s="509"/>
      <c r="J32" s="501" t="str">
        <f>Sprache!$E$71</f>
        <v>:</v>
      </c>
      <c r="K32" s="502"/>
      <c r="M32" s="283"/>
      <c r="N32" s="283"/>
      <c r="O32" s="283"/>
      <c r="P32" s="283"/>
      <c r="Q32" s="283"/>
      <c r="R32" s="283"/>
      <c r="S32" s="283"/>
      <c r="T32" s="283"/>
      <c r="U32" s="283"/>
      <c r="V32" s="283"/>
      <c r="W32" s="283"/>
      <c r="X32" s="345"/>
      <c r="Y32" s="345"/>
      <c r="Z32" s="345"/>
      <c r="AA32" s="345"/>
      <c r="AB32" s="345"/>
      <c r="AC32" s="345"/>
      <c r="AD32" s="283"/>
    </row>
    <row r="33" spans="2:30" ht="24" customHeight="1" x14ac:dyDescent="0.2">
      <c r="B33" s="506" t="str">
        <f>Planung!$E27</f>
        <v/>
      </c>
      <c r="C33" s="644" t="str">
        <f>Planung!$F27</f>
        <v/>
      </c>
      <c r="D33" s="645" t="str">
        <f>Planung!$G27</f>
        <v/>
      </c>
      <c r="E33" s="645" t="str">
        <f ca="1">Planung!$H27</f>
        <v/>
      </c>
      <c r="F33" s="512" t="str">
        <f ca="1">Planung!$L27</f>
        <v/>
      </c>
      <c r="G33" s="223" t="s">
        <v>5</v>
      </c>
      <c r="H33" s="515" t="str">
        <f ca="1">Planung!$N27</f>
        <v/>
      </c>
      <c r="I33" s="509"/>
      <c r="J33" s="501" t="str">
        <f>Sprache!$E$71</f>
        <v>:</v>
      </c>
      <c r="K33" s="502"/>
      <c r="M33" s="284"/>
      <c r="N33" s="283"/>
      <c r="O33" s="283"/>
      <c r="P33" s="283"/>
      <c r="Q33" s="283"/>
      <c r="R33" s="283"/>
      <c r="S33" s="283"/>
      <c r="T33" s="283"/>
      <c r="U33" s="283"/>
      <c r="V33" s="283"/>
      <c r="W33" s="283"/>
      <c r="X33" s="283"/>
      <c r="Y33" s="283"/>
      <c r="Z33" s="283"/>
      <c r="AA33" s="283"/>
      <c r="AB33" s="283"/>
      <c r="AC33" s="283"/>
      <c r="AD33" s="283"/>
    </row>
    <row r="34" spans="2:30" ht="24" customHeight="1" x14ac:dyDescent="0.2">
      <c r="B34" s="506" t="str">
        <f>Planung!$E28</f>
        <v/>
      </c>
      <c r="C34" s="644" t="str">
        <f>Planung!$F28</f>
        <v/>
      </c>
      <c r="D34" s="645" t="str">
        <f>Planung!$G28</f>
        <v/>
      </c>
      <c r="E34" s="645" t="str">
        <f ca="1">Planung!$H28</f>
        <v/>
      </c>
      <c r="F34" s="512" t="str">
        <f ca="1">Planung!$L28</f>
        <v/>
      </c>
      <c r="G34" s="223" t="s">
        <v>5</v>
      </c>
      <c r="H34" s="515" t="str">
        <f ca="1">Planung!$N28</f>
        <v/>
      </c>
      <c r="I34" s="509"/>
      <c r="J34" s="501" t="str">
        <f>Sprache!$E$71</f>
        <v>:</v>
      </c>
      <c r="K34" s="502"/>
      <c r="M34" s="285"/>
      <c r="N34" s="285"/>
      <c r="O34" s="285"/>
      <c r="P34" s="285"/>
      <c r="Q34" s="285"/>
      <c r="R34" s="285"/>
      <c r="S34" s="285"/>
      <c r="T34" s="285"/>
      <c r="U34" s="285"/>
      <c r="V34" s="285"/>
      <c r="W34" s="285"/>
      <c r="X34" s="286"/>
      <c r="Y34" s="286"/>
      <c r="Z34" s="286"/>
      <c r="AA34" s="286"/>
      <c r="AB34" s="286"/>
      <c r="AC34" s="286"/>
      <c r="AD34" s="287"/>
    </row>
    <row r="35" spans="2:30" ht="24" customHeight="1" x14ac:dyDescent="0.2">
      <c r="B35" s="506" t="str">
        <f>Planung!$E29</f>
        <v/>
      </c>
      <c r="C35" s="644" t="str">
        <f>Planung!$F29</f>
        <v/>
      </c>
      <c r="D35" s="645" t="str">
        <f>Planung!$G29</f>
        <v/>
      </c>
      <c r="E35" s="645" t="str">
        <f ca="1">Planung!$H29</f>
        <v/>
      </c>
      <c r="F35" s="512" t="str">
        <f ca="1">Planung!$L29</f>
        <v/>
      </c>
      <c r="G35" s="223" t="s">
        <v>5</v>
      </c>
      <c r="H35" s="515" t="str">
        <f ca="1">Planung!$N29</f>
        <v/>
      </c>
      <c r="I35" s="509"/>
      <c r="J35" s="501" t="str">
        <f>Sprache!$E$71</f>
        <v>:</v>
      </c>
      <c r="K35" s="502"/>
      <c r="M35" s="344"/>
      <c r="N35" s="344"/>
      <c r="O35" s="288"/>
      <c r="P35" s="288"/>
      <c r="Q35" s="288"/>
      <c r="R35" s="288"/>
      <c r="S35" s="343"/>
      <c r="T35" s="343"/>
      <c r="U35" s="343"/>
      <c r="V35" s="288"/>
      <c r="W35" s="288"/>
      <c r="X35" s="289"/>
      <c r="Y35" s="289"/>
      <c r="Z35" s="289"/>
      <c r="AA35" s="289"/>
      <c r="AB35" s="289"/>
      <c r="AC35" s="289"/>
      <c r="AD35" s="287"/>
    </row>
    <row r="36" spans="2:30" ht="24" customHeight="1" x14ac:dyDescent="0.2">
      <c r="B36" s="506" t="str">
        <f>Planung!$E30</f>
        <v/>
      </c>
      <c r="C36" s="644" t="str">
        <f>Planung!$F30</f>
        <v/>
      </c>
      <c r="D36" s="645" t="str">
        <f>Planung!$G30</f>
        <v/>
      </c>
      <c r="E36" s="645" t="str">
        <f ca="1">Planung!$H30</f>
        <v/>
      </c>
      <c r="F36" s="512" t="str">
        <f ca="1">Planung!$L30</f>
        <v/>
      </c>
      <c r="G36" s="223" t="s">
        <v>5</v>
      </c>
      <c r="H36" s="515" t="str">
        <f ca="1">Planung!$N30</f>
        <v/>
      </c>
      <c r="I36" s="509"/>
      <c r="J36" s="501" t="str">
        <f>Sprache!$E$71</f>
        <v>:</v>
      </c>
      <c r="K36" s="502"/>
      <c r="M36" s="285"/>
      <c r="N36" s="290"/>
      <c r="O36" s="291"/>
      <c r="P36" s="291"/>
      <c r="Q36" s="291"/>
      <c r="R36" s="291"/>
      <c r="S36" s="292"/>
      <c r="T36" s="291"/>
      <c r="U36" s="290"/>
      <c r="V36" s="291"/>
      <c r="W36" s="293"/>
      <c r="X36" s="291"/>
      <c r="Y36" s="291"/>
      <c r="Z36" s="291"/>
      <c r="AA36" s="291"/>
      <c r="AB36" s="291"/>
      <c r="AC36" s="291"/>
      <c r="AD36" s="290"/>
    </row>
    <row r="37" spans="2:30" ht="24" customHeight="1" x14ac:dyDescent="0.2">
      <c r="B37" s="506" t="str">
        <f>Planung!$E31</f>
        <v/>
      </c>
      <c r="C37" s="644" t="str">
        <f>Planung!$F31</f>
        <v/>
      </c>
      <c r="D37" s="645" t="str">
        <f>Planung!$G31</f>
        <v/>
      </c>
      <c r="E37" s="645" t="str">
        <f ca="1">Planung!$H31</f>
        <v/>
      </c>
      <c r="F37" s="512" t="str">
        <f ca="1">Planung!$L31</f>
        <v/>
      </c>
      <c r="G37" s="223" t="s">
        <v>5</v>
      </c>
      <c r="H37" s="515" t="str">
        <f ca="1">Planung!$N31</f>
        <v/>
      </c>
      <c r="I37" s="509"/>
      <c r="J37" s="501" t="str">
        <f>Sprache!$E$71</f>
        <v>:</v>
      </c>
      <c r="K37" s="502"/>
      <c r="M37" s="285"/>
      <c r="N37" s="290"/>
      <c r="O37" s="291"/>
      <c r="P37" s="291"/>
      <c r="Q37" s="291"/>
      <c r="R37" s="291"/>
      <c r="S37" s="292"/>
      <c r="T37" s="291"/>
      <c r="U37" s="290"/>
      <c r="V37" s="291"/>
      <c r="W37" s="293"/>
      <c r="X37" s="291"/>
      <c r="Y37" s="291"/>
      <c r="Z37" s="291"/>
      <c r="AA37" s="291"/>
      <c r="AB37" s="291"/>
      <c r="AC37" s="291"/>
      <c r="AD37" s="290"/>
    </row>
    <row r="38" spans="2:30" ht="24" customHeight="1" x14ac:dyDescent="0.2">
      <c r="B38" s="506" t="str">
        <f>Planung!$E32</f>
        <v/>
      </c>
      <c r="C38" s="644" t="str">
        <f>Planung!$F32</f>
        <v/>
      </c>
      <c r="D38" s="645" t="str">
        <f>Planung!$G32</f>
        <v/>
      </c>
      <c r="E38" s="645" t="str">
        <f ca="1">Planung!$H32</f>
        <v/>
      </c>
      <c r="F38" s="512" t="str">
        <f ca="1">Planung!$L32</f>
        <v/>
      </c>
      <c r="G38" s="223" t="s">
        <v>5</v>
      </c>
      <c r="H38" s="515" t="str">
        <f ca="1">Planung!$N32</f>
        <v/>
      </c>
      <c r="I38" s="509"/>
      <c r="J38" s="501" t="str">
        <f>Sprache!$E$71</f>
        <v>:</v>
      </c>
      <c r="K38" s="502"/>
      <c r="M38" s="285"/>
      <c r="N38" s="290"/>
      <c r="O38" s="291"/>
      <c r="P38" s="291"/>
      <c r="Q38" s="291"/>
      <c r="R38" s="291"/>
      <c r="S38" s="292"/>
      <c r="T38" s="291"/>
      <c r="U38" s="290"/>
      <c r="V38" s="291"/>
      <c r="W38" s="293"/>
      <c r="X38" s="291"/>
      <c r="Y38" s="291"/>
      <c r="Z38" s="291"/>
      <c r="AA38" s="291"/>
      <c r="AB38" s="291"/>
      <c r="AC38" s="291"/>
      <c r="AD38" s="290"/>
    </row>
    <row r="39" spans="2:30" ht="24" customHeight="1" x14ac:dyDescent="0.2">
      <c r="B39" s="506" t="str">
        <f>Planung!$E33</f>
        <v/>
      </c>
      <c r="C39" s="644" t="str">
        <f>Planung!$F33</f>
        <v/>
      </c>
      <c r="D39" s="645" t="str">
        <f>Planung!$G33</f>
        <v/>
      </c>
      <c r="E39" s="645" t="str">
        <f ca="1">Planung!$H33</f>
        <v/>
      </c>
      <c r="F39" s="512" t="str">
        <f ca="1">Planung!$L33</f>
        <v/>
      </c>
      <c r="G39" s="223" t="s">
        <v>5</v>
      </c>
      <c r="H39" s="515" t="str">
        <f ca="1">Planung!$N33</f>
        <v/>
      </c>
      <c r="I39" s="509"/>
      <c r="J39" s="501" t="str">
        <f>Sprache!$E$71</f>
        <v>:</v>
      </c>
      <c r="K39" s="502"/>
      <c r="M39" s="285"/>
      <c r="N39" s="290"/>
      <c r="O39" s="291"/>
      <c r="P39" s="291"/>
      <c r="Q39" s="291"/>
      <c r="R39" s="291"/>
      <c r="S39" s="292"/>
      <c r="T39" s="291"/>
      <c r="U39" s="290"/>
      <c r="V39" s="291"/>
      <c r="W39" s="293"/>
      <c r="X39" s="291"/>
      <c r="Y39" s="291"/>
      <c r="Z39" s="291"/>
      <c r="AA39" s="291"/>
      <c r="AB39" s="291"/>
      <c r="AC39" s="291"/>
      <c r="AD39" s="290"/>
    </row>
    <row r="40" spans="2:30" ht="24" customHeight="1" x14ac:dyDescent="0.2">
      <c r="B40" s="506" t="str">
        <f>Planung!$E34</f>
        <v/>
      </c>
      <c r="C40" s="644" t="str">
        <f>Planung!$F34</f>
        <v/>
      </c>
      <c r="D40" s="645" t="str">
        <f>Planung!$G34</f>
        <v/>
      </c>
      <c r="E40" s="645" t="str">
        <f ca="1">Planung!$H34</f>
        <v/>
      </c>
      <c r="F40" s="512" t="str">
        <f ca="1">Planung!$L34</f>
        <v/>
      </c>
      <c r="G40" s="223" t="s">
        <v>5</v>
      </c>
      <c r="H40" s="515" t="str">
        <f ca="1">Planung!$N34</f>
        <v/>
      </c>
      <c r="I40" s="509"/>
      <c r="J40" s="501" t="str">
        <f>Sprache!$E$71</f>
        <v>:</v>
      </c>
      <c r="K40" s="502"/>
      <c r="M40" s="285"/>
      <c r="N40" s="290"/>
      <c r="O40" s="291"/>
      <c r="P40" s="291"/>
      <c r="Q40" s="291"/>
      <c r="R40" s="291"/>
      <c r="S40" s="292"/>
      <c r="T40" s="291"/>
      <c r="U40" s="290"/>
      <c r="V40" s="291"/>
      <c r="W40" s="293"/>
      <c r="X40" s="291"/>
      <c r="Y40" s="291"/>
      <c r="Z40" s="291"/>
      <c r="AA40" s="291"/>
      <c r="AB40" s="291"/>
      <c r="AC40" s="291"/>
      <c r="AD40" s="290"/>
    </row>
    <row r="41" spans="2:30" ht="24" customHeight="1" thickBot="1" x14ac:dyDescent="0.25">
      <c r="B41" s="507" t="str">
        <f>Planung!$E35</f>
        <v/>
      </c>
      <c r="C41" s="646" t="str">
        <f>Planung!$F35</f>
        <v/>
      </c>
      <c r="D41" s="647" t="str">
        <f>Planung!$G35</f>
        <v/>
      </c>
      <c r="E41" s="647" t="str">
        <f ca="1">Planung!$H35</f>
        <v/>
      </c>
      <c r="F41" s="513" t="str">
        <f ca="1">Planung!$L35</f>
        <v/>
      </c>
      <c r="G41" s="234" t="s">
        <v>5</v>
      </c>
      <c r="H41" s="516" t="str">
        <f ca="1">Planung!$N35</f>
        <v/>
      </c>
      <c r="I41" s="510"/>
      <c r="J41" s="503" t="str">
        <f>Sprache!$E$71</f>
        <v>:</v>
      </c>
      <c r="K41" s="504"/>
      <c r="M41" s="285"/>
      <c r="N41" s="290"/>
      <c r="O41" s="291"/>
      <c r="P41" s="291"/>
      <c r="Q41" s="291"/>
      <c r="R41" s="291"/>
      <c r="S41" s="292"/>
      <c r="T41" s="291"/>
      <c r="U41" s="290"/>
      <c r="V41" s="291"/>
      <c r="W41" s="293"/>
      <c r="X41" s="291"/>
      <c r="Y41" s="291"/>
      <c r="Z41" s="291"/>
      <c r="AA41" s="291"/>
      <c r="AB41" s="291"/>
      <c r="AC41" s="291"/>
      <c r="AD41" s="290"/>
    </row>
    <row r="42" spans="2:30" ht="24" customHeight="1" thickTop="1" x14ac:dyDescent="0.2">
      <c r="B42" s="296"/>
      <c r="C42" s="297"/>
      <c r="D42" s="298"/>
      <c r="E42" s="298"/>
      <c r="F42" s="299"/>
      <c r="G42" s="296"/>
      <c r="H42" s="299"/>
      <c r="I42" s="300"/>
      <c r="J42" s="296"/>
      <c r="K42" s="301"/>
      <c r="M42" s="285"/>
      <c r="N42" s="290"/>
      <c r="O42" s="291"/>
      <c r="P42" s="291"/>
      <c r="Q42" s="291"/>
      <c r="R42" s="291"/>
      <c r="S42" s="292"/>
      <c r="T42" s="291"/>
      <c r="U42" s="290"/>
      <c r="V42" s="291"/>
      <c r="W42" s="293"/>
      <c r="X42" s="291"/>
      <c r="Y42" s="291"/>
      <c r="Z42" s="291"/>
      <c r="AA42" s="291"/>
      <c r="AB42" s="291"/>
      <c r="AC42" s="291"/>
      <c r="AD42" s="290"/>
    </row>
    <row r="43" spans="2:30" x14ac:dyDescent="0.2"/>
  </sheetData>
  <sheetProtection sheet="1" selectLockedCells="1"/>
  <mergeCells count="19">
    <mergeCell ref="W30:AD30"/>
    <mergeCell ref="M30:V30"/>
    <mergeCell ref="AG10:AH10"/>
    <mergeCell ref="AG20:AH20"/>
    <mergeCell ref="AG7:AI8"/>
    <mergeCell ref="M21:N21"/>
    <mergeCell ref="S21:U21"/>
    <mergeCell ref="M20:N20"/>
    <mergeCell ref="M1:N1"/>
    <mergeCell ref="F11:H11"/>
    <mergeCell ref="I11:K11"/>
    <mergeCell ref="K7:S8"/>
    <mergeCell ref="S11:U11"/>
    <mergeCell ref="M11:N11"/>
    <mergeCell ref="M10:N10"/>
    <mergeCell ref="G2:Y2"/>
    <mergeCell ref="G3:Y3"/>
    <mergeCell ref="G4:Y4"/>
    <mergeCell ref="G5:Y5"/>
  </mergeCells>
  <conditionalFormatting sqref="B12:K41">
    <cfRule type="expression" dxfId="26" priority="3">
      <formula>OR($F12="",$H12="")</formula>
    </cfRule>
  </conditionalFormatting>
  <conditionalFormatting sqref="M12:AD17 M22:AD27">
    <cfRule type="expression" dxfId="25" priority="2">
      <formula>$N12=""</formula>
    </cfRule>
  </conditionalFormatting>
  <conditionalFormatting sqref="M12:W17 M22:W27 AD12:AD17 AD22:AD27">
    <cfRule type="expression" dxfId="24" priority="1">
      <formula>OR(AND($M12=$M11,$N11&lt;&gt;""),AND($M12=$M13,$N13&lt;&gt;""))</formula>
    </cfRule>
  </conditionalFormatting>
  <dataValidations count="2">
    <dataValidation type="whole" allowBlank="1" showErrorMessage="1" errorTitle="Error" error="Maximal 999 !" sqref="I12:I42 K12:K42" xr:uid="{D9E07FCF-67B7-4BAF-9BC8-AE233331B860}">
      <formula1>0</formula1>
      <formula2>999</formula2>
    </dataValidation>
    <dataValidation type="whole" allowBlank="1" showInputMessage="1" showErrorMessage="1" sqref="AI12:AI17 AI22:AI27" xr:uid="{F8B159EB-3E39-407B-B2B3-70A1B1FF45BA}">
      <formula1>-99</formula1>
      <formula2>99</formula2>
    </dataValidation>
  </dataValidations>
  <pageMargins left="0.70866141732283472" right="0.70866141732283472" top="0.78740157480314965" bottom="0.78740157480314965" header="0.31496062992125984" footer="0.31496062992125984"/>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A37"/>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11.42578125" style="49" hidden="1" customWidth="1"/>
    <col min="20" max="20" width="19.5703125" style="49" hidden="1" customWidth="1"/>
    <col min="21" max="21" width="19.42578125" style="49" hidden="1" customWidth="1"/>
    <col min="22" max="16384" width="11.42578125" style="49" hidden="1"/>
  </cols>
  <sheetData>
    <row r="1" spans="2:27" ht="13.5" thickBot="1" x14ac:dyDescent="0.25"/>
    <row r="2" spans="2:27" ht="36" customHeight="1" thickTop="1" x14ac:dyDescent="0.2">
      <c r="E2" s="755" t="str">
        <f>Vorrunde!$G$2</f>
        <v>Internationales U10-Turnier am 10.04.2025</v>
      </c>
      <c r="F2" s="756"/>
      <c r="G2" s="756"/>
      <c r="H2" s="756"/>
      <c r="I2" s="756"/>
      <c r="J2" s="756"/>
      <c r="K2" s="756"/>
      <c r="L2" s="756"/>
      <c r="M2" s="756"/>
      <c r="N2" s="756"/>
      <c r="O2" s="756"/>
      <c r="P2" s="757"/>
    </row>
    <row r="3" spans="2:27" ht="30" customHeight="1" x14ac:dyDescent="0.2">
      <c r="E3" s="758" t="str">
        <f>Vorrunde!$G$3</f>
        <v>Organizer:  1. FC Riedwald</v>
      </c>
      <c r="F3" s="759"/>
      <c r="G3" s="759"/>
      <c r="H3" s="759"/>
      <c r="I3" s="759"/>
      <c r="J3" s="759"/>
      <c r="K3" s="759"/>
      <c r="L3" s="759"/>
      <c r="M3" s="759"/>
      <c r="N3" s="759"/>
      <c r="O3" s="759"/>
      <c r="P3" s="760"/>
    </row>
    <row r="4" spans="2:27" ht="30" customHeight="1" x14ac:dyDescent="0.2">
      <c r="E4" s="761" t="str">
        <f>Vorrunde!$G$4</f>
        <v>Sports hall Wiesengrund, Wendiger Str. 51, 65432 Riedwald</v>
      </c>
      <c r="F4" s="762"/>
      <c r="G4" s="762"/>
      <c r="H4" s="762"/>
      <c r="I4" s="762"/>
      <c r="J4" s="762"/>
      <c r="K4" s="762"/>
      <c r="L4" s="762"/>
      <c r="M4" s="762"/>
      <c r="N4" s="762"/>
      <c r="O4" s="762"/>
      <c r="P4" s="763"/>
    </row>
    <row r="5" spans="2:27" ht="30" customHeight="1" thickBot="1" x14ac:dyDescent="0.25">
      <c r="E5" s="764" t="str">
        <f>Vorrunde!$G$5</f>
        <v>Start:  9:00 Uhr</v>
      </c>
      <c r="F5" s="765"/>
      <c r="G5" s="765"/>
      <c r="H5" s="765"/>
      <c r="I5" s="765"/>
      <c r="J5" s="765"/>
      <c r="K5" s="765"/>
      <c r="L5" s="765"/>
      <c r="M5" s="765"/>
      <c r="N5" s="765"/>
      <c r="O5" s="765"/>
      <c r="P5" s="766"/>
    </row>
    <row r="6" spans="2:27" ht="18" customHeight="1" thickTop="1" thickBot="1" x14ac:dyDescent="0.25"/>
    <row r="7" spans="2:27" ht="30" customHeight="1" thickTop="1" x14ac:dyDescent="0.2">
      <c r="G7" s="771" t="str">
        <f>Sprache!$E$19</f>
        <v>Endrunde</v>
      </c>
      <c r="H7" s="772"/>
      <c r="I7" s="773"/>
    </row>
    <row r="8" spans="2:27" ht="30" customHeight="1" thickBot="1" x14ac:dyDescent="0.25">
      <c r="G8" s="774"/>
      <c r="H8" s="775"/>
      <c r="I8" s="776"/>
    </row>
    <row r="9" spans="2:27" ht="12.6" customHeight="1" thickTop="1" x14ac:dyDescent="0.2">
      <c r="P9" s="709" t="str">
        <f>Sprache!$E$20</f>
        <v>Zusätzl. Pause (min)</v>
      </c>
    </row>
    <row r="10" spans="2:27" ht="27.95" customHeight="1" thickBot="1" x14ac:dyDescent="0.35">
      <c r="C10" s="754" t="str">
        <f>Sprache!$E$55&amp;IF(MIN(Calc1!$F$13,Calc2!$F$13)*2&lt;2,""," 1 - "&amp;MIN(Calc1!$F$13,Calc2!$F$13)*2)</f>
        <v>Spiele um die Plätze  1 - 10</v>
      </c>
      <c r="D10" s="754"/>
      <c r="E10" s="754"/>
      <c r="F10" s="754"/>
      <c r="P10" s="709"/>
    </row>
    <row r="11" spans="2:27" ht="24" customHeight="1" thickTop="1" thickBot="1" x14ac:dyDescent="0.25">
      <c r="B11" s="399"/>
      <c r="C11" s="456" t="str">
        <f>Sprache!$E$9</f>
        <v>Nr.</v>
      </c>
      <c r="D11" s="395" t="str">
        <f>Sprache!$E$39</f>
        <v>Beginn</v>
      </c>
      <c r="E11" s="383" t="str">
        <f>Sprache!$E$48</f>
        <v>Feld</v>
      </c>
      <c r="F11" s="383"/>
      <c r="G11" s="725" t="str">
        <f>Sprache!$E$14</f>
        <v>Spielpaarung</v>
      </c>
      <c r="H11" s="725"/>
      <c r="I11" s="725"/>
      <c r="J11" s="725" t="str">
        <f>Sprache!$E$15</f>
        <v>Ergebnis</v>
      </c>
      <c r="K11" s="725"/>
      <c r="L11" s="725"/>
      <c r="M11" s="725" t="str">
        <f>Sprache!$E$61</f>
        <v>Elfmeter</v>
      </c>
      <c r="N11" s="725"/>
      <c r="O11" s="726"/>
      <c r="P11" s="710"/>
      <c r="S11" s="624" t="s">
        <v>16</v>
      </c>
      <c r="T11" s="625" t="s">
        <v>340</v>
      </c>
      <c r="U11" s="625" t="s">
        <v>345</v>
      </c>
      <c r="V11" s="624" t="s">
        <v>341</v>
      </c>
      <c r="X11" s="624"/>
      <c r="Y11" s="625"/>
      <c r="Z11" s="625"/>
      <c r="AA11" s="624"/>
    </row>
    <row r="12" spans="2:27" s="365" customFormat="1" ht="24" customHeight="1" x14ac:dyDescent="0.2">
      <c r="B12" s="443"/>
      <c r="C12" s="455">
        <f t="array" aca="1" ref="C12" ca="1">31-SUM(((Planung!$L$6:$L$35="")+(Planung!$N$6:$N$35="")&gt;0)*1)</f>
        <v>21</v>
      </c>
      <c r="D12" s="396">
        <f ca="1">IF(Planung!$U$15,"",Planung!$R$13+(Planung!$R$9+Planung!$P$35)/1440)</f>
        <v>0.49652777777777779</v>
      </c>
      <c r="E12" s="391">
        <f>IF(Planung!$U$15,"",1)</f>
        <v>1</v>
      </c>
      <c r="F12" s="379" t="s">
        <v>227</v>
      </c>
      <c r="G12" s="380" t="str">
        <f ca="1">Vorrunde!$N$17</f>
        <v/>
      </c>
      <c r="H12" s="381" t="s">
        <v>5</v>
      </c>
      <c r="I12" s="382" t="str">
        <f ca="1">Vorrunde!$N$27</f>
        <v/>
      </c>
      <c r="J12" s="384"/>
      <c r="K12" s="388" t="str">
        <f>Sprache!$E$71</f>
        <v>:</v>
      </c>
      <c r="L12" s="627"/>
      <c r="M12" s="431"/>
      <c r="N12" s="388" t="str">
        <f>Sprache!$E$71</f>
        <v>:</v>
      </c>
      <c r="O12" s="385"/>
      <c r="P12" s="392"/>
      <c r="S12" s="365" t="b">
        <f ca="1">AND($G12&lt;&gt;"",$I12&lt;&gt;"",$J12&lt;&gt;"",$L12&lt;&gt;"")</f>
        <v>0</v>
      </c>
      <c r="T12" s="365" t="str">
        <f ca="1">IF(NOT(S12),"",IF($J12&gt;$L12,$G12,IF($J12&lt;$L12,$I12,IF(OR($M12="",$O12="",$M12=$O12),"",IF($M12&gt;$O12,$G12,$I12)))))</f>
        <v/>
      </c>
      <c r="U12" s="365" t="str">
        <f ca="1">IF(NOT(S12),"",IF($J12&lt;$L12,$G12,IF($J12&gt;$L12,$I12,IF(OR($M12="",$O12="",$M12=$O12),"",IF($M12&lt;$O12,$G12,$I12)))))</f>
        <v/>
      </c>
      <c r="V12" s="365" t="b">
        <f ca="1">AND(S12,$J12=$L12)</f>
        <v>0</v>
      </c>
    </row>
    <row r="13" spans="2:27" s="365" customFormat="1" ht="24" customHeight="1" x14ac:dyDescent="0.2">
      <c r="B13" s="443"/>
      <c r="C13" s="445">
        <f t="array" aca="1" ref="C13" ca="1">ROW(32:32)-SUM(((Planung!$L$6:$L$35="")+(Planung!$N$6:$N$35="")&gt;0)*1)-SUM((($G$12:$G12="")+($I$12:$I12="")&gt;0)*1)</f>
        <v>21</v>
      </c>
      <c r="D13" s="397">
        <f t="array" aca="1" ref="D13" ca="1">IF(Planung!$U$15,"",$D$12+QUOTIENT(($C13-$C$12),Planung!$U$11)*(Planung!$R$7+Planung!$R$9)/1440+SUM($P$12:$P12)/1440)</f>
        <v>0.49652777777777779</v>
      </c>
      <c r="E13" s="391">
        <f ca="1">IF(Planung!$U$15,"",MOD($C13-$C$12,Planung!$U$11)+1)</f>
        <v>1</v>
      </c>
      <c r="F13" s="377" t="s">
        <v>228</v>
      </c>
      <c r="G13" s="373" t="str">
        <f ca="1">Vorrunde!$N$16</f>
        <v>Maibach 1822 eV</v>
      </c>
      <c r="H13" s="156" t="s">
        <v>5</v>
      </c>
      <c r="I13" s="375" t="str">
        <f ca="1">Vorrunde!$N$26</f>
        <v>SSV Wildbach</v>
      </c>
      <c r="J13" s="386">
        <v>2</v>
      </c>
      <c r="K13" s="388" t="str">
        <f>Sprache!$E$71</f>
        <v>:</v>
      </c>
      <c r="L13" s="628">
        <v>0</v>
      </c>
      <c r="M13" s="386"/>
      <c r="N13" s="388" t="str">
        <f>Sprache!$E$71</f>
        <v>:</v>
      </c>
      <c r="O13" s="370"/>
      <c r="P13" s="393"/>
      <c r="S13" s="365" t="b">
        <f t="shared" ref="S13:S17" ca="1" si="0">AND($G13&lt;&gt;"",$I13&lt;&gt;"",$J13&lt;&gt;"",$L13&lt;&gt;"")</f>
        <v>1</v>
      </c>
      <c r="T13" s="365" t="str">
        <f t="shared" ref="T13:T17" ca="1" si="1">IF(NOT(S13),"",IF($J13&gt;$L13,$G13,IF($J13&lt;$L13,$I13,IF(OR($M13="",$O13="",$M13=$O13),"",IF($M13&gt;$O13,$G13,$I13)))))</f>
        <v>Maibach 1822 eV</v>
      </c>
      <c r="U13" s="365" t="str">
        <f t="shared" ref="U13:U17" ca="1" si="2">IF(NOT(S13),"",IF($J13&lt;$L13,$G13,IF($J13&gt;$L13,$I13,IF(OR($M13="",$O13="",$M13=$O13),"",IF($M13&lt;$O13,$G13,$I13)))))</f>
        <v>SSV Wildbach</v>
      </c>
      <c r="V13" s="365" t="b">
        <f t="shared" ref="V13:V17" ca="1" si="3">AND(S13,$J13=$L13)</f>
        <v>0</v>
      </c>
    </row>
    <row r="14" spans="2:27" s="365" customFormat="1" ht="24" customHeight="1" x14ac:dyDescent="0.2">
      <c r="B14" s="443"/>
      <c r="C14" s="445">
        <f t="array" aca="1" ref="C14" ca="1">ROW(33:33)-SUM(((Planung!$L$6:$L$35="")+(Planung!$N$6:$N$35="")&gt;0)*1)-SUM((($G$12:$G13="")+($I$12:$I13="")&gt;0)*1)</f>
        <v>22</v>
      </c>
      <c r="D14" s="397">
        <f t="array" aca="1" ref="D14" ca="1">IF(Planung!$U$15,"",$D$12+QUOTIENT(($C14-$C$12),Planung!$U$11)*(Planung!$R$7+Planung!$R$9)/1440+SUM($P$12:$P13)/1440)</f>
        <v>0.49652777777777779</v>
      </c>
      <c r="E14" s="391">
        <f ca="1">IF(Planung!$U$15,"",MOD($C14-$C$12,Planung!$U$11)+1)</f>
        <v>2</v>
      </c>
      <c r="F14" s="377" t="s">
        <v>229</v>
      </c>
      <c r="G14" s="373" t="str">
        <f ca="1">Vorrunde!$N$15</f>
        <v>VFB Essenheim</v>
      </c>
      <c r="H14" s="156" t="s">
        <v>5</v>
      </c>
      <c r="I14" s="375" t="str">
        <f ca="1">Vorrunde!$N$25</f>
        <v>FC Grönlingen</v>
      </c>
      <c r="J14" s="386">
        <v>2</v>
      </c>
      <c r="K14" s="388" t="str">
        <f>Sprache!$E$71</f>
        <v>:</v>
      </c>
      <c r="L14" s="628">
        <v>4</v>
      </c>
      <c r="M14" s="386"/>
      <c r="N14" s="388" t="str">
        <f>Sprache!$E$71</f>
        <v>:</v>
      </c>
      <c r="O14" s="370"/>
      <c r="P14" s="393"/>
      <c r="S14" s="365" t="b">
        <f t="shared" ca="1" si="0"/>
        <v>1</v>
      </c>
      <c r="T14" s="365" t="str">
        <f t="shared" ca="1" si="1"/>
        <v>FC Grönlingen</v>
      </c>
      <c r="U14" s="365" t="str">
        <f t="shared" ca="1" si="2"/>
        <v>VFB Essenheim</v>
      </c>
      <c r="V14" s="365" t="b">
        <f t="shared" ca="1" si="3"/>
        <v>0</v>
      </c>
    </row>
    <row r="15" spans="2:27" s="365" customFormat="1" ht="24" customHeight="1" x14ac:dyDescent="0.2">
      <c r="B15" s="443"/>
      <c r="C15" s="445">
        <f t="array" aca="1" ref="C15" ca="1">ROW(34:34)-SUM(((Planung!$L$6:$L$35="")+(Planung!$N$6:$N$35="")&gt;0)*1)-SUM((($G$12:$G14="")+($I$12:$I14="")&gt;0)*1)</f>
        <v>23</v>
      </c>
      <c r="D15" s="397">
        <f t="array" aca="1" ref="D15" ca="1">IF(Planung!$U$15,"",$D$12+QUOTIENT(($C15-$C$12),Planung!$U$11)*(Planung!$R$7+Planung!$R$9)/1440+SUM($P$12:$P14)/1440)</f>
        <v>0.49652777777777779</v>
      </c>
      <c r="E15" s="391">
        <f ca="1">IF(Planung!$U$15,"",MOD($C15-$C$12,Planung!$U$11)+1)</f>
        <v>3</v>
      </c>
      <c r="F15" s="377" t="s">
        <v>230</v>
      </c>
      <c r="G15" s="373" t="str">
        <f ca="1">Vorrunde!$N$14</f>
        <v>1. FC Riedwald</v>
      </c>
      <c r="H15" s="156" t="s">
        <v>5</v>
      </c>
      <c r="I15" s="375" t="str">
        <f ca="1">Vorrunde!$N$24</f>
        <v>Mainz 05</v>
      </c>
      <c r="J15" s="386">
        <v>1</v>
      </c>
      <c r="K15" s="389" t="str">
        <f>Sprache!$E$71</f>
        <v>:</v>
      </c>
      <c r="L15" s="628">
        <v>2</v>
      </c>
      <c r="M15" s="386"/>
      <c r="N15" s="389" t="str">
        <f>Sprache!$E$71</f>
        <v>:</v>
      </c>
      <c r="O15" s="370"/>
      <c r="P15" s="393"/>
      <c r="S15" s="365" t="b">
        <f t="shared" ca="1" si="0"/>
        <v>1</v>
      </c>
      <c r="T15" s="365" t="str">
        <f t="shared" ca="1" si="1"/>
        <v>Mainz 05</v>
      </c>
      <c r="U15" s="365" t="str">
        <f t="shared" ca="1" si="2"/>
        <v>1. FC Riedwald</v>
      </c>
      <c r="V15" s="365" t="b">
        <f t="shared" ca="1" si="3"/>
        <v>0</v>
      </c>
    </row>
    <row r="16" spans="2:27" s="365" customFormat="1" ht="24" customHeight="1" x14ac:dyDescent="0.2">
      <c r="B16" s="443"/>
      <c r="C16" s="445">
        <f t="array" aca="1" ref="C16" ca="1">ROW(35:35)-SUM(((Planung!$L$6:$L$35="")+(Planung!$N$6:$N$35="")&gt;0)*1)-SUM((($G$12:$G15="")+($I$12:$I15="")&gt;0)*1)</f>
        <v>24</v>
      </c>
      <c r="D16" s="397">
        <f t="array" aca="1" ref="D16" ca="1">IF(Planung!$U$15,"",$D$12+QUOTIENT(($C16-$C$12),Planung!$U$11)*(Planung!$R$7+Planung!$R$9)/1440+SUM($P$12:$P15)/1440)</f>
        <v>0.49652777777777779</v>
      </c>
      <c r="E16" s="391">
        <f ca="1">IF(Planung!$U$15,"",MOD($C16-$C$12,Planung!$U$11)+1)</f>
        <v>4</v>
      </c>
      <c r="F16" s="377" t="s">
        <v>231</v>
      </c>
      <c r="G16" s="373" t="str">
        <f ca="1">Vorrunde!$N$13</f>
        <v>Eintracht Frankfurt</v>
      </c>
      <c r="H16" s="156" t="s">
        <v>5</v>
      </c>
      <c r="I16" s="375" t="str">
        <f ca="1">Vorrunde!$N$23</f>
        <v>Inter Mailand</v>
      </c>
      <c r="J16" s="386">
        <v>3</v>
      </c>
      <c r="K16" s="389" t="str">
        <f>Sprache!$E$71</f>
        <v>:</v>
      </c>
      <c r="L16" s="628">
        <v>2</v>
      </c>
      <c r="M16" s="386"/>
      <c r="N16" s="389" t="str">
        <f>Sprache!$E$71</f>
        <v>:</v>
      </c>
      <c r="O16" s="370"/>
      <c r="P16" s="408"/>
      <c r="S16" s="365" t="b">
        <f t="shared" ca="1" si="0"/>
        <v>1</v>
      </c>
      <c r="T16" s="365" t="str">
        <f t="shared" ca="1" si="1"/>
        <v>Eintracht Frankfurt</v>
      </c>
      <c r="U16" s="365" t="str">
        <f t="shared" ca="1" si="2"/>
        <v>Inter Mailand</v>
      </c>
      <c r="V16" s="365" t="b">
        <f t="shared" ca="1" si="3"/>
        <v>0</v>
      </c>
    </row>
    <row r="17" spans="2:22" s="365" customFormat="1" ht="24" customHeight="1" thickBot="1" x14ac:dyDescent="0.25">
      <c r="B17" s="443"/>
      <c r="C17" s="446">
        <f t="array" aca="1" ref="C17" ca="1">ROW(36:36)-SUM(((Planung!$L$6:$L$35="")+(Planung!$N$6:$N$35="")&gt;0)*1)-SUM((($G$12:$G16="")+($I$12:$I16="")&gt;0)*1)</f>
        <v>25</v>
      </c>
      <c r="D17" s="398">
        <f t="array" aca="1" ref="D17" ca="1">IF(Planung!$U$15,"",$D$12+QUOTIENT(($C17-$C$12),Planung!$U$11)*(Planung!$R$7+Planung!$R$9)/1440+SUM($P$12:$P16)/1440)</f>
        <v>0.52083333333333337</v>
      </c>
      <c r="E17" s="394">
        <f ca="1">IF(Planung!$U$15,"",MOD($C17-$C$12,Planung!$U$11)+1)</f>
        <v>1</v>
      </c>
      <c r="F17" s="378" t="s">
        <v>232</v>
      </c>
      <c r="G17" s="374" t="str">
        <f ca="1">Vorrunde!$N$12</f>
        <v>FC Barcelona</v>
      </c>
      <c r="H17" s="157" t="s">
        <v>5</v>
      </c>
      <c r="I17" s="376" t="str">
        <f ca="1">Vorrunde!$N$22</f>
        <v>Manchester City</v>
      </c>
      <c r="J17" s="387">
        <v>2</v>
      </c>
      <c r="K17" s="390" t="str">
        <f>Sprache!$E$71</f>
        <v>:</v>
      </c>
      <c r="L17" s="629">
        <v>2</v>
      </c>
      <c r="M17" s="387">
        <v>5</v>
      </c>
      <c r="N17" s="390" t="str">
        <f>Sprache!$E$71</f>
        <v>:</v>
      </c>
      <c r="O17" s="372">
        <v>4</v>
      </c>
      <c r="P17" s="409"/>
      <c r="S17" s="365" t="b">
        <f t="shared" ca="1" si="0"/>
        <v>1</v>
      </c>
      <c r="T17" s="365" t="str">
        <f t="shared" ca="1" si="1"/>
        <v>FC Barcelona</v>
      </c>
      <c r="U17" s="365" t="str">
        <f t="shared" ca="1" si="2"/>
        <v>Manchester City</v>
      </c>
      <c r="V17" s="365" t="b">
        <f t="shared" ca="1" si="3"/>
        <v>1</v>
      </c>
    </row>
    <row r="18" spans="2:22" ht="13.5" thickTop="1" x14ac:dyDescent="0.2"/>
    <row r="19" spans="2:22" ht="24" customHeight="1" x14ac:dyDescent="0.2">
      <c r="C19" s="405"/>
      <c r="D19" s="405"/>
      <c r="E19" s="405"/>
      <c r="F19" s="405"/>
      <c r="G19" s="785" t="str">
        <f>Sprache!$E$29</f>
        <v>Turnierende:</v>
      </c>
      <c r="H19" s="785"/>
      <c r="I19" s="406">
        <f ca="1">IF(Planung!$R$13="","",$D$17+Planung!$R$7/1440)</f>
        <v>0.54166666666666674</v>
      </c>
      <c r="J19" s="407"/>
      <c r="K19" s="407"/>
      <c r="L19" s="407"/>
      <c r="M19" s="407"/>
      <c r="N19" s="407"/>
      <c r="O19" s="407"/>
      <c r="P19" s="407"/>
    </row>
    <row r="20" spans="2:22" x14ac:dyDescent="0.2">
      <c r="D20" s="400"/>
    </row>
    <row r="21" spans="2:22" ht="13.5" thickBot="1" x14ac:dyDescent="0.25">
      <c r="D21" s="400"/>
    </row>
    <row r="22" spans="2:22" ht="22.5" customHeight="1" thickBot="1" x14ac:dyDescent="0.25">
      <c r="F22" s="518" t="str">
        <f>Sprache!$E$79</f>
        <v>Rang</v>
      </c>
      <c r="G22" s="769" t="str">
        <f>"  "&amp;Sprache!$E$10</f>
        <v xml:space="preserve">  Teilnehmer bzw. Mannschaft</v>
      </c>
      <c r="H22" s="769"/>
      <c r="I22" s="770"/>
    </row>
    <row r="23" spans="2:22" ht="24" customHeight="1" thickTop="1" x14ac:dyDescent="0.2">
      <c r="E23" s="401">
        <v>1</v>
      </c>
      <c r="F23" s="457">
        <v>1</v>
      </c>
      <c r="G23" s="779" t="str">
        <f ca="1">$T17</f>
        <v>FC Barcelona</v>
      </c>
      <c r="H23" s="779"/>
      <c r="I23" s="780"/>
    </row>
    <row r="24" spans="2:22" ht="24" customHeight="1" x14ac:dyDescent="0.2">
      <c r="E24" s="401">
        <v>2</v>
      </c>
      <c r="F24" s="458">
        <v>2</v>
      </c>
      <c r="G24" s="781" t="str">
        <f ca="1">$U17</f>
        <v>Manchester City</v>
      </c>
      <c r="H24" s="781"/>
      <c r="I24" s="782"/>
    </row>
    <row r="25" spans="2:22" ht="24" customHeight="1" x14ac:dyDescent="0.2">
      <c r="E25" s="401">
        <v>3</v>
      </c>
      <c r="F25" s="459">
        <v>3</v>
      </c>
      <c r="G25" s="783" t="str">
        <f ca="1">$T16</f>
        <v>Eintracht Frankfurt</v>
      </c>
      <c r="H25" s="783"/>
      <c r="I25" s="784"/>
    </row>
    <row r="26" spans="2:22" ht="24" customHeight="1" x14ac:dyDescent="0.2">
      <c r="E26" s="401">
        <v>4</v>
      </c>
      <c r="F26" s="460">
        <v>4</v>
      </c>
      <c r="G26" s="777" t="str">
        <f ca="1">$U16</f>
        <v>Inter Mailand</v>
      </c>
      <c r="H26" s="777"/>
      <c r="I26" s="778"/>
    </row>
    <row r="27" spans="2:22" ht="24" customHeight="1" x14ac:dyDescent="0.2">
      <c r="E27" s="401">
        <v>5</v>
      </c>
      <c r="F27" s="460">
        <v>5</v>
      </c>
      <c r="G27" s="777" t="str">
        <f ca="1">IF(AND($G15&lt;&gt;"",$I15=""),$G15,IF(AND($G15="",$I15&lt;&gt;""),$I15,$T15))</f>
        <v>Mainz 05</v>
      </c>
      <c r="H27" s="777"/>
      <c r="I27" s="778"/>
    </row>
    <row r="28" spans="2:22" ht="24" customHeight="1" x14ac:dyDescent="0.2">
      <c r="E28" s="401">
        <v>6</v>
      </c>
      <c r="F28" s="460">
        <v>6</v>
      </c>
      <c r="G28" s="777" t="str">
        <f ca="1">$U15</f>
        <v>1. FC Riedwald</v>
      </c>
      <c r="H28" s="777"/>
      <c r="I28" s="778"/>
    </row>
    <row r="29" spans="2:22" ht="24" customHeight="1" x14ac:dyDescent="0.2">
      <c r="E29" s="401">
        <v>7</v>
      </c>
      <c r="F29" s="460">
        <v>7</v>
      </c>
      <c r="G29" s="777" t="str">
        <f ca="1">IF(AND($G14&lt;&gt;"",$I14=""),$G14,IF(AND($G14="",$I14&lt;&gt;""),$I14,$T14))</f>
        <v>FC Grönlingen</v>
      </c>
      <c r="H29" s="777"/>
      <c r="I29" s="778"/>
    </row>
    <row r="30" spans="2:22" ht="24" customHeight="1" x14ac:dyDescent="0.2">
      <c r="E30" s="401">
        <v>8</v>
      </c>
      <c r="F30" s="460">
        <v>8</v>
      </c>
      <c r="G30" s="777" t="str">
        <f ca="1">$U14</f>
        <v>VFB Essenheim</v>
      </c>
      <c r="H30" s="777"/>
      <c r="I30" s="778"/>
    </row>
    <row r="31" spans="2:22" ht="24" customHeight="1" x14ac:dyDescent="0.2">
      <c r="E31" s="401">
        <v>9</v>
      </c>
      <c r="F31" s="460">
        <v>9</v>
      </c>
      <c r="G31" s="777" t="str">
        <f ca="1">IF(AND($G13&lt;&gt;"",$I13=""),$G13,IF(AND($G13="",$I13&lt;&gt;""),$I13,$T13))</f>
        <v>Maibach 1822 eV</v>
      </c>
      <c r="H31" s="777"/>
      <c r="I31" s="778"/>
    </row>
    <row r="32" spans="2:22" ht="24" customHeight="1" x14ac:dyDescent="0.2">
      <c r="E32" s="401">
        <v>10</v>
      </c>
      <c r="F32" s="460">
        <v>10</v>
      </c>
      <c r="G32" s="777" t="str">
        <f ca="1">$U13</f>
        <v>SSV Wildbach</v>
      </c>
      <c r="H32" s="777"/>
      <c r="I32" s="778"/>
    </row>
    <row r="33" spans="5:9" ht="24" customHeight="1" x14ac:dyDescent="0.2">
      <c r="E33" s="401">
        <v>11</v>
      </c>
      <c r="F33" s="460">
        <v>11</v>
      </c>
      <c r="G33" s="777" t="str">
        <f ca="1">IF(AND($G12&lt;&gt;"",$I12=""),$G12,IF(AND($G12="",$I12&lt;&gt;""),$I12,$T12))</f>
        <v/>
      </c>
      <c r="H33" s="777"/>
      <c r="I33" s="778"/>
    </row>
    <row r="34" spans="5:9" ht="24" customHeight="1" thickBot="1" x14ac:dyDescent="0.25">
      <c r="E34" s="401">
        <v>12</v>
      </c>
      <c r="F34" s="461">
        <v>12</v>
      </c>
      <c r="G34" s="767" t="str">
        <f ca="1">$U12</f>
        <v/>
      </c>
      <c r="H34" s="767"/>
      <c r="I34" s="768"/>
    </row>
    <row r="35" spans="5:9" ht="13.5" thickTop="1" x14ac:dyDescent="0.2"/>
    <row r="36" spans="5:9" x14ac:dyDescent="0.2"/>
    <row r="37" spans="5:9" x14ac:dyDescent="0.2"/>
  </sheetData>
  <sheetProtection sheet="1" selectLockedCells="1"/>
  <mergeCells count="24">
    <mergeCell ref="G34:I34"/>
    <mergeCell ref="G22:I22"/>
    <mergeCell ref="G7:I8"/>
    <mergeCell ref="G28:I28"/>
    <mergeCell ref="G29:I29"/>
    <mergeCell ref="G30:I30"/>
    <mergeCell ref="G31:I31"/>
    <mergeCell ref="G32:I32"/>
    <mergeCell ref="G33:I33"/>
    <mergeCell ref="G23:I23"/>
    <mergeCell ref="G24:I24"/>
    <mergeCell ref="G25:I25"/>
    <mergeCell ref="G26:I26"/>
    <mergeCell ref="G27:I27"/>
    <mergeCell ref="G11:I11"/>
    <mergeCell ref="G19:H19"/>
    <mergeCell ref="J11:L11"/>
    <mergeCell ref="C10:F10"/>
    <mergeCell ref="E2:P2"/>
    <mergeCell ref="E3:P3"/>
    <mergeCell ref="E4:P4"/>
    <mergeCell ref="E5:P5"/>
    <mergeCell ref="P9:P11"/>
    <mergeCell ref="M11:O11"/>
  </mergeCells>
  <conditionalFormatting sqref="C12:O17">
    <cfRule type="expression" dxfId="23" priority="3">
      <formula>OR($G12="",$I12="")</formula>
    </cfRule>
  </conditionalFormatting>
  <conditionalFormatting sqref="M12:O17">
    <cfRule type="expression" dxfId="22" priority="1">
      <formula>NOT($V12)</formula>
    </cfRule>
    <cfRule type="expression" dxfId="21"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 id="{17BB91E0-A3CE-4ED3-B5A3-AE335022FDB6}">
            <xm:f>$F26&gt;2*Calc1!$F$14-MOD((Calc1!$F$13+Calc2!$F$13),2)</xm:f>
            <x14:dxf>
              <numFmt numFmtId="165" formatCode=";;;"/>
            </x14:dxf>
          </x14:cfRule>
          <xm:sqref>F26:F34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XFC42"/>
  <sheetViews>
    <sheetView showGridLines="0" showRowColHeaders="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7109375" style="49" customWidth="1"/>
    <col min="4"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7" width="8" style="49" customWidth="1"/>
    <col min="18" max="18" width="11.42578125" customWidth="1"/>
    <col min="19" max="19" width="7.7109375" hidden="1"/>
    <col min="20" max="20" width="15.7109375" hidden="1"/>
    <col min="21" max="21" width="16.28515625" hidden="1"/>
    <col min="22" max="22" width="9.85546875" hidden="1"/>
    <col min="23" max="16383" width="11.42578125" hidden="1"/>
    <col min="16384" max="16384" width="7.7109375" hidden="1"/>
  </cols>
  <sheetData>
    <row r="1" spans="1:22" ht="13.5" thickBot="1" x14ac:dyDescent="0.25"/>
    <row r="2" spans="1:22" ht="36.75" thickTop="1" x14ac:dyDescent="0.2">
      <c r="E2" s="755" t="str">
        <f>Vorrunde!$G$2</f>
        <v>Internationales U10-Turnier am 10.04.2025</v>
      </c>
      <c r="F2" s="756"/>
      <c r="G2" s="756"/>
      <c r="H2" s="756"/>
      <c r="I2" s="756"/>
      <c r="J2" s="756"/>
      <c r="K2" s="756"/>
      <c r="L2" s="756"/>
      <c r="M2" s="756"/>
      <c r="N2" s="756"/>
      <c r="O2" s="756"/>
      <c r="P2" s="757"/>
    </row>
    <row r="3" spans="1:22" ht="30" customHeight="1" x14ac:dyDescent="0.2">
      <c r="E3" s="758" t="str">
        <f>Vorrunde!$G$3</f>
        <v>Organizer:  1. FC Riedwald</v>
      </c>
      <c r="F3" s="759"/>
      <c r="G3" s="759"/>
      <c r="H3" s="759"/>
      <c r="I3" s="759"/>
      <c r="J3" s="759"/>
      <c r="K3" s="759"/>
      <c r="L3" s="759"/>
      <c r="M3" s="759"/>
      <c r="N3" s="759"/>
      <c r="O3" s="759"/>
      <c r="P3" s="760"/>
    </row>
    <row r="4" spans="1:22" ht="30" customHeight="1" x14ac:dyDescent="0.2">
      <c r="E4" s="761" t="str">
        <f>Vorrunde!$G$4</f>
        <v>Sports hall Wiesengrund, Wendiger Str. 51, 65432 Riedwald</v>
      </c>
      <c r="F4" s="762"/>
      <c r="G4" s="762"/>
      <c r="H4" s="762"/>
      <c r="I4" s="762"/>
      <c r="J4" s="762"/>
      <c r="K4" s="762"/>
      <c r="L4" s="762"/>
      <c r="M4" s="762"/>
      <c r="N4" s="762"/>
      <c r="O4" s="762"/>
      <c r="P4" s="763"/>
    </row>
    <row r="5" spans="1:22" ht="30" customHeight="1" thickBot="1" x14ac:dyDescent="0.25">
      <c r="E5" s="764" t="str">
        <f>Vorrunde!$G$5</f>
        <v>Start:  9:00 Uhr</v>
      </c>
      <c r="F5" s="765"/>
      <c r="G5" s="765"/>
      <c r="H5" s="765"/>
      <c r="I5" s="765"/>
      <c r="J5" s="765"/>
      <c r="K5" s="765"/>
      <c r="L5" s="765"/>
      <c r="M5" s="765"/>
      <c r="N5" s="765"/>
      <c r="O5" s="765"/>
      <c r="P5" s="766"/>
    </row>
    <row r="6" spans="1:22" ht="18" customHeight="1" thickTop="1" thickBot="1" x14ac:dyDescent="0.25"/>
    <row r="7" spans="1:22" ht="30" customHeight="1" thickTop="1" x14ac:dyDescent="0.2">
      <c r="G7" s="771" t="str">
        <f>Sprache!$E$19</f>
        <v>Endrunde</v>
      </c>
      <c r="H7" s="772"/>
      <c r="I7" s="773"/>
    </row>
    <row r="8" spans="1:22" ht="30" customHeight="1" thickBot="1" x14ac:dyDescent="0.25">
      <c r="G8" s="774"/>
      <c r="H8" s="775"/>
      <c r="I8" s="776"/>
    </row>
    <row r="9" spans="1:22" ht="12.6" customHeight="1" thickTop="1" x14ac:dyDescent="0.2">
      <c r="P9" s="709" t="str">
        <f>Sprache!$E$20</f>
        <v>Zusätzl. Pause (min)</v>
      </c>
    </row>
    <row r="10" spans="1:22" ht="27.95" customHeight="1" thickBot="1" x14ac:dyDescent="0.35">
      <c r="C10" s="754" t="str">
        <f>Sprache!$E$55&amp;IF(MIN(Calc1!$F$13,Calc2!$F$13)*2&lt;6,""," 5 - "&amp;MIN(Calc1!$F$13,Calc2!$F$13)*2)</f>
        <v>Spiele um die Plätze  5 - 10</v>
      </c>
      <c r="D10" s="754"/>
      <c r="E10" s="754"/>
      <c r="F10" s="754"/>
      <c r="P10" s="709"/>
    </row>
    <row r="11" spans="1:22" ht="24" customHeight="1" thickTop="1" thickBot="1" x14ac:dyDescent="0.25">
      <c r="B11" s="399"/>
      <c r="C11" s="456" t="str">
        <f>Sprache!$E$9</f>
        <v>Nr.</v>
      </c>
      <c r="D11" s="395" t="str">
        <f>Sprache!$E$39</f>
        <v>Beginn</v>
      </c>
      <c r="E11" s="383" t="str">
        <f>Sprache!$E$48</f>
        <v>Feld</v>
      </c>
      <c r="F11" s="383"/>
      <c r="G11" s="787" t="str">
        <f>Sprache!$E$14</f>
        <v>Spielpaarung</v>
      </c>
      <c r="H11" s="788"/>
      <c r="I11" s="789"/>
      <c r="J11" s="790" t="str">
        <f>Sprache!$E$15</f>
        <v>Ergebnis</v>
      </c>
      <c r="K11" s="788"/>
      <c r="L11" s="789"/>
      <c r="M11" s="790" t="str">
        <f>Sprache!$E$61</f>
        <v>Elfmeter</v>
      </c>
      <c r="N11" s="788"/>
      <c r="O11" s="791"/>
      <c r="P11" s="710"/>
      <c r="S11" s="633" t="s">
        <v>16</v>
      </c>
      <c r="T11" s="634" t="s">
        <v>340</v>
      </c>
      <c r="U11" s="634" t="s">
        <v>345</v>
      </c>
      <c r="V11" s="633" t="s">
        <v>341</v>
      </c>
    </row>
    <row r="12" spans="1:22" ht="24" customHeight="1" x14ac:dyDescent="0.2">
      <c r="A12" s="365"/>
      <c r="B12" s="443"/>
      <c r="C12" s="447">
        <f t="array" aca="1" ref="C12" ca="1">31-SUM(((Planung!$L$6:$L$35="")+(Planung!$N$6:$N$35="")&gt;0)*1)</f>
        <v>21</v>
      </c>
      <c r="D12" s="450">
        <f ca="1">IF(Planung!$U$15,"",Planung!$R$13+(Planung!$R$9+Planung!$P$35)/1440)</f>
        <v>0.49652777777777779</v>
      </c>
      <c r="E12" s="427">
        <f>IF(Planung!$U$15,"",1)</f>
        <v>1</v>
      </c>
      <c r="F12" s="428" t="s">
        <v>227</v>
      </c>
      <c r="G12" s="429" t="str">
        <f ca="1">Vorrunde!$N$17</f>
        <v/>
      </c>
      <c r="H12" s="155" t="s">
        <v>5</v>
      </c>
      <c r="I12" s="430" t="str">
        <f ca="1">Vorrunde!$N$27</f>
        <v/>
      </c>
      <c r="J12" s="431"/>
      <c r="K12" s="432" t="str">
        <f>Sprache!$E$71</f>
        <v>:</v>
      </c>
      <c r="L12" s="433"/>
      <c r="M12" s="434"/>
      <c r="N12" s="432" t="str">
        <f>Sprache!$E$71</f>
        <v>:</v>
      </c>
      <c r="O12" s="435"/>
      <c r="P12" s="392"/>
      <c r="Q12" s="365"/>
      <c r="S12" s="630" t="b">
        <f ca="1">AND($G12&lt;&gt;"",$I12&lt;&gt;"",$J12&lt;&gt;"",$L12&lt;&gt;"")</f>
        <v>0</v>
      </c>
      <c r="T12" s="630" t="str">
        <f ca="1">IF(NOT(S12),"",IF($J12&gt;$L12,$G12,IF($J12&lt;$L12,$I12,IF(OR($M12="",$O12="",$M12=$O12),"",IF($M12&gt;$O12,$G12,$I12)))))</f>
        <v/>
      </c>
      <c r="U12" s="630" t="str">
        <f ca="1">IF(NOT(S12),"",IF($J12&lt;$L12,$G12,IF($J12&gt;$L12,$I12,IF(OR($M12="",$O12="",$M12=$O12),"",IF($M12&lt;$O12,$G12,$I12)))))</f>
        <v/>
      </c>
      <c r="V12" s="630" t="b">
        <f ca="1">AND(S12,$J12=$L12)</f>
        <v>0</v>
      </c>
    </row>
    <row r="13" spans="1:22" ht="24" customHeight="1" x14ac:dyDescent="0.2">
      <c r="A13" s="365"/>
      <c r="B13" s="443"/>
      <c r="C13" s="448">
        <f t="array" aca="1" ref="C13" ca="1">ROW(32:32)-SUM(((Planung!$L$6:$L$35="")+(Planung!$N$6:$N$35="")&gt;0)*1)-SUM((($G$12:$G12="")+($I$12:$I12="")&gt;0)*1)</f>
        <v>21</v>
      </c>
      <c r="D13" s="451">
        <f t="array" aca="1" ref="D13" ca="1">IF(Planung!$U$15,"",$D$12+QUOTIENT(($C13-$C$12),Planung!$U$11)*(Planung!$R$7+Planung!$R$9)/1440+SUM($P$12:$P12)/1440)</f>
        <v>0.49652777777777779</v>
      </c>
      <c r="E13" s="599">
        <f ca="1">IF(Planung!$U$15,"",MOD($C13-$C$12,Planung!$U$11)+1)</f>
        <v>1</v>
      </c>
      <c r="F13" s="377" t="s">
        <v>228</v>
      </c>
      <c r="G13" s="373" t="str">
        <f ca="1">Vorrunde!$N$16</f>
        <v>Maibach 1822 eV</v>
      </c>
      <c r="H13" s="156" t="s">
        <v>5</v>
      </c>
      <c r="I13" s="375" t="str">
        <f ca="1">Vorrunde!$N$26</f>
        <v>SSV Wildbach</v>
      </c>
      <c r="J13" s="386">
        <v>2</v>
      </c>
      <c r="K13" s="388" t="str">
        <f>Sprache!$E$71</f>
        <v>:</v>
      </c>
      <c r="L13" s="369">
        <v>0</v>
      </c>
      <c r="M13" s="403"/>
      <c r="N13" s="388" t="str">
        <f>Sprache!$E$71</f>
        <v>:</v>
      </c>
      <c r="O13" s="370"/>
      <c r="P13" s="393"/>
      <c r="Q13" s="365"/>
      <c r="S13" s="631" t="b">
        <f t="shared" ref="S13:S15" ca="1" si="0">AND($G13&lt;&gt;"",$I13&lt;&gt;"",$J13&lt;&gt;"",$L13&lt;&gt;"")</f>
        <v>1</v>
      </c>
      <c r="T13" s="631" t="str">
        <f t="shared" ref="T13:T15" ca="1" si="1">IF(NOT(S13),"",IF($J13&gt;$L13,$G13,IF($J13&lt;$L13,$I13,IF(OR($M13="",$O13="",$M13=$O13),"",IF($M13&gt;$O13,$G13,$I13)))))</f>
        <v>Maibach 1822 eV</v>
      </c>
      <c r="U13" s="631" t="str">
        <f t="shared" ref="U13:U15" ca="1" si="2">IF(NOT(S13),"",IF($J13&lt;$L13,$G13,IF($J13&gt;$L13,$I13,IF(OR($M13="",$O13="",$M13=$O13),"",IF($M13&lt;$O13,$G13,$I13)))))</f>
        <v>SSV Wildbach</v>
      </c>
      <c r="V13" s="631" t="b">
        <f t="shared" ref="V13:V15" ca="1" si="3">AND(S13,$J13=$L13)</f>
        <v>0</v>
      </c>
    </row>
    <row r="14" spans="1:22" ht="24" customHeight="1" x14ac:dyDescent="0.2">
      <c r="A14" s="365"/>
      <c r="B14" s="443"/>
      <c r="C14" s="448">
        <f t="array" aca="1" ref="C14" ca="1">ROW(33:33)-SUM(((Planung!$L$6:$L$35="")+(Planung!$N$6:$N$35="")&gt;0)*1)-SUM((($G$12:$G13="")+($I$12:$I13="")&gt;0)*1)</f>
        <v>22</v>
      </c>
      <c r="D14" s="451">
        <f t="array" aca="1" ref="D14" ca="1">IF(Planung!$U$15,"",$D$12+QUOTIENT(($C14-$C$12),Planung!$U$11)*(Planung!$R$7+Planung!$R$9)/1440+SUM($P$12:$P13)/1440)</f>
        <v>0.49652777777777779</v>
      </c>
      <c r="E14" s="599">
        <f ca="1">IF(Planung!$U$15,"",MOD($C14-$C$12,Planung!$U$11)+1)</f>
        <v>2</v>
      </c>
      <c r="F14" s="377" t="s">
        <v>229</v>
      </c>
      <c r="G14" s="373" t="str">
        <f ca="1">Vorrunde!$N$15</f>
        <v>VFB Essenheim</v>
      </c>
      <c r="H14" s="156" t="s">
        <v>5</v>
      </c>
      <c r="I14" s="375" t="str">
        <f ca="1">Vorrunde!$N$25</f>
        <v>FC Grönlingen</v>
      </c>
      <c r="J14" s="386">
        <v>1</v>
      </c>
      <c r="K14" s="388" t="str">
        <f>Sprache!$E$71</f>
        <v>:</v>
      </c>
      <c r="L14" s="369">
        <v>3</v>
      </c>
      <c r="M14" s="403"/>
      <c r="N14" s="388" t="str">
        <f>Sprache!$E$71</f>
        <v>:</v>
      </c>
      <c r="O14" s="370"/>
      <c r="P14" s="393"/>
      <c r="Q14" s="365"/>
      <c r="S14" s="631" t="b">
        <f t="shared" ca="1" si="0"/>
        <v>1</v>
      </c>
      <c r="T14" s="631" t="str">
        <f t="shared" ca="1" si="1"/>
        <v>FC Grönlingen</v>
      </c>
      <c r="U14" s="631" t="str">
        <f t="shared" ca="1" si="2"/>
        <v>VFB Essenheim</v>
      </c>
      <c r="V14" s="631" t="b">
        <f t="shared" ca="1" si="3"/>
        <v>0</v>
      </c>
    </row>
    <row r="15" spans="1:22" ht="24" customHeight="1" thickBot="1" x14ac:dyDescent="0.25">
      <c r="A15" s="365"/>
      <c r="B15" s="443"/>
      <c r="C15" s="449">
        <f t="array" aca="1" ref="C15" ca="1">ROW(34:34)-SUM(((Planung!$L$6:$L$35="")+(Planung!$N$6:$N$35="")&gt;0)*1)-SUM((($G$12:$G14="")+($I$12:$I14="")&gt;0)*1)</f>
        <v>23</v>
      </c>
      <c r="D15" s="452">
        <f t="array" aca="1" ref="D15" ca="1">IF(Planung!$U$15,"",$D$12+QUOTIENT(($C15-$C$12),Planung!$U$11)*(Planung!$R$7+Planung!$R$9)/1440+SUM($P$12:$P14)/1440)</f>
        <v>0.49652777777777779</v>
      </c>
      <c r="E15" s="424">
        <f ca="1">IF(Planung!$U$15,"",MOD($C15-$C$12,Planung!$U$11)+1)</f>
        <v>3</v>
      </c>
      <c r="F15" s="378" t="s">
        <v>230</v>
      </c>
      <c r="G15" s="374" t="str">
        <f ca="1">Vorrunde!$N$14</f>
        <v>1. FC Riedwald</v>
      </c>
      <c r="H15" s="157" t="s">
        <v>5</v>
      </c>
      <c r="I15" s="376" t="str">
        <f ca="1">Vorrunde!$N$24</f>
        <v>Mainz 05</v>
      </c>
      <c r="J15" s="387">
        <v>2</v>
      </c>
      <c r="K15" s="425" t="str">
        <f>Sprache!$E$71</f>
        <v>:</v>
      </c>
      <c r="L15" s="371">
        <v>5</v>
      </c>
      <c r="M15" s="404"/>
      <c r="N15" s="425" t="str">
        <f>Sprache!$E$71</f>
        <v>:</v>
      </c>
      <c r="O15" s="372"/>
      <c r="P15" s="426"/>
      <c r="Q15" s="365"/>
      <c r="S15" s="631" t="b">
        <f t="shared" ca="1" si="0"/>
        <v>1</v>
      </c>
      <c r="T15" s="631" t="str">
        <f t="shared" ca="1" si="1"/>
        <v>Mainz 05</v>
      </c>
      <c r="U15" s="631" t="str">
        <f t="shared" ca="1" si="2"/>
        <v>1. FC Riedwald</v>
      </c>
      <c r="V15" s="631" t="b">
        <f t="shared" ca="1" si="3"/>
        <v>0</v>
      </c>
    </row>
    <row r="16" spans="1:22" ht="27.95" customHeight="1" thickTop="1" thickBot="1" x14ac:dyDescent="0.35">
      <c r="A16" s="365"/>
      <c r="B16" s="444"/>
      <c r="C16" s="786" t="str">
        <f>Sprache!$E$53</f>
        <v>Halbfinale</v>
      </c>
      <c r="D16" s="786"/>
      <c r="E16" s="786"/>
      <c r="F16" s="786"/>
      <c r="G16" s="465" t="s">
        <v>274</v>
      </c>
      <c r="H16" s="123"/>
      <c r="I16" s="465" t="s">
        <v>274</v>
      </c>
      <c r="J16" s="411"/>
      <c r="K16" s="411"/>
      <c r="L16" s="411"/>
      <c r="M16" s="411"/>
      <c r="N16" s="411"/>
      <c r="O16" s="411"/>
      <c r="P16" s="413"/>
      <c r="Q16" s="365"/>
      <c r="S16" s="632"/>
      <c r="T16" s="632"/>
      <c r="U16" s="632"/>
      <c r="V16" s="632"/>
    </row>
    <row r="17" spans="1:22" ht="24" customHeight="1" thickTop="1" x14ac:dyDescent="0.2">
      <c r="A17" s="365"/>
      <c r="B17" s="443"/>
      <c r="C17" s="453">
        <f t="array" aca="1" ref="C17" ca="1">ROW(35:35)-SUM(((Planung!$L$6:$L$35="")+(Planung!$N$6:$N$35="")&gt;0)*1)-SUM((($G$12:$G16="")+($I$12:$I16="")&gt;0)*1)</f>
        <v>24</v>
      </c>
      <c r="D17" s="454">
        <f t="array" aca="1" ref="D17" ca="1">IF(Planung!$U$15,"",$D$12+QUOTIENT(($C17-$C$12),Planung!$U$11)*(Planung!$R$7+Planung!$R$9)/1440+SUM($P$12:$P16)/1440)</f>
        <v>0.49652777777777779</v>
      </c>
      <c r="E17" s="414">
        <f ca="1">IF(Planung!$U$15,"",MOD($C17-$C$12,Planung!$U$11)+1)</f>
        <v>4</v>
      </c>
      <c r="F17" s="415" t="s">
        <v>251</v>
      </c>
      <c r="G17" s="416" t="str">
        <f ca="1">Vorrunde!$N$12</f>
        <v>FC Barcelona</v>
      </c>
      <c r="H17" s="417" t="s">
        <v>5</v>
      </c>
      <c r="I17" s="418" t="str">
        <f ca="1">Vorrunde!$N$23</f>
        <v>Inter Mailand</v>
      </c>
      <c r="J17" s="419">
        <v>3</v>
      </c>
      <c r="K17" s="420" t="str">
        <f>Sprache!$E$71</f>
        <v>:</v>
      </c>
      <c r="L17" s="436">
        <v>3</v>
      </c>
      <c r="M17" s="422">
        <v>4</v>
      </c>
      <c r="N17" s="420" t="str">
        <f>Sprache!$E$71</f>
        <v>:</v>
      </c>
      <c r="O17" s="423">
        <v>3</v>
      </c>
      <c r="P17" s="392"/>
      <c r="Q17" s="365"/>
      <c r="S17" s="631" t="b">
        <f t="shared" ref="S17:S18" ca="1" si="4">AND($G17&lt;&gt;"",$I17&lt;&gt;"",$J17&lt;&gt;"",$L17&lt;&gt;"")</f>
        <v>1</v>
      </c>
      <c r="T17" s="631" t="str">
        <f t="shared" ref="T17:T18" ca="1" si="5">IF(NOT(S17),"",IF($J17&gt;$L17,$G17,IF($J17&lt;$L17,$I17,IF(OR($M17="",$O17="",$M17=$O17),"",IF($M17&gt;$O17,$G17,$I17)))))</f>
        <v>FC Barcelona</v>
      </c>
      <c r="U17" s="631" t="str">
        <f t="shared" ref="U17:U18" ca="1" si="6">IF(NOT(S17),"",IF($J17&lt;$L17,$G17,IF($J17&gt;$L17,$I17,IF(OR($M17="",$O17="",$M17=$O17),"",IF($M17&lt;$O17,$G17,$I17)))))</f>
        <v>Inter Mailand</v>
      </c>
      <c r="V17" s="631" t="b">
        <f t="shared" ref="V17:V18" ca="1" si="7">AND(S17,$J17=$L17)</f>
        <v>1</v>
      </c>
    </row>
    <row r="18" spans="1:22" ht="24" customHeight="1" thickBot="1" x14ac:dyDescent="0.25">
      <c r="A18" s="365"/>
      <c r="B18" s="443"/>
      <c r="C18" s="449">
        <f ca="1">$C$17+1</f>
        <v>25</v>
      </c>
      <c r="D18" s="452">
        <f t="array" aca="1" ref="D18" ca="1">IF(Planung!$U$15,"",$D$12+QUOTIENT(($C18-$C$12),Planung!$U$11)*(Planung!$R$7+Planung!$R$9)/1440+SUM($P$12:$P17)/1440)</f>
        <v>0.52083333333333337</v>
      </c>
      <c r="E18" s="424">
        <f ca="1">IF(Planung!$U$15,"",MOD($C18-$C$12,Planung!$U$11)+1)</f>
        <v>1</v>
      </c>
      <c r="F18" s="378" t="s">
        <v>252</v>
      </c>
      <c r="G18" s="374" t="str">
        <f ca="1">Vorrunde!$N$22</f>
        <v>Manchester City</v>
      </c>
      <c r="H18" s="157" t="s">
        <v>5</v>
      </c>
      <c r="I18" s="376" t="str">
        <f ca="1">Vorrunde!$N$13</f>
        <v>Eintracht Frankfurt</v>
      </c>
      <c r="J18" s="387">
        <v>4</v>
      </c>
      <c r="K18" s="425" t="str">
        <f>Sprache!$E$71</f>
        <v>:</v>
      </c>
      <c r="L18" s="371">
        <v>2</v>
      </c>
      <c r="M18" s="404"/>
      <c r="N18" s="425" t="str">
        <f>Sprache!$E$71</f>
        <v>:</v>
      </c>
      <c r="O18" s="372"/>
      <c r="P18" s="426">
        <v>15</v>
      </c>
      <c r="Q18" s="365"/>
      <c r="S18" s="631" t="b">
        <f t="shared" ca="1" si="4"/>
        <v>1</v>
      </c>
      <c r="T18" s="631" t="str">
        <f t="shared" ca="1" si="5"/>
        <v>Manchester City</v>
      </c>
      <c r="U18" s="631" t="str">
        <f t="shared" ca="1" si="6"/>
        <v>Eintracht Frankfurt</v>
      </c>
      <c r="V18" s="631" t="b">
        <f t="shared" ca="1" si="7"/>
        <v>0</v>
      </c>
    </row>
    <row r="19" spans="1:22" ht="27.95" customHeight="1" thickTop="1" thickBot="1" x14ac:dyDescent="0.35">
      <c r="A19" s="365"/>
      <c r="B19" s="444"/>
      <c r="C19" s="786" t="str">
        <f>Sprache!$E$54</f>
        <v>Endspiele</v>
      </c>
      <c r="D19" s="786"/>
      <c r="E19" s="786"/>
      <c r="F19" s="786"/>
      <c r="G19" s="517"/>
      <c r="H19" s="123"/>
      <c r="I19" s="517"/>
      <c r="J19" s="411"/>
      <c r="K19" s="411"/>
      <c r="L19" s="411"/>
      <c r="M19" s="411"/>
      <c r="N19" s="411"/>
      <c r="O19" s="411"/>
      <c r="P19" s="413"/>
      <c r="Q19" s="365"/>
      <c r="S19" s="632"/>
      <c r="T19" s="632"/>
      <c r="U19" s="632"/>
      <c r="V19" s="632"/>
    </row>
    <row r="20" spans="1:22" ht="24" customHeight="1" thickTop="1" x14ac:dyDescent="0.2">
      <c r="A20" s="365"/>
      <c r="B20" s="443"/>
      <c r="C20" s="453">
        <f ca="1">$C$17+2</f>
        <v>26</v>
      </c>
      <c r="D20" s="454">
        <f ca="1">IF(Planung!$U$15,"",$D$18+($P$18+Planung!$R$9+Planung!$R$7)/1440)</f>
        <v>0.55555555555555558</v>
      </c>
      <c r="E20" s="414">
        <f>IF(Planung!$U$15,"",1)</f>
        <v>1</v>
      </c>
      <c r="F20" s="415" t="str">
        <f>Sprache!$E$80</f>
        <v>3. Platz</v>
      </c>
      <c r="G20" s="416" t="str">
        <f ca="1">$U17</f>
        <v>Inter Mailand</v>
      </c>
      <c r="H20" s="417" t="s">
        <v>5</v>
      </c>
      <c r="I20" s="418" t="str">
        <f ca="1">$U18</f>
        <v>Eintracht Frankfurt</v>
      </c>
      <c r="J20" s="419">
        <v>3</v>
      </c>
      <c r="K20" s="420" t="str">
        <f>Sprache!$E$71</f>
        <v>:</v>
      </c>
      <c r="L20" s="421">
        <v>1</v>
      </c>
      <c r="M20" s="422"/>
      <c r="N20" s="420" t="str">
        <f>Sprache!$E$71</f>
        <v>:</v>
      </c>
      <c r="O20" s="423"/>
      <c r="P20" s="392"/>
      <c r="Q20" s="365"/>
      <c r="S20" s="631" t="b">
        <f t="shared" ref="S20:S21" ca="1" si="8">AND($G20&lt;&gt;"",$I20&lt;&gt;"",$J20&lt;&gt;"",$L20&lt;&gt;"")</f>
        <v>1</v>
      </c>
      <c r="T20" s="631" t="str">
        <f t="shared" ref="T20:T21" ca="1" si="9">IF(NOT(S20),"",IF($J20&gt;$L20,$G20,IF($J20&lt;$L20,$I20,IF(OR($M20="",$O20="",$M20=$O20),"",IF($M20&gt;$O20,$G20,$I20)))))</f>
        <v>Inter Mailand</v>
      </c>
      <c r="U20" s="631" t="str">
        <f t="shared" ref="U20:U21" ca="1" si="10">IF(NOT(S20),"",IF($J20&lt;$L20,$G20,IF($J20&gt;$L20,$I20,IF(OR($M20="",$O20="",$M20=$O20),"",IF($M20&lt;$O20,$G20,$I20)))))</f>
        <v>Eintracht Frankfurt</v>
      </c>
      <c r="V20" s="631" t="b">
        <f t="shared" ref="V20:V21" ca="1" si="11">AND(S20,$J20=$L20)</f>
        <v>0</v>
      </c>
    </row>
    <row r="21" spans="1:22" ht="24" customHeight="1" thickBot="1" x14ac:dyDescent="0.25">
      <c r="A21" s="365"/>
      <c r="B21" s="443"/>
      <c r="C21" s="449">
        <f ca="1">$C$17+3</f>
        <v>27</v>
      </c>
      <c r="D21" s="452">
        <f ca="1">IF(Planung!$U$15,"",$D$20+($P$20+Planung!$R$9+Planung!$R$7)/1440)</f>
        <v>0.57986111111111116</v>
      </c>
      <c r="E21" s="424">
        <f>IF(Planung!$U$15,"",1)</f>
        <v>1</v>
      </c>
      <c r="F21" s="378" t="str">
        <f>Sprache!$E$81</f>
        <v>Finale</v>
      </c>
      <c r="G21" s="374" t="str">
        <f ca="1">$T17</f>
        <v>FC Barcelona</v>
      </c>
      <c r="H21" s="157" t="s">
        <v>5</v>
      </c>
      <c r="I21" s="376" t="str">
        <f ca="1">$T18</f>
        <v>Manchester City</v>
      </c>
      <c r="J21" s="387">
        <v>1</v>
      </c>
      <c r="K21" s="425" t="str">
        <f>Sprache!$E$71</f>
        <v>:</v>
      </c>
      <c r="L21" s="371">
        <v>2</v>
      </c>
      <c r="M21" s="404"/>
      <c r="N21" s="425" t="str">
        <f>Sprache!$E$71</f>
        <v>:</v>
      </c>
      <c r="O21" s="372"/>
      <c r="P21" s="409"/>
      <c r="Q21" s="365"/>
      <c r="S21" s="631" t="b">
        <f t="shared" ca="1" si="8"/>
        <v>1</v>
      </c>
      <c r="T21" s="631" t="str">
        <f t="shared" ca="1" si="9"/>
        <v>Manchester City</v>
      </c>
      <c r="U21" s="631" t="str">
        <f t="shared" ca="1" si="10"/>
        <v>FC Barcelona</v>
      </c>
      <c r="V21" s="631" t="b">
        <f t="shared" ca="1" si="11"/>
        <v>0</v>
      </c>
    </row>
    <row r="22" spans="1:22" ht="12.75" customHeight="1" thickTop="1" x14ac:dyDescent="0.2"/>
    <row r="23" spans="1:22" ht="24" customHeight="1" x14ac:dyDescent="0.2">
      <c r="C23" s="405"/>
      <c r="D23" s="405"/>
      <c r="E23" s="405"/>
      <c r="F23" s="405"/>
      <c r="G23" s="785" t="str">
        <f>Sprache!$E$29</f>
        <v>Turnierende:</v>
      </c>
      <c r="H23" s="785"/>
      <c r="I23" s="406">
        <f ca="1">IF(Planung!$R$13="","",$D$21+Planung!$R$7/1440)</f>
        <v>0.60069444444444453</v>
      </c>
      <c r="J23" s="407"/>
      <c r="K23" s="407"/>
      <c r="L23" s="407"/>
      <c r="M23" s="407"/>
      <c r="N23" s="407"/>
      <c r="O23" s="407"/>
      <c r="P23" s="407"/>
    </row>
    <row r="24" spans="1:22" ht="12.75" customHeight="1" x14ac:dyDescent="0.2">
      <c r="D24" s="400"/>
    </row>
    <row r="25" spans="1:22" ht="12.75" customHeight="1" x14ac:dyDescent="0.2">
      <c r="D25" s="400"/>
    </row>
    <row r="26" spans="1:22" ht="24" customHeight="1" thickBot="1" x14ac:dyDescent="0.25">
      <c r="F26" s="410" t="str">
        <f>Sprache!$E$79</f>
        <v>Rang</v>
      </c>
      <c r="G26" s="794" t="str">
        <f>"  "&amp;Sprache!$E$10</f>
        <v xml:space="preserve">  Teilnehmer bzw. Mannschaft</v>
      </c>
      <c r="H26" s="794"/>
      <c r="I26" s="795"/>
    </row>
    <row r="27" spans="1:22" ht="24" customHeight="1" thickTop="1" x14ac:dyDescent="0.2">
      <c r="E27" s="401">
        <v>1</v>
      </c>
      <c r="F27" s="457">
        <v>1</v>
      </c>
      <c r="G27" s="796" t="str">
        <f ca="1">$T21</f>
        <v>Manchester City</v>
      </c>
      <c r="H27" s="796"/>
      <c r="I27" s="797"/>
    </row>
    <row r="28" spans="1:22" ht="24" customHeight="1" x14ac:dyDescent="0.2">
      <c r="E28" s="401">
        <v>2</v>
      </c>
      <c r="F28" s="458">
        <v>2</v>
      </c>
      <c r="G28" s="798" t="str">
        <f ca="1">$U21</f>
        <v>FC Barcelona</v>
      </c>
      <c r="H28" s="798"/>
      <c r="I28" s="799"/>
    </row>
    <row r="29" spans="1:22" ht="24" customHeight="1" x14ac:dyDescent="0.2">
      <c r="E29" s="401">
        <v>3</v>
      </c>
      <c r="F29" s="459">
        <v>3</v>
      </c>
      <c r="G29" s="792" t="str">
        <f ca="1">$T20</f>
        <v>Inter Mailand</v>
      </c>
      <c r="H29" s="792"/>
      <c r="I29" s="793"/>
    </row>
    <row r="30" spans="1:22" ht="24" customHeight="1" x14ac:dyDescent="0.2">
      <c r="E30" s="401">
        <v>4</v>
      </c>
      <c r="F30" s="460">
        <v>4</v>
      </c>
      <c r="G30" s="800" t="str">
        <f ca="1">$U20</f>
        <v>Eintracht Frankfurt</v>
      </c>
      <c r="H30" s="800"/>
      <c r="I30" s="801"/>
    </row>
    <row r="31" spans="1:22" ht="24" customHeight="1" x14ac:dyDescent="0.2">
      <c r="E31" s="401">
        <v>5</v>
      </c>
      <c r="F31" s="460">
        <v>5</v>
      </c>
      <c r="G31" s="800" t="str">
        <f ca="1">IF(AND($G15&lt;&gt;"",$I15=""),$G15,IF(AND($G15="",$I15&lt;&gt;""),$I15,$T15))</f>
        <v>Mainz 05</v>
      </c>
      <c r="H31" s="800"/>
      <c r="I31" s="801"/>
    </row>
    <row r="32" spans="1:22" ht="24" customHeight="1" x14ac:dyDescent="0.2">
      <c r="E32" s="401">
        <v>6</v>
      </c>
      <c r="F32" s="460">
        <v>6</v>
      </c>
      <c r="G32" s="800" t="str">
        <f ca="1">$U15</f>
        <v>1. FC Riedwald</v>
      </c>
      <c r="H32" s="800"/>
      <c r="I32" s="801"/>
    </row>
    <row r="33" spans="5:9" ht="24" customHeight="1" x14ac:dyDescent="0.2">
      <c r="E33" s="401">
        <v>7</v>
      </c>
      <c r="F33" s="460">
        <v>7</v>
      </c>
      <c r="G33" s="800" t="str">
        <f ca="1">IF(AND($G14&lt;&gt;"",$I14=""),$G14,IF(AND($G14="",$I14&lt;&gt;""),$I14,$T14))</f>
        <v>FC Grönlingen</v>
      </c>
      <c r="H33" s="800"/>
      <c r="I33" s="801"/>
    </row>
    <row r="34" spans="5:9" ht="24" customHeight="1" x14ac:dyDescent="0.2">
      <c r="E34" s="401">
        <v>8</v>
      </c>
      <c r="F34" s="460">
        <v>8</v>
      </c>
      <c r="G34" s="800" t="str">
        <f ca="1">$U14</f>
        <v>VFB Essenheim</v>
      </c>
      <c r="H34" s="800"/>
      <c r="I34" s="801"/>
    </row>
    <row r="35" spans="5:9" ht="24" customHeight="1" x14ac:dyDescent="0.2">
      <c r="E35" s="401">
        <v>9</v>
      </c>
      <c r="F35" s="460">
        <v>9</v>
      </c>
      <c r="G35" s="800" t="str">
        <f ca="1">IF(AND($G13&lt;&gt;"",$I13=""),$G13,IF(AND($G13="",$I13&lt;&gt;""),$I13,$T13))</f>
        <v>Maibach 1822 eV</v>
      </c>
      <c r="H35" s="800"/>
      <c r="I35" s="801"/>
    </row>
    <row r="36" spans="5:9" ht="24" customHeight="1" x14ac:dyDescent="0.2">
      <c r="E36" s="401">
        <v>10</v>
      </c>
      <c r="F36" s="460">
        <v>10</v>
      </c>
      <c r="G36" s="800" t="str">
        <f ca="1">$U13</f>
        <v>SSV Wildbach</v>
      </c>
      <c r="H36" s="800"/>
      <c r="I36" s="801"/>
    </row>
    <row r="37" spans="5:9" ht="24" customHeight="1" x14ac:dyDescent="0.2">
      <c r="E37" s="401">
        <v>11</v>
      </c>
      <c r="F37" s="460">
        <v>11</v>
      </c>
      <c r="G37" s="800" t="str">
        <f ca="1">IF(AND($G12&lt;&gt;"",$I12=""),$G12,IF(AND($G12="",$I12&lt;&gt;""),$I12,$T12))</f>
        <v/>
      </c>
      <c r="H37" s="800"/>
      <c r="I37" s="801"/>
    </row>
    <row r="38" spans="5:9" ht="24" customHeight="1" thickBot="1" x14ac:dyDescent="0.25">
      <c r="E38" s="401">
        <v>12</v>
      </c>
      <c r="F38" s="461">
        <v>12</v>
      </c>
      <c r="G38" s="802" t="str">
        <f ca="1">$U12</f>
        <v/>
      </c>
      <c r="H38" s="802"/>
      <c r="I38" s="803"/>
    </row>
    <row r="39" spans="5:9" ht="13.5" thickTop="1" x14ac:dyDescent="0.2"/>
    <row r="40" spans="5:9" x14ac:dyDescent="0.2"/>
    <row r="41" spans="5:9" x14ac:dyDescent="0.2"/>
    <row r="42" spans="5:9" x14ac:dyDescent="0.2"/>
  </sheetData>
  <sheetProtection sheet="1" selectLockedCells="1"/>
  <mergeCells count="26">
    <mergeCell ref="G36:I36"/>
    <mergeCell ref="G37:I37"/>
    <mergeCell ref="G38:I38"/>
    <mergeCell ref="G30:I30"/>
    <mergeCell ref="G31:I31"/>
    <mergeCell ref="G32:I32"/>
    <mergeCell ref="G33:I33"/>
    <mergeCell ref="G34:I34"/>
    <mergeCell ref="G35:I35"/>
    <mergeCell ref="E2:P2"/>
    <mergeCell ref="E3:P3"/>
    <mergeCell ref="E4:P4"/>
    <mergeCell ref="E5:P5"/>
    <mergeCell ref="C10:F10"/>
    <mergeCell ref="G29:I29"/>
    <mergeCell ref="G7:I8"/>
    <mergeCell ref="G26:I26"/>
    <mergeCell ref="G27:I27"/>
    <mergeCell ref="G28:I28"/>
    <mergeCell ref="G23:H23"/>
    <mergeCell ref="C16:F16"/>
    <mergeCell ref="C19:F19"/>
    <mergeCell ref="P9:P11"/>
    <mergeCell ref="G11:I11"/>
    <mergeCell ref="J11:L11"/>
    <mergeCell ref="M11:O11"/>
  </mergeCells>
  <conditionalFormatting sqref="C12:O15">
    <cfRule type="expression" dxfId="19" priority="3">
      <formula>OR($G12="",$I12="")</formula>
    </cfRule>
  </conditionalFormatting>
  <conditionalFormatting sqref="M12:O15 M17:O18 M20:O21">
    <cfRule type="expression" dxfId="18" priority="1">
      <formula>NOT($V12)</formula>
    </cfRule>
    <cfRule type="expression" dxfId="17"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8" id="{2F853DF4-ED67-4F75-899F-808BA77A2FD7}">
            <xm:f>$F30&gt;2*Calc1!$F$14-MOD((Calc1!$F$13+Calc2!$F$13),2)</xm:f>
            <x14:dxf>
              <numFmt numFmtId="165" formatCode=";;;"/>
            </x14:dxf>
          </x14:cfRule>
          <xm:sqref>F30:F38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5703125" style="49" customWidth="1"/>
    <col min="16" max="16384" width="11.42578125" style="49" hidden="1"/>
  </cols>
  <sheetData>
    <row r="1" spans="2:14" x14ac:dyDescent="0.2"/>
    <row r="2" spans="2:14" ht="33.75" x14ac:dyDescent="0.2">
      <c r="B2" s="804" t="str">
        <f>Sprache!$E$7</f>
        <v>Direkte Vergleiche</v>
      </c>
      <c r="C2" s="804"/>
      <c r="D2" s="804"/>
      <c r="E2" s="804"/>
      <c r="F2" s="804"/>
      <c r="G2" s="804"/>
      <c r="H2" s="804"/>
      <c r="I2" s="804"/>
      <c r="J2" s="804"/>
      <c r="K2" s="804"/>
      <c r="L2" s="804"/>
      <c r="M2" s="804"/>
    </row>
    <row r="3" spans="2:14" ht="42.75" customHeight="1" x14ac:dyDescent="0.2">
      <c r="B3" s="806" t="str">
        <f>Sprache!$E$56&amp;" A"</f>
        <v>Vorrunde Gruppe A</v>
      </c>
      <c r="C3" s="806"/>
      <c r="D3" s="806"/>
      <c r="E3" s="806"/>
      <c r="F3" s="806"/>
      <c r="G3" s="806"/>
      <c r="H3" s="806"/>
      <c r="I3" s="806"/>
      <c r="J3" s="806"/>
      <c r="K3" s="806"/>
      <c r="L3" s="806"/>
      <c r="M3" s="806"/>
    </row>
    <row r="4" spans="2:14" ht="17.25" customHeight="1" x14ac:dyDescent="0.2">
      <c r="B4" s="805" t="str">
        <f>Sprache!$E$69</f>
        <v>Rote Schrift bedeutet, dass die Rangfolge auch mit dem direkten Vergleich nicht geklärt ist. Fair Play oder Los muss hier entscheiden.</v>
      </c>
      <c r="C4" s="805"/>
      <c r="D4" s="805"/>
      <c r="E4" s="805"/>
      <c r="F4" s="805"/>
      <c r="G4" s="805"/>
      <c r="H4" s="805"/>
      <c r="I4" s="805"/>
      <c r="J4" s="805"/>
      <c r="K4" s="805"/>
      <c r="L4" s="805"/>
      <c r="M4" s="805"/>
    </row>
    <row r="5" spans="2:14" ht="17.25" customHeight="1" thickBot="1" x14ac:dyDescent="0.25">
      <c r="B5" s="121"/>
      <c r="C5" s="121"/>
      <c r="D5" s="121"/>
      <c r="E5" s="121"/>
      <c r="F5" s="121"/>
      <c r="G5" s="121"/>
      <c r="H5" s="122"/>
      <c r="I5" s="122"/>
      <c r="J5" s="122"/>
      <c r="K5" s="122"/>
      <c r="L5" s="122"/>
      <c r="M5" s="122"/>
    </row>
    <row r="6" spans="2:14" ht="21.95" customHeight="1" thickBot="1" x14ac:dyDescent="0.25">
      <c r="H6" s="151" t="str">
        <f ca="1">IF(LEN(H7)&gt;Einstellungen!$C$17,LEFT(H7,Einstellungen!$C$17)&amp;".",H7)</f>
        <v/>
      </c>
      <c r="I6" s="152" t="str">
        <f ca="1">IF(LEN(I7)&gt;Einstellungen!$C$17,LEFT(I7,Einstellungen!$C$17)&amp;".",I7)</f>
        <v/>
      </c>
      <c r="J6" s="152" t="str">
        <f ca="1">IF(LEN(J7)&gt;Einstellungen!$C$17,LEFT(J7,Einstellungen!$C$17)&amp;".",J7)</f>
        <v/>
      </c>
      <c r="K6" s="152" t="str">
        <f ca="1">IF(LEN(K7)&gt;Einstellungen!$C$17,LEFT(K7,Einstellungen!$C$17)&amp;".",K7)</f>
        <v/>
      </c>
      <c r="L6" s="152" t="str">
        <f ca="1">IF(LEN(L7)&gt;Einstellungen!$C$17,LEFT(L7,Einstellungen!$C$17)&amp;".",L7)</f>
        <v/>
      </c>
      <c r="M6" s="153" t="str">
        <f ca="1">IF(LEN(M7)&gt;Einstellungen!$C$17,LEFT(M7,Einstellungen!$C$17)&amp;".",M7)</f>
        <v/>
      </c>
    </row>
    <row r="7" spans="2:14" ht="21.95" customHeight="1" thickTop="1" thickBot="1" x14ac:dyDescent="0.25">
      <c r="B7" s="119"/>
      <c r="C7" s="125" t="str">
        <f>Sprache!$E$10</f>
        <v>Teilnehmer bzw. Mannschaft</v>
      </c>
      <c r="D7" s="129" t="str">
        <f>Sprache!$E$27</f>
        <v>Pkt</v>
      </c>
      <c r="E7" s="116" t="str">
        <f>Sprache!$E$26</f>
        <v>Diff.</v>
      </c>
      <c r="F7" s="116" t="str">
        <f>Sprache!$E$28</f>
        <v>erz. Tore</v>
      </c>
      <c r="G7" s="154" t="str">
        <f>Sprache!$E$49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IF($C8="","",INDEX(Calc1!$E$4:$E$12,MATCH($C8,Calc1!$F$4:$F$12,0)))</f>
        <v/>
      </c>
      <c r="C8" s="126" t="str">
        <f ca="1">IF(Calc1!$K$13=0,"",Calc1!$X4)</f>
        <v/>
      </c>
      <c r="D8" s="130" t="str">
        <f ca="1">IF($C8="","",VLOOKUP($C8,Calc1!$C$17:$AC$25,25,0))</f>
        <v/>
      </c>
      <c r="E8" s="113" t="str">
        <f ca="1">IF($C8="","",VLOOKUP($C8,Calc1!$C$17:$AC$25,26,0))</f>
        <v/>
      </c>
      <c r="F8" s="113" t="str">
        <f ca="1">IF($C8="","",VLOOKUP($C8,Calc1!$C$17:$AC$25,27,0))</f>
        <v/>
      </c>
      <c r="G8" s="521" t="str">
        <f ca="1">IF($C8="","",VLOOKUP(C8,Vorrunde!$AH$12:$AI$27,2,0))</f>
        <v/>
      </c>
      <c r="H8" s="138"/>
      <c r="I8" s="113" t="str">
        <f ca="1">IFERROR(VLOOKUP($C8&amp;I$7,Calc1!$Z$64:$AB$207,3,0),"")</f>
        <v/>
      </c>
      <c r="J8" s="113" t="str">
        <f ca="1">IFERROR(VLOOKUP($C8&amp;J$7,Calc1!$Z$64:$AB$207,3,0),"")</f>
        <v/>
      </c>
      <c r="K8" s="113" t="str">
        <f ca="1">IFERROR(VLOOKUP($C8&amp;K$7,Calc1!$Z$64:$AB$207,3,0),"")</f>
        <v/>
      </c>
      <c r="L8" s="113" t="str">
        <f ca="1">IFERROR(VLOOKUP($C8&amp;L$7,Calc1!$Z$64:$AB$207,3,0),"")</f>
        <v/>
      </c>
      <c r="M8" s="159" t="str">
        <f ca="1">IFERROR(VLOOKUP($C8&amp;M$7,Calc1!$Z$64:$AB$207,3,0),"")</f>
        <v/>
      </c>
      <c r="N8" s="189" t="str">
        <f t="shared" ref="N8:N13" ca="1" si="0">C8</f>
        <v/>
      </c>
    </row>
    <row r="9" spans="2:14" ht="21.95" customHeight="1" x14ac:dyDescent="0.2">
      <c r="B9" s="117" t="str">
        <f ca="1">IF($C9="","",INDEX(Calc1!$E$4:$E$12,MATCH($C9,Calc1!$F$4:$F$12,0)))</f>
        <v/>
      </c>
      <c r="C9" s="127" t="str">
        <f ca="1">IF(Calc1!$K$13=0,"",Calc1!$X5)</f>
        <v/>
      </c>
      <c r="D9" s="131" t="str">
        <f ca="1">IF($C9="","",VLOOKUP($C9,Calc1!$C$17:$AC$25,25,0))</f>
        <v/>
      </c>
      <c r="E9" s="114" t="str">
        <f ca="1">IF($C9="","",VLOOKUP($C9,Calc1!$C$17:$AC$25,26,0))</f>
        <v/>
      </c>
      <c r="F9" s="114" t="str">
        <f ca="1">IF($C9="","",VLOOKUP($C9,Calc1!$C$17:$AC$25,27,0))</f>
        <v/>
      </c>
      <c r="G9" s="522" t="str">
        <f ca="1">IF($C9="","",VLOOKUP(C9,Vorrunde!$AH$12:$AI$27,2,0))</f>
        <v/>
      </c>
      <c r="H9" s="139" t="str">
        <f ca="1">IFERROR(VLOOKUP($C9&amp;H$7,Calc1!$Z$64:$AB$207,3,0),"")</f>
        <v/>
      </c>
      <c r="I9" s="124"/>
      <c r="J9" s="114" t="str">
        <f ca="1">IFERROR(VLOOKUP($C9&amp;J$7,Calc1!$Z$64:$AB$207,3,0),"")</f>
        <v/>
      </c>
      <c r="K9" s="114" t="str">
        <f ca="1">IFERROR(VLOOKUP($C9&amp;K$7,Calc1!$Z$64:$AB$207,3,0),"")</f>
        <v/>
      </c>
      <c r="L9" s="114" t="str">
        <f ca="1">IFERROR(VLOOKUP($C9&amp;L$7,Calc1!$Z$64:$AB$207,3,0),"")</f>
        <v/>
      </c>
      <c r="M9" s="160" t="str">
        <f ca="1">IFERROR(VLOOKUP($C9&amp;M$7,Calc1!$Z$64:$AB$207,3,0),"")</f>
        <v/>
      </c>
      <c r="N9" s="190" t="str">
        <f t="shared" ca="1" si="0"/>
        <v/>
      </c>
    </row>
    <row r="10" spans="2:14" ht="21.95" customHeight="1" x14ac:dyDescent="0.2">
      <c r="B10" s="117" t="str">
        <f ca="1">IF($C10="","",INDEX(Calc1!$E$4:$E$12,MATCH($C10,Calc1!$F$4:$F$12,0)))</f>
        <v/>
      </c>
      <c r="C10" s="127" t="str">
        <f ca="1">IF(Calc1!$K$13=0,"",Calc1!$X6)</f>
        <v/>
      </c>
      <c r="D10" s="131" t="str">
        <f ca="1">IF($C10="","",VLOOKUP($C10,Calc1!$C$17:$AC$25,25,0))</f>
        <v/>
      </c>
      <c r="E10" s="114" t="str">
        <f ca="1">IF($C10="","",VLOOKUP($C10,Calc1!$C$17:$AC$25,26,0))</f>
        <v/>
      </c>
      <c r="F10" s="114" t="str">
        <f ca="1">IF($C10="","",VLOOKUP($C10,Calc1!$C$17:$AC$25,27,0))</f>
        <v/>
      </c>
      <c r="G10" s="522" t="str">
        <f ca="1">IF($C10="","",VLOOKUP(C10,Vorrunde!$AH$12:$AI$27,2,0))</f>
        <v/>
      </c>
      <c r="H10" s="139" t="str">
        <f ca="1">IFERROR(VLOOKUP($C10&amp;H$7,Calc1!$Z$64:$AB$207,3,0),"")</f>
        <v/>
      </c>
      <c r="I10" s="114" t="str">
        <f ca="1">IFERROR(VLOOKUP($C10&amp;I$7,Calc1!$Z$64:$AB$207,3,0),"")</f>
        <v/>
      </c>
      <c r="J10" s="124"/>
      <c r="K10" s="114" t="str">
        <f ca="1">IFERROR(VLOOKUP($C10&amp;K$7,Calc1!$Z$64:$AB$207,3,0),"")</f>
        <v/>
      </c>
      <c r="L10" s="114" t="str">
        <f ca="1">IFERROR(VLOOKUP($C10&amp;L$7,Calc1!$Z$64:$AB$207,3,0),"")</f>
        <v/>
      </c>
      <c r="M10" s="160" t="str">
        <f ca="1">IFERROR(VLOOKUP($C10&amp;M$7,Calc1!$Z$64:$AB$207,3,0),"")</f>
        <v/>
      </c>
      <c r="N10" s="190" t="str">
        <f t="shared" ca="1" si="0"/>
        <v/>
      </c>
    </row>
    <row r="11" spans="2:14" ht="21.95" customHeight="1" x14ac:dyDescent="0.2">
      <c r="B11" s="117" t="str">
        <f ca="1">IF($C11="","",INDEX(Calc1!$E$4:$E$12,MATCH($C11,Calc1!$F$4:$F$12,0)))</f>
        <v/>
      </c>
      <c r="C11" s="127" t="str">
        <f ca="1">IF(Calc1!$K$13=0,"",Calc1!$X7)</f>
        <v/>
      </c>
      <c r="D11" s="131" t="str">
        <f ca="1">IF($C11="","",VLOOKUP($C11,Calc1!$C$17:$AC$25,25,0))</f>
        <v/>
      </c>
      <c r="E11" s="114" t="str">
        <f ca="1">IF($C11="","",VLOOKUP($C11,Calc1!$C$17:$AC$25,26,0))</f>
        <v/>
      </c>
      <c r="F11" s="114" t="str">
        <f ca="1">IF($C11="","",VLOOKUP($C11,Calc1!$C$17:$AC$25,27,0))</f>
        <v/>
      </c>
      <c r="G11" s="522" t="str">
        <f ca="1">IF($C11="","",VLOOKUP(C11,Vorrunde!$AH$12:$AI$27,2,0))</f>
        <v/>
      </c>
      <c r="H11" s="139" t="str">
        <f ca="1">IFERROR(VLOOKUP($C11&amp;H$7,Calc1!$Z$64:$AB$207,3,0),"")</f>
        <v/>
      </c>
      <c r="I11" s="114" t="str">
        <f ca="1">IFERROR(VLOOKUP($C11&amp;I$7,Calc1!$Z$64:$AB$207,3,0),"")</f>
        <v/>
      </c>
      <c r="J11" s="114" t="str">
        <f ca="1">IFERROR(VLOOKUP($C11&amp;J$7,Calc1!$Z$64:$AB$207,3,0),"")</f>
        <v/>
      </c>
      <c r="K11" s="124"/>
      <c r="L11" s="114" t="str">
        <f ca="1">IFERROR(VLOOKUP($C11&amp;L$7,Calc1!$Z$64:$AB$207,3,0),"")</f>
        <v/>
      </c>
      <c r="M11" s="160" t="str">
        <f ca="1">IFERROR(VLOOKUP($C11&amp;M$7,Calc1!$Z$64:$AB$207,3,0),"")</f>
        <v/>
      </c>
      <c r="N11" s="190" t="str">
        <f t="shared" ca="1" si="0"/>
        <v/>
      </c>
    </row>
    <row r="12" spans="2:14" ht="21.95" customHeight="1" x14ac:dyDescent="0.2">
      <c r="B12" s="117" t="str">
        <f ca="1">IF($C12="","",INDEX(Calc1!$E$4:$E$12,MATCH($C12,Calc1!$F$4:$F$12,0)))</f>
        <v/>
      </c>
      <c r="C12" s="127" t="str">
        <f ca="1">IF(Calc1!$K$13=0,"",Calc1!$X8)</f>
        <v/>
      </c>
      <c r="D12" s="131" t="str">
        <f ca="1">IF($C12="","",VLOOKUP($C12,Calc1!$C$17:$AC$25,25,0))</f>
        <v/>
      </c>
      <c r="E12" s="114" t="str">
        <f ca="1">IF($C12="","",VLOOKUP($C12,Calc1!$C$17:$AC$25,26,0))</f>
        <v/>
      </c>
      <c r="F12" s="114" t="str">
        <f ca="1">IF($C12="","",VLOOKUP($C12,Calc1!$C$17:$AC$25,27,0))</f>
        <v/>
      </c>
      <c r="G12" s="522" t="str">
        <f ca="1">IF($C12="","",VLOOKUP(C12,Vorrunde!$AH$12:$AI$27,2,0))</f>
        <v/>
      </c>
      <c r="H12" s="139" t="str">
        <f ca="1">IFERROR(VLOOKUP($C12&amp;H$7,Calc1!$Z$64:$AB$207,3,0),"")</f>
        <v/>
      </c>
      <c r="I12" s="114" t="str">
        <f ca="1">IFERROR(VLOOKUP($C12&amp;I$7,Calc1!$Z$64:$AB$207,3,0),"")</f>
        <v/>
      </c>
      <c r="J12" s="114" t="str">
        <f ca="1">IFERROR(VLOOKUP($C12&amp;J$7,Calc1!$Z$64:$AB$207,3,0),"")</f>
        <v/>
      </c>
      <c r="K12" s="114" t="str">
        <f ca="1">IFERROR(VLOOKUP($C12&amp;K$7,Calc1!$Z$64:$AB$207,3,0),"")</f>
        <v/>
      </c>
      <c r="L12" s="124"/>
      <c r="M12" s="160" t="str">
        <f ca="1">IFERROR(VLOOKUP($C12&amp;M$7,Calc1!$Z$64:$AB$207,3,0),"")</f>
        <v/>
      </c>
      <c r="N12" s="190" t="str">
        <f t="shared" ca="1" si="0"/>
        <v/>
      </c>
    </row>
    <row r="13" spans="2:14" ht="21.95" customHeight="1" thickBot="1" x14ac:dyDescent="0.25">
      <c r="B13" s="118" t="str">
        <f ca="1">IF($C13="","",INDEX(Calc1!$E$4:$E$12,MATCH($C13,Calc1!$F$4:$F$12,0)))</f>
        <v/>
      </c>
      <c r="C13" s="128" t="str">
        <f ca="1">IF(Calc1!$K$13=0,"",Calc1!$X9)</f>
        <v/>
      </c>
      <c r="D13" s="132" t="str">
        <f ca="1">IF($C13="","",VLOOKUP($C13,Calc1!$C$17:$AC$25,25,0))</f>
        <v/>
      </c>
      <c r="E13" s="115" t="str">
        <f ca="1">IF($C13="","",VLOOKUP($C13,Calc1!$C$17:$AC$25,26,0))</f>
        <v/>
      </c>
      <c r="F13" s="115" t="str">
        <f ca="1">IF($C13="","",VLOOKUP($C13,Calc1!$C$17:$AC$25,27,0))</f>
        <v/>
      </c>
      <c r="G13" s="523" t="str">
        <f ca="1">IF($C13="","",VLOOKUP(C13,Vorrunde!$AH$12:$AI$27,2,0))</f>
        <v/>
      </c>
      <c r="H13" s="140" t="str">
        <f ca="1">IFERROR(VLOOKUP($C13&amp;H$7,Calc1!$Z$64:$AB$207,3,0),"")</f>
        <v/>
      </c>
      <c r="I13" s="115" t="str">
        <f ca="1">IFERROR(VLOOKUP($C13&amp;I$7,Calc1!$Z$64:$AB$207,3,0),"")</f>
        <v/>
      </c>
      <c r="J13" s="115" t="str">
        <f ca="1">IFERROR(VLOOKUP($C13&amp;J$7,Calc1!$Z$64:$AB$207,3,0),"")</f>
        <v/>
      </c>
      <c r="K13" s="115" t="str">
        <f ca="1">IFERROR(VLOOKUP($C13&amp;K$7,Calc1!$Z$64:$AB$207,3,0),"")</f>
        <v/>
      </c>
      <c r="L13" s="115" t="str">
        <f ca="1">IFERROR(VLOOKUP($C13&amp;L$7,Calc1!$Z$64:$AB$207,3,0),"")</f>
        <v/>
      </c>
      <c r="M13" s="161"/>
      <c r="N13" s="191"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IF(LEN(H16)&gt;Einstellungen!$C$17,LEFT(H16,Einstellungen!$C$17)&amp;".",H16)</f>
        <v/>
      </c>
      <c r="I15" s="152" t="str">
        <f ca="1">IF(LEN(I16)&gt;Einstellungen!$C$17,LEFT(I16,Einstellungen!$C$17)&amp;".",I16)</f>
        <v/>
      </c>
      <c r="J15" s="152" t="str">
        <f ca="1">IF(LEN(J16)&gt;Einstellungen!$C$17,LEFT(J16,Einstellungen!$C$17)&amp;".",J16)</f>
        <v/>
      </c>
      <c r="K15" s="152" t="str">
        <f ca="1">IF(LEN(K16)&gt;Einstellungen!$C$17,LEFT(K16,Einstellungen!$C$17)&amp;".",K16)</f>
        <v/>
      </c>
      <c r="L15" s="152" t="str">
        <f ca="1">IF(LEN(L16)&gt;Einstellungen!$C$17,LEFT(L16,Einstellungen!$C$17)&amp;".",L16)</f>
        <v/>
      </c>
      <c r="M15" s="153" t="str">
        <f ca="1">IF(LEN(M16)&gt;Einstellungen!$C$17,LEFT(M16,Einstellungen!$C$17)&amp;".",M16)</f>
        <v/>
      </c>
    </row>
    <row r="16" spans="2:14" ht="21.95" customHeight="1" thickTop="1" thickBot="1" x14ac:dyDescent="0.25">
      <c r="B16" s="119"/>
      <c r="C16" s="125" t="str">
        <f>Sprache!$E$10</f>
        <v>Teilnehmer bzw. Mannschaft</v>
      </c>
      <c r="D16" s="129" t="str">
        <f>Sprache!$E$27</f>
        <v>Pkt</v>
      </c>
      <c r="E16" s="116" t="str">
        <f>Sprache!$E$26</f>
        <v>Diff.</v>
      </c>
      <c r="F16" s="116" t="str">
        <f>Sprache!$E$28</f>
        <v>erz. Tore</v>
      </c>
      <c r="G16" s="154" t="str">
        <f>Sprache!$E$49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IF($C17="","",INDEX(Calc1!$E$4:$E$12,MATCH($C17,Calc1!$F$4:$F$12,0)))</f>
        <v/>
      </c>
      <c r="C17" s="126" t="str">
        <f ca="1">IF(Calc1!$K$13=0,"",Calc1!$AC4)</f>
        <v/>
      </c>
      <c r="D17" s="130" t="str">
        <f ca="1">IF($C17="","",VLOOKUP($C17,Calc1!$C$17:$AC$25,25,0))</f>
        <v/>
      </c>
      <c r="E17" s="113" t="str">
        <f ca="1">IF($C17="","",VLOOKUP($C17,Calc1!$C$17:$AC$25,26,0))</f>
        <v/>
      </c>
      <c r="F17" s="113" t="str">
        <f ca="1">IF($C17="","",VLOOKUP($C17,Calc1!$C$17:$AC$25,27,0))</f>
        <v/>
      </c>
      <c r="G17" s="521" t="str">
        <f ca="1">IF($C17="","",VLOOKUP(C17,Vorrunde!$AH$12:$AI$27,2,0))</f>
        <v/>
      </c>
      <c r="H17" s="138"/>
      <c r="I17" s="113" t="str">
        <f ca="1">IFERROR(VLOOKUP($C17&amp;I$16,Calc1!$Z$64:$AB$207,3,0),"")</f>
        <v/>
      </c>
      <c r="J17" s="113" t="str">
        <f ca="1">IFERROR(VLOOKUP($C17&amp;J$16,Calc1!$Z$64:$AB$207,3,0),"")</f>
        <v/>
      </c>
      <c r="K17" s="113" t="str">
        <f ca="1">IFERROR(VLOOKUP($C17&amp;K$16,Calc1!$Z$64:$AB$207,3,0),"")</f>
        <v/>
      </c>
      <c r="L17" s="113" t="str">
        <f ca="1">IFERROR(VLOOKUP($C17&amp;L$16,Calc1!$Z$64:$AB$207,3,0),"")</f>
        <v/>
      </c>
      <c r="M17" s="159" t="str">
        <f ca="1">IFERROR(VLOOKUP($C17&amp;M$16,Calc1!$Z$64:$AB$207,3,0),"")</f>
        <v/>
      </c>
      <c r="N17" s="189" t="str">
        <f t="shared" ref="N17:N22" ca="1" si="1">C17</f>
        <v/>
      </c>
    </row>
    <row r="18" spans="2:14" ht="21.95" customHeight="1" x14ac:dyDescent="0.2">
      <c r="B18" s="117" t="str">
        <f ca="1">IF($C18="","",INDEX(Calc1!$E$4:$E$12,MATCH($C18,Calc1!$F$4:$F$12,0)))</f>
        <v/>
      </c>
      <c r="C18" s="127" t="str">
        <f ca="1">IF(Calc1!$K$13=0,"",Calc1!$AC5)</f>
        <v/>
      </c>
      <c r="D18" s="131" t="str">
        <f ca="1">IF($C18="","",VLOOKUP($C18,Calc1!$C$17:$AC$25,25,0))</f>
        <v/>
      </c>
      <c r="E18" s="114" t="str">
        <f ca="1">IF($C18="","",VLOOKUP($C18,Calc1!$C$17:$AC$25,26,0))</f>
        <v/>
      </c>
      <c r="F18" s="114" t="str">
        <f ca="1">IF($C18="","",VLOOKUP($C18,Calc1!$C$17:$AC$25,27,0))</f>
        <v/>
      </c>
      <c r="G18" s="522" t="str">
        <f ca="1">IF($C18="","",VLOOKUP(C18,Vorrunde!$AH$12:$AI$27,2,0))</f>
        <v/>
      </c>
      <c r="H18" s="139" t="str">
        <f ca="1">IFERROR(VLOOKUP($C18&amp;H$16,Calc1!$Z$64:$AB$207,3,0),"")</f>
        <v/>
      </c>
      <c r="I18" s="124"/>
      <c r="J18" s="114" t="str">
        <f ca="1">IFERROR(VLOOKUP($C18&amp;J$16,Calc1!$Z$64:$AB$207,3,0),"")</f>
        <v/>
      </c>
      <c r="K18" s="114" t="str">
        <f ca="1">IFERROR(VLOOKUP($C18&amp;K$16,Calc1!$Z$64:$AB$207,3,0),"")</f>
        <v/>
      </c>
      <c r="L18" s="114" t="str">
        <f ca="1">IFERROR(VLOOKUP($C18&amp;L$16,Calc1!$Z$64:$AB$207,3,0),"")</f>
        <v/>
      </c>
      <c r="M18" s="160" t="str">
        <f ca="1">IFERROR(VLOOKUP($C18&amp;M$16,Calc1!$Z$64:$AB$207,3,0),"")</f>
        <v/>
      </c>
      <c r="N18" s="190" t="str">
        <f t="shared" ca="1" si="1"/>
        <v/>
      </c>
    </row>
    <row r="19" spans="2:14" ht="21.95" customHeight="1" x14ac:dyDescent="0.2">
      <c r="B19" s="117" t="str">
        <f ca="1">IF($C19="","",INDEX(Calc1!$E$4:$E$12,MATCH($C19,Calc1!$F$4:$F$12,0)))</f>
        <v/>
      </c>
      <c r="C19" s="127" t="str">
        <f ca="1">IF(Calc1!$K$13=0,"",Calc1!$AC6)</f>
        <v/>
      </c>
      <c r="D19" s="131" t="str">
        <f ca="1">IF($C19="","",VLOOKUP($C19,Calc1!$C$17:$AC$25,25,0))</f>
        <v/>
      </c>
      <c r="E19" s="114" t="str">
        <f ca="1">IF($C19="","",VLOOKUP($C19,Calc1!$C$17:$AC$25,26,0))</f>
        <v/>
      </c>
      <c r="F19" s="114" t="str">
        <f ca="1">IF($C19="","",VLOOKUP($C19,Calc1!$C$17:$AC$25,27,0))</f>
        <v/>
      </c>
      <c r="G19" s="522" t="str">
        <f ca="1">IF($C19="","",VLOOKUP(C19,Vorrunde!$AH$12:$AI$27,2,0))</f>
        <v/>
      </c>
      <c r="H19" s="139" t="str">
        <f ca="1">IFERROR(VLOOKUP($C19&amp;H$16,Calc1!$Z$64:$AB$207,3,0),"")</f>
        <v/>
      </c>
      <c r="I19" s="114" t="str">
        <f ca="1">IFERROR(VLOOKUP($C19&amp;I$16,Calc1!$Z$64:$AB$207,3,0),"")</f>
        <v/>
      </c>
      <c r="J19" s="124"/>
      <c r="K19" s="114" t="str">
        <f ca="1">IFERROR(VLOOKUP($C19&amp;K$16,Calc1!$Z$64:$AB$207,3,0),"")</f>
        <v/>
      </c>
      <c r="L19" s="114" t="str">
        <f ca="1">IFERROR(VLOOKUP($C19&amp;L$16,Calc1!$Z$64:$AB$207,3,0),"")</f>
        <v/>
      </c>
      <c r="M19" s="160" t="str">
        <f ca="1">IFERROR(VLOOKUP($C19&amp;M$16,Calc1!$Z$64:$AB$207,3,0),"")</f>
        <v/>
      </c>
      <c r="N19" s="190" t="str">
        <f t="shared" ca="1" si="1"/>
        <v/>
      </c>
    </row>
    <row r="20" spans="2:14" ht="21.95" customHeight="1" x14ac:dyDescent="0.2">
      <c r="B20" s="117" t="str">
        <f ca="1">IF($C20="","",INDEX(Calc1!$E$4:$E$12,MATCH($C20,Calc1!$F$4:$F$12,0)))</f>
        <v/>
      </c>
      <c r="C20" s="127" t="str">
        <f ca="1">IF(Calc1!$K$13=0,"",Calc1!$AC7)</f>
        <v/>
      </c>
      <c r="D20" s="131" t="str">
        <f ca="1">IF($C20="","",VLOOKUP($C20,Calc1!$C$17:$AC$25,25,0))</f>
        <v/>
      </c>
      <c r="E20" s="114" t="str">
        <f ca="1">IF($C20="","",VLOOKUP($C20,Calc1!$C$17:$AC$25,26,0))</f>
        <v/>
      </c>
      <c r="F20" s="114" t="str">
        <f ca="1">IF($C20="","",VLOOKUP($C20,Calc1!$C$17:$AC$25,27,0))</f>
        <v/>
      </c>
      <c r="G20" s="522" t="str">
        <f ca="1">IF($C20="","",VLOOKUP(C20,Vorrunde!$AH$12:$AI$27,2,0))</f>
        <v/>
      </c>
      <c r="H20" s="139" t="str">
        <f ca="1">IFERROR(VLOOKUP($C20&amp;H$16,Calc1!$Z$64:$AB$207,3,0),"")</f>
        <v/>
      </c>
      <c r="I20" s="114" t="str">
        <f ca="1">IFERROR(VLOOKUP($C20&amp;I$16,Calc1!$Z$64:$AB$207,3,0),"")</f>
        <v/>
      </c>
      <c r="J20" s="114" t="str">
        <f ca="1">IFERROR(VLOOKUP($C20&amp;J$16,Calc1!$Z$64:$AB$207,3,0),"")</f>
        <v/>
      </c>
      <c r="K20" s="124"/>
      <c r="L20" s="114" t="str">
        <f ca="1">IFERROR(VLOOKUP($C20&amp;L$16,Calc1!$Z$64:$AB$207,3,0),"")</f>
        <v/>
      </c>
      <c r="M20" s="160" t="str">
        <f ca="1">IFERROR(VLOOKUP($C20&amp;M$16,Calc1!$Z$64:$AB$207,3,0),"")</f>
        <v/>
      </c>
      <c r="N20" s="190" t="str">
        <f t="shared" ca="1" si="1"/>
        <v/>
      </c>
    </row>
    <row r="21" spans="2:14" ht="21.95" customHeight="1" x14ac:dyDescent="0.2">
      <c r="B21" s="117" t="str">
        <f ca="1">IF($C21="","",INDEX(Calc1!$E$4:$E$12,MATCH($C21,Calc1!$F$4:$F$12,0)))</f>
        <v/>
      </c>
      <c r="C21" s="127" t="str">
        <f ca="1">IF(Calc1!$K$13=0,"",Calc1!$AC8)</f>
        <v/>
      </c>
      <c r="D21" s="131" t="str">
        <f ca="1">IF($C21="","",VLOOKUP($C21,Calc1!$C$17:$AC$25,25,0))</f>
        <v/>
      </c>
      <c r="E21" s="114" t="str">
        <f ca="1">IF($C21="","",VLOOKUP($C21,Calc1!$C$17:$AC$25,26,0))</f>
        <v/>
      </c>
      <c r="F21" s="114" t="str">
        <f ca="1">IF($C21="","",VLOOKUP($C21,Calc1!$C$17:$AC$25,27,0))</f>
        <v/>
      </c>
      <c r="G21" s="522" t="str">
        <f ca="1">IF($C21="","",VLOOKUP(C21,Vorrunde!$AH$12:$AI$27,2,0))</f>
        <v/>
      </c>
      <c r="H21" s="139" t="str">
        <f ca="1">IFERROR(VLOOKUP($C21&amp;H$16,Calc1!$Z$64:$AB$207,3,0),"")</f>
        <v/>
      </c>
      <c r="I21" s="114" t="str">
        <f ca="1">IFERROR(VLOOKUP($C21&amp;I$16,Calc1!$Z$64:$AB$207,3,0),"")</f>
        <v/>
      </c>
      <c r="J21" s="114" t="str">
        <f ca="1">IFERROR(VLOOKUP($C21&amp;J$16,Calc1!$Z$64:$AB$207,3,0),"")</f>
        <v/>
      </c>
      <c r="K21" s="114" t="str">
        <f ca="1">IFERROR(VLOOKUP($C21&amp;K$16,Calc1!$Z$64:$AB$207,3,0),"")</f>
        <v/>
      </c>
      <c r="L21" s="124"/>
      <c r="M21" s="160" t="str">
        <f ca="1">IFERROR(VLOOKUP($C21&amp;M$16,Calc1!$Z$64:$AB$207,3,0),"")</f>
        <v/>
      </c>
      <c r="N21" s="190" t="str">
        <f t="shared" ca="1" si="1"/>
        <v/>
      </c>
    </row>
    <row r="22" spans="2:14" ht="21.95" customHeight="1" thickBot="1" x14ac:dyDescent="0.25">
      <c r="B22" s="118" t="str">
        <f ca="1">IF($C22="","",INDEX(Calc1!$E$4:$E$12,MATCH($C22,Calc1!$F$4:$F$12,0)))</f>
        <v/>
      </c>
      <c r="C22" s="128" t="str">
        <f ca="1">IF(Calc1!$K$13=0,"",Calc1!$AC9)</f>
        <v/>
      </c>
      <c r="D22" s="132" t="str">
        <f ca="1">IF($C22="","",VLOOKUP($C22,Calc1!$C$17:$AC$25,25,0))</f>
        <v/>
      </c>
      <c r="E22" s="115" t="str">
        <f ca="1">IF($C22="","",VLOOKUP($C22,Calc1!$C$17:$AC$25,26,0))</f>
        <v/>
      </c>
      <c r="F22" s="115" t="str">
        <f ca="1">IF($C22="","",VLOOKUP($C22,Calc1!$C$17:$AC$25,27,0))</f>
        <v/>
      </c>
      <c r="G22" s="523" t="str">
        <f ca="1">IF($C22="","",VLOOKUP(C22,Vorrunde!$AH$12:$AI$27,2,0))</f>
        <v/>
      </c>
      <c r="H22" s="140" t="str">
        <f ca="1">IFERROR(VLOOKUP($C22&amp;H$16,Calc1!$Z$64:$AB$207,3,0),"")</f>
        <v/>
      </c>
      <c r="I22" s="115" t="str">
        <f ca="1">IFERROR(VLOOKUP($C22&amp;I$16,Calc1!$Z$64:$AB$207,3,0),"")</f>
        <v/>
      </c>
      <c r="J22" s="115" t="str">
        <f ca="1">IFERROR(VLOOKUP($C22&amp;J$16,Calc1!$Z$64:$AB$207,3,0),"")</f>
        <v/>
      </c>
      <c r="K22" s="115" t="str">
        <f ca="1">IFERROR(VLOOKUP($C22&amp;K$16,Calc1!$Z$64:$AB$207,3,0),"")</f>
        <v/>
      </c>
      <c r="L22" s="115" t="str">
        <f ca="1">IFERROR(VLOOKUP($C22&amp;L$16,Calc1!$Z$64:$AB$207,3,0),"")</f>
        <v/>
      </c>
      <c r="M22" s="161"/>
      <c r="N22" s="191"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IF(LEN(H25)&gt;Einstellungen!$C$17,LEFT(H25,Einstellungen!$C$17)&amp;".",H25)</f>
        <v/>
      </c>
      <c r="I24" s="152" t="str">
        <f ca="1">IF(LEN(I25)&gt;Einstellungen!$C$17,LEFT(I25,Einstellungen!$C$17)&amp;".",I25)</f>
        <v/>
      </c>
      <c r="J24" s="152" t="str">
        <f ca="1">IF(LEN(J25)&gt;Einstellungen!$C$17,LEFT(J25,Einstellungen!$C$17)&amp;".",J25)</f>
        <v/>
      </c>
      <c r="K24" s="152" t="str">
        <f ca="1">IF(LEN(K25)&gt;Einstellungen!$C$17,LEFT(K25,Einstellungen!$C$17)&amp;".",K25)</f>
        <v/>
      </c>
      <c r="L24" s="152" t="str">
        <f ca="1">IF(LEN(L25)&gt;Einstellungen!$C$17,LEFT(L25,Einstellungen!$C$17)&amp;".",L25)</f>
        <v/>
      </c>
      <c r="M24" s="153" t="str">
        <f ca="1">IF(LEN(M25)&gt;Einstellungen!$C$17,LEFT(M25,Einstellungen!$C$17)&amp;".",M25)</f>
        <v/>
      </c>
    </row>
    <row r="25" spans="2:14" ht="21.95" customHeight="1" thickTop="1" thickBot="1" x14ac:dyDescent="0.25">
      <c r="B25" s="119"/>
      <c r="C25" s="125" t="str">
        <f>Sprache!$E$10</f>
        <v>Teilnehmer bzw. Mannschaft</v>
      </c>
      <c r="D25" s="129" t="str">
        <f>Sprache!$E$27</f>
        <v>Pkt</v>
      </c>
      <c r="E25" s="116" t="str">
        <f>Sprache!$E$26</f>
        <v>Diff.</v>
      </c>
      <c r="F25" s="116" t="str">
        <f>Sprache!$E$28</f>
        <v>erz. Tore</v>
      </c>
      <c r="G25" s="154" t="str">
        <f>Sprache!$E$49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IF($C26="","",INDEX(Calc1!$E$4:$E$12,MATCH($C26,Calc1!$F$4:$F$12,0)))</f>
        <v/>
      </c>
      <c r="C26" s="126" t="str">
        <f ca="1">IF(Calc1!$K$13=0,"",Calc1!$AH4)</f>
        <v/>
      </c>
      <c r="D26" s="130" t="str">
        <f ca="1">IF($C26="","",VLOOKUP($C26,Calc1!$C$17:$AC$25,25,0))</f>
        <v/>
      </c>
      <c r="E26" s="113" t="str">
        <f ca="1">IF($C26="","",VLOOKUP($C26,Calc1!$C$17:$AC$25,26,0))</f>
        <v/>
      </c>
      <c r="F26" s="113" t="str">
        <f ca="1">IF($C26="","",VLOOKUP($C26,Calc1!$C$17:$AC$25,27,0))</f>
        <v/>
      </c>
      <c r="G26" s="521" t="str">
        <f ca="1">IF($C26="","",VLOOKUP(C26,Vorrunde!$AH$12:$AI$27,2,0))</f>
        <v/>
      </c>
      <c r="H26" s="138"/>
      <c r="I26" s="113" t="str">
        <f ca="1">IFERROR(VLOOKUP($C26&amp;I$25,Calc1!$Z$64:$AB$207,3,0),"")</f>
        <v/>
      </c>
      <c r="J26" s="113" t="str">
        <f ca="1">IFERROR(VLOOKUP($C26&amp;J$25,Calc1!$Z$64:$AB$207,3,0),"")</f>
        <v/>
      </c>
      <c r="K26" s="113" t="str">
        <f ca="1">IFERROR(VLOOKUP($C26&amp;K$25,Calc1!$Z$64:$AB$207,3,0),"")</f>
        <v/>
      </c>
      <c r="L26" s="113" t="str">
        <f ca="1">IFERROR(VLOOKUP($C26&amp;L$25,Calc1!$Z$64:$AB$207,3,0),"")</f>
        <v/>
      </c>
      <c r="M26" s="159" t="str">
        <f ca="1">IFERROR(VLOOKUP($C26&amp;M$25,Calc1!$Z$64:$AB$207,3,0),"")</f>
        <v/>
      </c>
      <c r="N26" s="189" t="str">
        <f t="shared" ref="N26:N31" ca="1" si="2">C26</f>
        <v/>
      </c>
    </row>
    <row r="27" spans="2:14" ht="21.95" customHeight="1" x14ac:dyDescent="0.2">
      <c r="B27" s="117" t="str">
        <f ca="1">IF($C27="","",INDEX(Calc1!$E$4:$E$12,MATCH($C27,Calc1!$F$4:$F$12,0)))</f>
        <v/>
      </c>
      <c r="C27" s="127" t="str">
        <f ca="1">IF(Calc1!$K$13=0,"",Calc1!$AH5)</f>
        <v/>
      </c>
      <c r="D27" s="131" t="str">
        <f ca="1">IF($C27="","",VLOOKUP($C27,Calc1!$C$17:$AC$25,25,0))</f>
        <v/>
      </c>
      <c r="E27" s="114" t="str">
        <f ca="1">IF($C27="","",VLOOKUP($C27,Calc1!$C$17:$AC$25,26,0))</f>
        <v/>
      </c>
      <c r="F27" s="114" t="str">
        <f ca="1">IF($C27="","",VLOOKUP($C27,Calc1!$C$17:$AC$25,27,0))</f>
        <v/>
      </c>
      <c r="G27" s="522" t="str">
        <f ca="1">IF($C27="","",VLOOKUP(C27,Vorrunde!$AH$12:$AI$27,2,0))</f>
        <v/>
      </c>
      <c r="H27" s="139" t="str">
        <f ca="1">IFERROR(VLOOKUP($C27&amp;H$25,Calc1!$Z$64:$AB$207,3,0),"")</f>
        <v/>
      </c>
      <c r="I27" s="124"/>
      <c r="J27" s="114" t="str">
        <f ca="1">IFERROR(VLOOKUP($C27&amp;J$25,Calc1!$Z$64:$AB$207,3,0),"")</f>
        <v/>
      </c>
      <c r="K27" s="114" t="str">
        <f ca="1">IFERROR(VLOOKUP($C27&amp;K$25,Calc1!$Z$64:$AB$207,3,0),"")</f>
        <v/>
      </c>
      <c r="L27" s="114" t="str">
        <f ca="1">IFERROR(VLOOKUP($C27&amp;L$25,Calc1!$Z$64:$AB$207,3,0),"")</f>
        <v/>
      </c>
      <c r="M27" s="160" t="str">
        <f ca="1">IFERROR(VLOOKUP($C27&amp;M$25,Calc1!$Z$64:$AB$207,3,0),"")</f>
        <v/>
      </c>
      <c r="N27" s="190" t="str">
        <f t="shared" ca="1" si="2"/>
        <v/>
      </c>
    </row>
    <row r="28" spans="2:14" ht="21.95" customHeight="1" x14ac:dyDescent="0.2">
      <c r="B28" s="117" t="str">
        <f ca="1">IF($C28="","",INDEX(Calc1!$E$4:$E$12,MATCH($C28,Calc1!$F$4:$F$12,0)))</f>
        <v/>
      </c>
      <c r="C28" s="127" t="str">
        <f ca="1">IF(Calc1!$K$13=0,"",Calc1!$AH6)</f>
        <v/>
      </c>
      <c r="D28" s="131" t="str">
        <f ca="1">IF($C28="","",VLOOKUP($C28,Calc1!$C$17:$AC$25,25,0))</f>
        <v/>
      </c>
      <c r="E28" s="114" t="str">
        <f ca="1">IF($C28="","",VLOOKUP($C28,Calc1!$C$17:$AC$25,26,0))</f>
        <v/>
      </c>
      <c r="F28" s="114" t="str">
        <f ca="1">IF($C28="","",VLOOKUP($C28,Calc1!$C$17:$AC$25,27,0))</f>
        <v/>
      </c>
      <c r="G28" s="522" t="str">
        <f ca="1">IF($C28="","",VLOOKUP(C28,Vorrunde!$AH$12:$AI$27,2,0))</f>
        <v/>
      </c>
      <c r="H28" s="139" t="str">
        <f ca="1">IFERROR(VLOOKUP($C28&amp;H$25,Calc1!$Z$64:$AB$207,3,0),"")</f>
        <v/>
      </c>
      <c r="I28" s="114" t="str">
        <f ca="1">IFERROR(VLOOKUP($C28&amp;I$25,Calc1!$Z$64:$AB$207,3,0),"")</f>
        <v/>
      </c>
      <c r="J28" s="124"/>
      <c r="K28" s="114" t="str">
        <f ca="1">IFERROR(VLOOKUP($C28&amp;K$25,Calc1!$Z$64:$AB$207,3,0),"")</f>
        <v/>
      </c>
      <c r="L28" s="114" t="str">
        <f ca="1">IFERROR(VLOOKUP($C28&amp;L$25,Calc1!$Z$64:$AB$207,3,0),"")</f>
        <v/>
      </c>
      <c r="M28" s="160" t="str">
        <f ca="1">IFERROR(VLOOKUP($C28&amp;M$25,Calc1!$Z$64:$AB$207,3,0),"")</f>
        <v/>
      </c>
      <c r="N28" s="190" t="str">
        <f t="shared" ca="1" si="2"/>
        <v/>
      </c>
    </row>
    <row r="29" spans="2:14" ht="21.95" customHeight="1" x14ac:dyDescent="0.2">
      <c r="B29" s="117" t="str">
        <f ca="1">IF($C29="","",INDEX(Calc1!$E$4:$E$12,MATCH($C29,Calc1!$F$4:$F$12,0)))</f>
        <v/>
      </c>
      <c r="C29" s="127" t="str">
        <f ca="1">IF(Calc1!$K$13=0,"",Calc1!$AH7)</f>
        <v/>
      </c>
      <c r="D29" s="131" t="str">
        <f ca="1">IF($C29="","",VLOOKUP($C29,Calc1!$C$17:$AC$25,25,0))</f>
        <v/>
      </c>
      <c r="E29" s="114" t="str">
        <f ca="1">IF($C29="","",VLOOKUP($C29,Calc1!$C$17:$AC$25,26,0))</f>
        <v/>
      </c>
      <c r="F29" s="114" t="str">
        <f ca="1">IF($C29="","",VLOOKUP($C29,Calc1!$C$17:$AC$25,27,0))</f>
        <v/>
      </c>
      <c r="G29" s="522" t="str">
        <f ca="1">IF($C29="","",VLOOKUP(C29,Vorrunde!$AH$12:$AI$27,2,0))</f>
        <v/>
      </c>
      <c r="H29" s="139" t="str">
        <f ca="1">IFERROR(VLOOKUP($C29&amp;H$25,Calc1!$Z$64:$AB$207,3,0),"")</f>
        <v/>
      </c>
      <c r="I29" s="114" t="str">
        <f ca="1">IFERROR(VLOOKUP($C29&amp;I$25,Calc1!$Z$64:$AB$207,3,0),"")</f>
        <v/>
      </c>
      <c r="J29" s="114" t="str">
        <f ca="1">IFERROR(VLOOKUP($C29&amp;J$25,Calc1!$Z$64:$AB$207,3,0),"")</f>
        <v/>
      </c>
      <c r="K29" s="124"/>
      <c r="L29" s="114" t="str">
        <f ca="1">IFERROR(VLOOKUP($C29&amp;L$25,Calc1!$Z$64:$AB$207,3,0),"")</f>
        <v/>
      </c>
      <c r="M29" s="160" t="str">
        <f ca="1">IFERROR(VLOOKUP($C29&amp;M$25,Calc1!$Z$64:$AB$207,3,0),"")</f>
        <v/>
      </c>
      <c r="N29" s="190" t="str">
        <f t="shared" ca="1" si="2"/>
        <v/>
      </c>
    </row>
    <row r="30" spans="2:14" ht="21.95" customHeight="1" x14ac:dyDescent="0.2">
      <c r="B30" s="117" t="str">
        <f ca="1">IF($C30="","",INDEX(Calc1!$E$4:$E$12,MATCH($C30,Calc1!$F$4:$F$12,0)))</f>
        <v/>
      </c>
      <c r="C30" s="127" t="str">
        <f ca="1">IF(Calc1!$K$13=0,"",Calc1!$AH8)</f>
        <v/>
      </c>
      <c r="D30" s="131" t="str">
        <f ca="1">IF($C30="","",VLOOKUP($C30,Calc1!$C$17:$AC$25,25,0))</f>
        <v/>
      </c>
      <c r="E30" s="114" t="str">
        <f ca="1">IF($C30="","",VLOOKUP($C30,Calc1!$C$17:$AC$25,26,0))</f>
        <v/>
      </c>
      <c r="F30" s="114" t="str">
        <f ca="1">IF($C30="","",VLOOKUP($C30,Calc1!$C$17:$AC$25,27,0))</f>
        <v/>
      </c>
      <c r="G30" s="522" t="str">
        <f ca="1">IF($C30="","",VLOOKUP(C30,Vorrunde!$AH$12:$AI$27,2,0))</f>
        <v/>
      </c>
      <c r="H30" s="139" t="str">
        <f ca="1">IFERROR(VLOOKUP($C30&amp;H$25,Calc1!$Z$64:$AB$207,3,0),"")</f>
        <v/>
      </c>
      <c r="I30" s="114" t="str">
        <f ca="1">IFERROR(VLOOKUP($C30&amp;I$25,Calc1!$Z$64:$AB$207,3,0),"")</f>
        <v/>
      </c>
      <c r="J30" s="114" t="str">
        <f ca="1">IFERROR(VLOOKUP($C30&amp;J$25,Calc1!$Z$64:$AB$207,3,0),"")</f>
        <v/>
      </c>
      <c r="K30" s="114" t="str">
        <f ca="1">IFERROR(VLOOKUP($C30&amp;K$25,Calc1!$Z$64:$AB$207,3,0),"")</f>
        <v/>
      </c>
      <c r="L30" s="124"/>
      <c r="M30" s="160" t="str">
        <f ca="1">IFERROR(VLOOKUP($C30&amp;M$25,Calc1!$Z$64:$AB$207,3,0),"")</f>
        <v/>
      </c>
      <c r="N30" s="190" t="str">
        <f t="shared" ca="1" si="2"/>
        <v/>
      </c>
    </row>
    <row r="31" spans="2:14" ht="21.95" customHeight="1" thickBot="1" x14ac:dyDescent="0.25">
      <c r="B31" s="118" t="str">
        <f ca="1">IF($C31="","",INDEX(Calc1!$E$4:$E$12,MATCH($C31,Calc1!$F$4:$F$12,0)))</f>
        <v/>
      </c>
      <c r="C31" s="128" t="str">
        <f ca="1">IF(Calc1!$K$13=0,"",Calc1!$AH9)</f>
        <v/>
      </c>
      <c r="D31" s="132" t="str">
        <f ca="1">IF($C31="","",VLOOKUP($C31,Calc1!$C$17:$AC$25,25,0))</f>
        <v/>
      </c>
      <c r="E31" s="115" t="str">
        <f ca="1">IF($C31="","",VLOOKUP($C31,Calc1!$C$17:$AC$25,26,0))</f>
        <v/>
      </c>
      <c r="F31" s="115" t="str">
        <f ca="1">IF($C31="","",VLOOKUP($C31,Calc1!$C$17:$AC$25,27,0))</f>
        <v/>
      </c>
      <c r="G31" s="523" t="str">
        <f ca="1">IF($C31="","",VLOOKUP(C31,Vorrunde!$AH$12:$AI$27,2,0))</f>
        <v/>
      </c>
      <c r="H31" s="140" t="str">
        <f ca="1">IFERROR(VLOOKUP($C31&amp;H$25,Calc1!$Z$64:$AB$207,3,0),"")</f>
        <v/>
      </c>
      <c r="I31" s="115" t="str">
        <f ca="1">IFERROR(VLOOKUP($C31&amp;I$25,Calc1!$Z$64:$AB$207,3,0),"")</f>
        <v/>
      </c>
      <c r="J31" s="115" t="str">
        <f ca="1">IFERROR(VLOOKUP($C31&amp;J$25,Calc1!$Z$64:$AB$207,3,0),"")</f>
        <v/>
      </c>
      <c r="K31" s="115" t="str">
        <f ca="1">IFERROR(VLOOKUP($C31&amp;K$25,Calc1!$Z$64:$AB$207,3,0),"")</f>
        <v/>
      </c>
      <c r="L31" s="115" t="str">
        <f ca="1">IFERROR(VLOOKUP($C31&amp;L$25,Calc1!$Z$64:$AB$207,3,0),"")</f>
        <v/>
      </c>
      <c r="M31" s="161"/>
      <c r="N31" s="191" t="str">
        <f t="shared" ca="1" si="2"/>
        <v/>
      </c>
    </row>
    <row r="32" spans="2:14" ht="42.75" customHeight="1" thickTop="1" thickBot="1" x14ac:dyDescent="0.25"/>
    <row r="33" spans="2:14" ht="21.95" customHeight="1" thickBot="1" x14ac:dyDescent="0.25">
      <c r="H33" s="151" t="str">
        <f ca="1">IF(LEN(H34)&gt;Einstellungen!$C$17,LEFT(H34,Einstellungen!$C$17)&amp;".",H34)</f>
        <v/>
      </c>
      <c r="I33" s="152" t="str">
        <f ca="1">IF(LEN(I34)&gt;Einstellungen!$C$17,LEFT(I34,Einstellungen!$C$17)&amp;".",I34)</f>
        <v/>
      </c>
      <c r="J33" s="152" t="str">
        <f ca="1">IF(LEN(J34)&gt;Einstellungen!$C$17,LEFT(J34,Einstellungen!$C$17)&amp;".",J34)</f>
        <v/>
      </c>
      <c r="K33" s="152" t="str">
        <f ca="1">IF(LEN(K34)&gt;Einstellungen!$C$17,LEFT(K34,Einstellungen!$C$17)&amp;".",K34)</f>
        <v/>
      </c>
      <c r="L33" s="152" t="str">
        <f ca="1">IF(LEN(L34)&gt;Einstellungen!$C$17,LEFT(L34,Einstellungen!$C$17)&amp;".",L34)</f>
        <v/>
      </c>
      <c r="M33" s="153" t="str">
        <f ca="1">IF(LEN(M34)&gt;Einstellungen!$C$17,LEFT(M34,Einstellungen!$C$17)&amp;".",M34)</f>
        <v/>
      </c>
    </row>
    <row r="34" spans="2:14" ht="21.95" customHeight="1" thickTop="1" thickBot="1" x14ac:dyDescent="0.25">
      <c r="B34" s="119"/>
      <c r="C34" s="125" t="str">
        <f>Sprache!$E$10</f>
        <v>Teilnehmer bzw. Mannschaft</v>
      </c>
      <c r="D34" s="129" t="str">
        <f>Sprache!$E$27</f>
        <v>Pkt</v>
      </c>
      <c r="E34" s="116" t="str">
        <f>Sprache!$E$26</f>
        <v>Diff.</v>
      </c>
      <c r="F34" s="116" t="str">
        <f>Sprache!$E$28</f>
        <v>erz. Tore</v>
      </c>
      <c r="G34" s="154" t="str">
        <f>Sprache!$E$49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IF($C35="","",INDEX(Calc1!$E$4:$E$12,MATCH($C35,Calc1!$F$4:$F$12,0)))</f>
        <v/>
      </c>
      <c r="C35" s="126" t="str">
        <f ca="1">IF(Calc1!$K$13=0,"",Calc1!$AM4)</f>
        <v/>
      </c>
      <c r="D35" s="130" t="str">
        <f ca="1">IF($C35="","",VLOOKUP($C35,Calc1!$C$17:$AC$25,25,0))</f>
        <v/>
      </c>
      <c r="E35" s="113" t="str">
        <f ca="1">IF($C35="","",VLOOKUP($C35,Calc1!$C$17:$AC$25,26,0))</f>
        <v/>
      </c>
      <c r="F35" s="113" t="str">
        <f ca="1">IF($C35="","",VLOOKUP($C35,Calc1!$C$17:$AC$25,27,0))</f>
        <v/>
      </c>
      <c r="G35" s="521" t="str">
        <f ca="1">IF($C35="","",VLOOKUP(C35,Vorrunde!$AH$12:$AI$27,2,0))</f>
        <v/>
      </c>
      <c r="H35" s="138"/>
      <c r="I35" s="113" t="str">
        <f ca="1">IFERROR(VLOOKUP($C35&amp;I$34,Calc1!$Z$64:$AB$207,3,0),"")</f>
        <v/>
      </c>
      <c r="J35" s="113" t="str">
        <f ca="1">IFERROR(VLOOKUP($C35&amp;J$34,Calc1!$Z$64:$AB$207,3,0),"")</f>
        <v/>
      </c>
      <c r="K35" s="113" t="str">
        <f ca="1">IFERROR(VLOOKUP($C35&amp;K$34,Calc1!$Z$64:$AB$207,3,0),"")</f>
        <v/>
      </c>
      <c r="L35" s="113" t="str">
        <f ca="1">IFERROR(VLOOKUP($C35&amp;L$34,Calc1!$Z$64:$AB$207,3,0),"")</f>
        <v/>
      </c>
      <c r="M35" s="159" t="str">
        <f ca="1">IFERROR(VLOOKUP($C35&amp;M$34,Calc1!$Z$64:$AB$207,3,0),"")</f>
        <v/>
      </c>
      <c r="N35" s="189" t="str">
        <f t="shared" ref="N35:N40" ca="1" si="3">C35</f>
        <v/>
      </c>
    </row>
    <row r="36" spans="2:14" ht="21.95" customHeight="1" x14ac:dyDescent="0.2">
      <c r="B36" s="117" t="str">
        <f ca="1">IF($C36="","",INDEX(Calc1!$E$4:$E$12,MATCH($C36,Calc1!$F$4:$F$12,0)))</f>
        <v/>
      </c>
      <c r="C36" s="127" t="str">
        <f ca="1">IF(Calc1!$K$13=0,"",Calc1!$AM5)</f>
        <v/>
      </c>
      <c r="D36" s="131" t="str">
        <f ca="1">IF($C36="","",VLOOKUP($C36,Calc1!$C$17:$AC$25,25,0))</f>
        <v/>
      </c>
      <c r="E36" s="114" t="str">
        <f ca="1">IF($C36="","",VLOOKUP($C36,Calc1!$C$17:$AC$25,26,0))</f>
        <v/>
      </c>
      <c r="F36" s="114" t="str">
        <f ca="1">IF($C36="","",VLOOKUP($C36,Calc1!$C$17:$AC$25,27,0))</f>
        <v/>
      </c>
      <c r="G36" s="522" t="str">
        <f ca="1">IF($C36="","",VLOOKUP(C36,Vorrunde!$AH$12:$AI$27,2,0))</f>
        <v/>
      </c>
      <c r="H36" s="139" t="str">
        <f ca="1">IFERROR(VLOOKUP($C36&amp;H$34,Calc1!$Z$64:$AB$207,3,0),"")</f>
        <v/>
      </c>
      <c r="I36" s="124"/>
      <c r="J36" s="114" t="str">
        <f ca="1">IFERROR(VLOOKUP($C36&amp;J$34,Calc1!$Z$64:$AB$207,3,0),"")</f>
        <v/>
      </c>
      <c r="K36" s="114" t="str">
        <f ca="1">IFERROR(VLOOKUP($C36&amp;K$34,Calc1!$Z$64:$AB$207,3,0),"")</f>
        <v/>
      </c>
      <c r="L36" s="114" t="str">
        <f ca="1">IFERROR(VLOOKUP($C36&amp;L$34,Calc1!$Z$64:$AB$207,3,0),"")</f>
        <v/>
      </c>
      <c r="M36" s="160" t="str">
        <f ca="1">IFERROR(VLOOKUP($C36&amp;M$34,Calc1!$Z$64:$AB$207,3,0),"")</f>
        <v/>
      </c>
      <c r="N36" s="190" t="str">
        <f t="shared" ca="1" si="3"/>
        <v/>
      </c>
    </row>
    <row r="37" spans="2:14" ht="21.95" customHeight="1" x14ac:dyDescent="0.2">
      <c r="B37" s="117" t="str">
        <f ca="1">IF($C37="","",INDEX(Calc1!$E$4:$E$12,MATCH($C37,Calc1!$F$4:$F$12,0)))</f>
        <v/>
      </c>
      <c r="C37" s="127" t="str">
        <f ca="1">IF(Calc1!$K$13=0,"",Calc1!$AM6)</f>
        <v/>
      </c>
      <c r="D37" s="131" t="str">
        <f ca="1">IF($C37="","",VLOOKUP($C37,Calc1!$C$17:$AC$25,25,0))</f>
        <v/>
      </c>
      <c r="E37" s="114" t="str">
        <f ca="1">IF($C37="","",VLOOKUP($C37,Calc1!$C$17:$AC$25,26,0))</f>
        <v/>
      </c>
      <c r="F37" s="114" t="str">
        <f ca="1">IF($C37="","",VLOOKUP($C37,Calc1!$C$17:$AC$25,27,0))</f>
        <v/>
      </c>
      <c r="G37" s="522" t="str">
        <f ca="1">IF($C37="","",VLOOKUP(C37,Vorrunde!$AH$12:$AI$27,2,0))</f>
        <v/>
      </c>
      <c r="H37" s="139" t="str">
        <f ca="1">IFERROR(VLOOKUP($C37&amp;H$34,Calc1!$Z$64:$AB$207,3,0),"")</f>
        <v/>
      </c>
      <c r="I37" s="114" t="str">
        <f ca="1">IFERROR(VLOOKUP($C37&amp;I$34,Calc1!$Z$64:$AB$207,3,0),"")</f>
        <v/>
      </c>
      <c r="J37" s="124"/>
      <c r="K37" s="114" t="str">
        <f ca="1">IFERROR(VLOOKUP($C37&amp;K$34,Calc1!$Z$64:$AB$207,3,0),"")</f>
        <v/>
      </c>
      <c r="L37" s="114" t="str">
        <f ca="1">IFERROR(VLOOKUP($C37&amp;L$34,Calc1!$Z$64:$AB$207,3,0),"")</f>
        <v/>
      </c>
      <c r="M37" s="160" t="str">
        <f ca="1">IFERROR(VLOOKUP($C37&amp;M$34,Calc1!$Z$64:$AB$207,3,0),"")</f>
        <v/>
      </c>
      <c r="N37" s="190" t="str">
        <f t="shared" ca="1" si="3"/>
        <v/>
      </c>
    </row>
    <row r="38" spans="2:14" ht="21.95" customHeight="1" x14ac:dyDescent="0.2">
      <c r="B38" s="117" t="str">
        <f ca="1">IF($C38="","",INDEX(Calc1!$E$4:$E$12,MATCH($C38,Calc1!$F$4:$F$12,0)))</f>
        <v/>
      </c>
      <c r="C38" s="127" t="str">
        <f ca="1">IF(Calc1!$K$13=0,"",Calc1!$AM7)</f>
        <v/>
      </c>
      <c r="D38" s="131" t="str">
        <f ca="1">IF($C38="","",VLOOKUP($C38,Calc1!$C$17:$AC$25,25,0))</f>
        <v/>
      </c>
      <c r="E38" s="114" t="str">
        <f ca="1">IF($C38="","",VLOOKUP($C38,Calc1!$C$17:$AC$25,26,0))</f>
        <v/>
      </c>
      <c r="F38" s="114" t="str">
        <f ca="1">IF($C38="","",VLOOKUP($C38,Calc1!$C$17:$AC$25,27,0))</f>
        <v/>
      </c>
      <c r="G38" s="522" t="str">
        <f ca="1">IF($C38="","",VLOOKUP(C38,Vorrunde!$AH$12:$AI$27,2,0))</f>
        <v/>
      </c>
      <c r="H38" s="139" t="str">
        <f ca="1">IFERROR(VLOOKUP($C38&amp;H$34,Calc1!$Z$64:$AB$207,3,0),"")</f>
        <v/>
      </c>
      <c r="I38" s="114" t="str">
        <f ca="1">IFERROR(VLOOKUP($C38&amp;I$34,Calc1!$Z$64:$AB$207,3,0),"")</f>
        <v/>
      </c>
      <c r="J38" s="114" t="str">
        <f ca="1">IFERROR(VLOOKUP($C38&amp;J$34,Calc1!$Z$64:$AB$207,3,0),"")</f>
        <v/>
      </c>
      <c r="K38" s="124"/>
      <c r="L38" s="114" t="str">
        <f ca="1">IFERROR(VLOOKUP($C38&amp;L$34,Calc1!$Z$64:$AB$207,3,0),"")</f>
        <v/>
      </c>
      <c r="M38" s="160" t="str">
        <f ca="1">IFERROR(VLOOKUP($C38&amp;M$34,Calc1!$Z$64:$AB$207,3,0),"")</f>
        <v/>
      </c>
      <c r="N38" s="190" t="str">
        <f t="shared" ca="1" si="3"/>
        <v/>
      </c>
    </row>
    <row r="39" spans="2:14" ht="21.95" customHeight="1" x14ac:dyDescent="0.2">
      <c r="B39" s="117" t="str">
        <f ca="1">IF($C39="","",INDEX(Calc1!$E$4:$E$12,MATCH($C39,Calc1!$F$4:$F$12,0)))</f>
        <v/>
      </c>
      <c r="C39" s="127" t="str">
        <f ca="1">IF(Calc1!$K$13=0,"",Calc1!$AM8)</f>
        <v/>
      </c>
      <c r="D39" s="131" t="str">
        <f ca="1">IF($C39="","",VLOOKUP($C39,Calc1!$C$17:$AC$25,25,0))</f>
        <v/>
      </c>
      <c r="E39" s="114" t="str">
        <f ca="1">IF($C39="","",VLOOKUP($C39,Calc1!$C$17:$AC$25,26,0))</f>
        <v/>
      </c>
      <c r="F39" s="114" t="str">
        <f ca="1">IF($C39="","",VLOOKUP($C39,Calc1!$C$17:$AC$25,27,0))</f>
        <v/>
      </c>
      <c r="G39" s="522" t="str">
        <f ca="1">IF($C39="","",VLOOKUP(C39,Vorrunde!$AH$12:$AI$27,2,0))</f>
        <v/>
      </c>
      <c r="H39" s="139" t="str">
        <f ca="1">IFERROR(VLOOKUP($C39&amp;H$34,Calc1!$Z$64:$AB$207,3,0),"")</f>
        <v/>
      </c>
      <c r="I39" s="114" t="str">
        <f ca="1">IFERROR(VLOOKUP($C39&amp;I$34,Calc1!$Z$64:$AB$207,3,0),"")</f>
        <v/>
      </c>
      <c r="J39" s="114" t="str">
        <f ca="1">IFERROR(VLOOKUP($C39&amp;J$34,Calc1!$Z$64:$AB$207,3,0),"")</f>
        <v/>
      </c>
      <c r="K39" s="114" t="str">
        <f ca="1">IFERROR(VLOOKUP($C39&amp;K$34,Calc1!$Z$64:$AB$207,3,0),"")</f>
        <v/>
      </c>
      <c r="L39" s="124"/>
      <c r="M39" s="160" t="str">
        <f ca="1">IFERROR(VLOOKUP($C39&amp;M$34,Calc1!$Z$64:$AB$207,3,0),"")</f>
        <v/>
      </c>
      <c r="N39" s="190" t="str">
        <f t="shared" ca="1" si="3"/>
        <v/>
      </c>
    </row>
    <row r="40" spans="2:14" ht="21.95" customHeight="1" thickBot="1" x14ac:dyDescent="0.25">
      <c r="B40" s="118" t="str">
        <f ca="1">IF($C40="","",INDEX(Calc1!$E$4:$E$12,MATCH($C40,Calc1!$F$4:$F$12,0)))</f>
        <v/>
      </c>
      <c r="C40" s="128" t="str">
        <f ca="1">IF(Calc1!$K$13=0,"",Calc1!$AM9)</f>
        <v/>
      </c>
      <c r="D40" s="132" t="str">
        <f ca="1">IF($C40="","",VLOOKUP($C40,Calc1!$C$17:$AC$25,25,0))</f>
        <v/>
      </c>
      <c r="E40" s="115" t="str">
        <f ca="1">IF($C40="","",VLOOKUP($C40,Calc1!$C$17:$AC$25,26,0))</f>
        <v/>
      </c>
      <c r="F40" s="115" t="str">
        <f ca="1">IF($C40="","",VLOOKUP($C40,Calc1!$C$17:$AC$25,27,0))</f>
        <v/>
      </c>
      <c r="G40" s="523" t="str">
        <f ca="1">IF($C40="","",VLOOKUP(C40,Vorrunde!$AH$12:$AI$27,2,0))</f>
        <v/>
      </c>
      <c r="H40" s="140" t="str">
        <f ca="1">IFERROR(VLOOKUP($C40&amp;H$34,Calc1!$Z$64:$AB$207,3,0),"")</f>
        <v/>
      </c>
      <c r="I40" s="115" t="str">
        <f ca="1">IFERROR(VLOOKUP($C40&amp;I$34,Calc1!$Z$64:$AB$207,3,0),"")</f>
        <v/>
      </c>
      <c r="J40" s="115" t="str">
        <f ca="1">IFERROR(VLOOKUP($C40&amp;J$34,Calc1!$Z$64:$AB$207,3,0),"")</f>
        <v/>
      </c>
      <c r="K40" s="115" t="str">
        <f ca="1">IFERROR(VLOOKUP($C40&amp;K$34,Calc1!$Z$64:$AB$207,3,0),"")</f>
        <v/>
      </c>
      <c r="L40" s="115" t="str">
        <f ca="1">IFERROR(VLOOKUP($C40&amp;L$34,Calc1!$Z$64:$AB$207,3,0),"")</f>
        <v/>
      </c>
      <c r="M40" s="161"/>
      <c r="N40" s="191"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5"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04" t="str">
        <f>Sprache!$E$7</f>
        <v>Direkte Vergleiche</v>
      </c>
      <c r="C2" s="804"/>
      <c r="D2" s="804"/>
      <c r="E2" s="804"/>
      <c r="F2" s="804"/>
      <c r="G2" s="804"/>
      <c r="H2" s="804"/>
      <c r="I2" s="804"/>
      <c r="J2" s="804"/>
      <c r="K2" s="804"/>
      <c r="L2" s="804"/>
      <c r="M2" s="804"/>
    </row>
    <row r="3" spans="2:14" ht="42.75" customHeight="1" x14ac:dyDescent="0.2">
      <c r="B3" s="806" t="str">
        <f>Sprache!$E$56&amp;" B"</f>
        <v>Vorrunde Gruppe B</v>
      </c>
      <c r="C3" s="806"/>
      <c r="D3" s="806"/>
      <c r="E3" s="806"/>
      <c r="F3" s="806"/>
      <c r="G3" s="806"/>
      <c r="H3" s="806"/>
      <c r="I3" s="806"/>
      <c r="J3" s="806"/>
      <c r="K3" s="806"/>
      <c r="L3" s="806"/>
      <c r="M3" s="806"/>
    </row>
    <row r="4" spans="2:14" ht="17.25" customHeight="1" x14ac:dyDescent="0.2">
      <c r="B4" s="805" t="str">
        <f>Sprache!$E$69</f>
        <v>Rote Schrift bedeutet, dass die Rangfolge auch mit dem direkten Vergleich nicht geklärt ist. Fair Play oder Los muss hier entscheiden.</v>
      </c>
      <c r="C4" s="805"/>
      <c r="D4" s="805"/>
      <c r="E4" s="805"/>
      <c r="F4" s="805"/>
      <c r="G4" s="805"/>
      <c r="H4" s="805"/>
      <c r="I4" s="805"/>
      <c r="J4" s="805"/>
      <c r="K4" s="805"/>
      <c r="L4" s="805"/>
      <c r="M4" s="805"/>
    </row>
    <row r="5" spans="2:14" ht="17.25" customHeight="1" thickBot="1" x14ac:dyDescent="0.25">
      <c r="B5" s="122"/>
      <c r="C5" s="122"/>
      <c r="D5" s="122"/>
      <c r="E5" s="122"/>
      <c r="F5" s="122"/>
      <c r="G5" s="122"/>
      <c r="H5" s="122"/>
      <c r="I5" s="122"/>
      <c r="J5" s="122"/>
      <c r="K5" s="122"/>
      <c r="L5" s="122"/>
      <c r="M5" s="122"/>
    </row>
    <row r="6" spans="2:14" ht="21.95" customHeight="1" thickBot="1" x14ac:dyDescent="0.25">
      <c r="H6" s="151" t="str">
        <f ca="1">IF(LEN(H7)&gt;Einstellungen!$C$17,LEFT(H7,Einstellungen!$C$17)&amp;".",H7)</f>
        <v/>
      </c>
      <c r="I6" s="152" t="str">
        <f ca="1">IF(LEN(I7)&gt;Einstellungen!$C$17,LEFT(I7,Einstellungen!$C$17)&amp;".",I7)</f>
        <v/>
      </c>
      <c r="J6" s="152" t="str">
        <f ca="1">IF(LEN(J7)&gt;Einstellungen!$C$17,LEFT(J7,Einstellungen!$C$17)&amp;".",J7)</f>
        <v/>
      </c>
      <c r="K6" s="152" t="str">
        <f ca="1">IF(LEN(K7)&gt;Einstellungen!$C$17,LEFT(K7,Einstellungen!$C$17)&amp;".",K7)</f>
        <v/>
      </c>
      <c r="L6" s="152" t="str">
        <f ca="1">IF(LEN(L7)&gt;Einstellungen!$C$17,LEFT(L7,Einstellungen!$C$17)&amp;".",L7)</f>
        <v/>
      </c>
      <c r="M6" s="153" t="str">
        <f ca="1">IF(LEN(M7)&gt;Einstellungen!$C$17,LEFT(M7,Einstellungen!$C$17)&amp;".",M7)</f>
        <v/>
      </c>
    </row>
    <row r="7" spans="2:14" ht="21.95" customHeight="1" thickTop="1" thickBot="1" x14ac:dyDescent="0.25">
      <c r="B7" s="119"/>
      <c r="C7" s="125" t="str">
        <f>Sprache!$E$10</f>
        <v>Teilnehmer bzw. Mannschaft</v>
      </c>
      <c r="D7" s="129" t="str">
        <f>Sprache!$E$27</f>
        <v>Pkt</v>
      </c>
      <c r="E7" s="116" t="str">
        <f>Sprache!$E$26</f>
        <v>Diff.</v>
      </c>
      <c r="F7" s="116" t="str">
        <f>Sprache!$E$28</f>
        <v>erz. Tore</v>
      </c>
      <c r="G7" s="154" t="str">
        <f>Sprache!$E$49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IF($C8="","",INDEX(Calc2!$E$4:$E$12,MATCH($C8,Calc2!$F$4:$F$12,0)))</f>
        <v/>
      </c>
      <c r="C8" s="126" t="str">
        <f ca="1">IF(Calc2!$K$13=0,"",Calc2!$X4)</f>
        <v/>
      </c>
      <c r="D8" s="130" t="str">
        <f ca="1">IF($C8="","",VLOOKUP($C8,Calc2!$C$17:$AC$25,25,0))</f>
        <v/>
      </c>
      <c r="E8" s="113" t="str">
        <f ca="1">IF($C8="","",VLOOKUP($C8,Calc2!$C$17:$AC$25,26,0))</f>
        <v/>
      </c>
      <c r="F8" s="113" t="str">
        <f ca="1">IF($C8="","",VLOOKUP($C8,Calc2!$C$17:$AC$25,27,0))</f>
        <v/>
      </c>
      <c r="G8" s="521" t="str">
        <f ca="1">IF($C8="","",VLOOKUP(C8,Vorrunde!$AH$12:$AI$27,2,0))</f>
        <v/>
      </c>
      <c r="H8" s="138"/>
      <c r="I8" s="113" t="str">
        <f ca="1">IFERROR(VLOOKUP($C8&amp;I$7,Calc2!$Z$64:$AB$207,3,0),"")</f>
        <v/>
      </c>
      <c r="J8" s="113" t="str">
        <f ca="1">IFERROR(VLOOKUP($C8&amp;J$7,Calc2!$Z$64:$AB$207,3,0),"")</f>
        <v/>
      </c>
      <c r="K8" s="113" t="str">
        <f ca="1">IFERROR(VLOOKUP($C8&amp;K$7,Calc2!$Z$64:$AB$207,3,0),"")</f>
        <v/>
      </c>
      <c r="L8" s="113" t="str">
        <f ca="1">IFERROR(VLOOKUP($C8&amp;L$7,Calc2!$Z$64:$AB$207,3,0),"")</f>
        <v/>
      </c>
      <c r="M8" s="159" t="str">
        <f ca="1">IFERROR(VLOOKUP($C8&amp;M$7,Calc2!$Z$64:$AB$207,3,0),"")</f>
        <v/>
      </c>
      <c r="N8" s="189" t="str">
        <f t="shared" ref="N8:N13" ca="1" si="0">C8</f>
        <v/>
      </c>
    </row>
    <row r="9" spans="2:14" ht="21.95" customHeight="1" x14ac:dyDescent="0.2">
      <c r="B9" s="117" t="str">
        <f ca="1">IF($C9="","",INDEX(Calc2!$E$4:$E$12,MATCH($C9,Calc2!$F$4:$F$12,0)))</f>
        <v/>
      </c>
      <c r="C9" s="127" t="str">
        <f ca="1">IF(Calc2!$K$13=0,"",Calc2!$X5)</f>
        <v/>
      </c>
      <c r="D9" s="131" t="str">
        <f ca="1">IF($C9="","",VLOOKUP($C9,Calc2!$C$17:$AC$25,25,0))</f>
        <v/>
      </c>
      <c r="E9" s="114" t="str">
        <f ca="1">IF($C9="","",VLOOKUP($C9,Calc2!$C$17:$AC$25,26,0))</f>
        <v/>
      </c>
      <c r="F9" s="114" t="str">
        <f ca="1">IF($C9="","",VLOOKUP($C9,Calc2!$C$17:$AC$25,27,0))</f>
        <v/>
      </c>
      <c r="G9" s="522" t="str">
        <f ca="1">IF($C9="","",VLOOKUP(C9,Vorrunde!$AH$12:$AI$27,2,0))</f>
        <v/>
      </c>
      <c r="H9" s="139" t="str">
        <f ca="1">IFERROR(VLOOKUP($C9&amp;H$7,Calc2!$Z$64:$AB$207,3,0),"")</f>
        <v/>
      </c>
      <c r="I9" s="124"/>
      <c r="J9" s="114" t="str">
        <f ca="1">IFERROR(VLOOKUP($C9&amp;J$7,Calc2!$Z$64:$AB$207,3,0),"")</f>
        <v/>
      </c>
      <c r="K9" s="114" t="str">
        <f ca="1">IFERROR(VLOOKUP($C9&amp;K$7,Calc2!$Z$64:$AB$207,3,0),"")</f>
        <v/>
      </c>
      <c r="L9" s="114" t="str">
        <f ca="1">IFERROR(VLOOKUP($C9&amp;L$7,Calc2!$Z$64:$AB$207,3,0),"")</f>
        <v/>
      </c>
      <c r="M9" s="160" t="str">
        <f ca="1">IFERROR(VLOOKUP($C9&amp;M$7,Calc2!$Z$64:$AB$207,3,0),"")</f>
        <v/>
      </c>
      <c r="N9" s="190" t="str">
        <f t="shared" ca="1" si="0"/>
        <v/>
      </c>
    </row>
    <row r="10" spans="2:14" ht="21.95" customHeight="1" x14ac:dyDescent="0.2">
      <c r="B10" s="117" t="str">
        <f ca="1">IF($C10="","",INDEX(Calc2!$E$4:$E$12,MATCH($C10,Calc2!$F$4:$F$12,0)))</f>
        <v/>
      </c>
      <c r="C10" s="127" t="str">
        <f ca="1">IF(Calc2!$K$13=0,"",Calc2!$X6)</f>
        <v/>
      </c>
      <c r="D10" s="131" t="str">
        <f ca="1">IF($C10="","",VLOOKUP($C10,Calc2!$C$17:$AC$25,25,0))</f>
        <v/>
      </c>
      <c r="E10" s="114" t="str">
        <f ca="1">IF($C10="","",VLOOKUP($C10,Calc2!$C$17:$AC$25,26,0))</f>
        <v/>
      </c>
      <c r="F10" s="114" t="str">
        <f ca="1">IF($C10="","",VLOOKUP($C10,Calc2!$C$17:$AC$25,27,0))</f>
        <v/>
      </c>
      <c r="G10" s="522" t="str">
        <f ca="1">IF($C10="","",VLOOKUP(C10,Vorrunde!$AH$12:$AI$27,2,0))</f>
        <v/>
      </c>
      <c r="H10" s="139" t="str">
        <f ca="1">IFERROR(VLOOKUP($C10&amp;H$7,Calc2!$Z$64:$AB$207,3,0),"")</f>
        <v/>
      </c>
      <c r="I10" s="114" t="str">
        <f ca="1">IFERROR(VLOOKUP($C10&amp;I$7,Calc2!$Z$64:$AB$207,3,0),"")</f>
        <v/>
      </c>
      <c r="J10" s="124"/>
      <c r="K10" s="114" t="str">
        <f ca="1">IFERROR(VLOOKUP($C10&amp;K$7,Calc2!$Z$64:$AB$207,3,0),"")</f>
        <v/>
      </c>
      <c r="L10" s="114" t="str">
        <f ca="1">IFERROR(VLOOKUP($C10&amp;L$7,Calc2!$Z$64:$AB$207,3,0),"")</f>
        <v/>
      </c>
      <c r="M10" s="160" t="str">
        <f ca="1">IFERROR(VLOOKUP($C10&amp;M$7,Calc2!$Z$64:$AB$207,3,0),"")</f>
        <v/>
      </c>
      <c r="N10" s="190" t="str">
        <f t="shared" ca="1" si="0"/>
        <v/>
      </c>
    </row>
    <row r="11" spans="2:14" ht="21.95" customHeight="1" x14ac:dyDescent="0.2">
      <c r="B11" s="117" t="str">
        <f ca="1">IF($C11="","",INDEX(Calc2!$E$4:$E$12,MATCH($C11,Calc2!$F$4:$F$12,0)))</f>
        <v/>
      </c>
      <c r="C11" s="127" t="str">
        <f ca="1">IF(Calc2!$K$13=0,"",Calc2!$X7)</f>
        <v/>
      </c>
      <c r="D11" s="131" t="str">
        <f ca="1">IF($C11="","",VLOOKUP($C11,Calc2!$C$17:$AC$25,25,0))</f>
        <v/>
      </c>
      <c r="E11" s="114" t="str">
        <f ca="1">IF($C11="","",VLOOKUP($C11,Calc2!$C$17:$AC$25,26,0))</f>
        <v/>
      </c>
      <c r="F11" s="114" t="str">
        <f ca="1">IF($C11="","",VLOOKUP($C11,Calc2!$C$17:$AC$25,27,0))</f>
        <v/>
      </c>
      <c r="G11" s="522" t="str">
        <f ca="1">IF($C11="","",VLOOKUP(C11,Vorrunde!$AH$12:$AI$27,2,0))</f>
        <v/>
      </c>
      <c r="H11" s="139" t="str">
        <f ca="1">IFERROR(VLOOKUP($C11&amp;H$7,Calc2!$Z$64:$AB$207,3,0),"")</f>
        <v/>
      </c>
      <c r="I11" s="114" t="str">
        <f ca="1">IFERROR(VLOOKUP($C11&amp;I$7,Calc2!$Z$64:$AB$207,3,0),"")</f>
        <v/>
      </c>
      <c r="J11" s="114" t="str">
        <f ca="1">IFERROR(VLOOKUP($C11&amp;J$7,Calc2!$Z$64:$AB$207,3,0),"")</f>
        <v/>
      </c>
      <c r="K11" s="124"/>
      <c r="L11" s="114" t="str">
        <f ca="1">IFERROR(VLOOKUP($C11&amp;L$7,Calc2!$Z$64:$AB$207,3,0),"")</f>
        <v/>
      </c>
      <c r="M11" s="160" t="str">
        <f ca="1">IFERROR(VLOOKUP($C11&amp;M$7,Calc2!$Z$64:$AB$207,3,0),"")</f>
        <v/>
      </c>
      <c r="N11" s="190" t="str">
        <f t="shared" ca="1" si="0"/>
        <v/>
      </c>
    </row>
    <row r="12" spans="2:14" ht="21.95" customHeight="1" x14ac:dyDescent="0.2">
      <c r="B12" s="117" t="str">
        <f ca="1">IF($C12="","",INDEX(Calc2!$E$4:$E$12,MATCH($C12,Calc2!$F$4:$F$12,0)))</f>
        <v/>
      </c>
      <c r="C12" s="127" t="str">
        <f ca="1">IF(Calc2!$K$13=0,"",Calc2!$X8)</f>
        <v/>
      </c>
      <c r="D12" s="131" t="str">
        <f ca="1">IF($C12="","",VLOOKUP($C12,Calc2!$C$17:$AC$25,25,0))</f>
        <v/>
      </c>
      <c r="E12" s="114" t="str">
        <f ca="1">IF($C12="","",VLOOKUP($C12,Calc2!$C$17:$AC$25,26,0))</f>
        <v/>
      </c>
      <c r="F12" s="114" t="str">
        <f ca="1">IF($C12="","",VLOOKUP($C12,Calc2!$C$17:$AC$25,27,0))</f>
        <v/>
      </c>
      <c r="G12" s="522" t="str">
        <f ca="1">IF($C12="","",VLOOKUP(C12,Vorrunde!$AH$12:$AI$27,2,0))</f>
        <v/>
      </c>
      <c r="H12" s="139" t="str">
        <f ca="1">IFERROR(VLOOKUP($C12&amp;H$7,Calc2!$Z$64:$AB$207,3,0),"")</f>
        <v/>
      </c>
      <c r="I12" s="114" t="str">
        <f ca="1">IFERROR(VLOOKUP($C12&amp;I$7,Calc2!$Z$64:$AB$207,3,0),"")</f>
        <v/>
      </c>
      <c r="J12" s="114" t="str">
        <f ca="1">IFERROR(VLOOKUP($C12&amp;J$7,Calc2!$Z$64:$AB$207,3,0),"")</f>
        <v/>
      </c>
      <c r="K12" s="114" t="str">
        <f ca="1">IFERROR(VLOOKUP($C12&amp;K$7,Calc2!$Z$64:$AB$207,3,0),"")</f>
        <v/>
      </c>
      <c r="L12" s="124"/>
      <c r="M12" s="160" t="str">
        <f ca="1">IFERROR(VLOOKUP($C12&amp;M$7,Calc2!$Z$64:$AB$207,3,0),"")</f>
        <v/>
      </c>
      <c r="N12" s="190" t="str">
        <f t="shared" ca="1" si="0"/>
        <v/>
      </c>
    </row>
    <row r="13" spans="2:14" ht="21.95" customHeight="1" thickBot="1" x14ac:dyDescent="0.25">
      <c r="B13" s="118" t="str">
        <f ca="1">IF($C13="","",INDEX(Calc2!$E$4:$E$12,MATCH($C13,Calc2!$F$4:$F$12,0)))</f>
        <v/>
      </c>
      <c r="C13" s="128" t="str">
        <f ca="1">IF(Calc2!$K$13=0,"",Calc2!$X9)</f>
        <v/>
      </c>
      <c r="D13" s="132" t="str">
        <f ca="1">IF($C13="","",VLOOKUP($C13,Calc2!$C$17:$AC$25,25,0))</f>
        <v/>
      </c>
      <c r="E13" s="115" t="str">
        <f ca="1">IF($C13="","",VLOOKUP($C13,Calc2!$C$17:$AC$25,26,0))</f>
        <v/>
      </c>
      <c r="F13" s="115" t="str">
        <f ca="1">IF($C13="","",VLOOKUP($C13,Calc2!$C$17:$AC$25,27,0))</f>
        <v/>
      </c>
      <c r="G13" s="523" t="str">
        <f ca="1">IF($C13="","",VLOOKUP(C13,Vorrunde!$AH$12:$AI$27,2,0))</f>
        <v/>
      </c>
      <c r="H13" s="140" t="str">
        <f ca="1">IFERROR(VLOOKUP($C13&amp;H$7,Calc2!$Z$64:$AB$207,3,0),"")</f>
        <v/>
      </c>
      <c r="I13" s="115" t="str">
        <f ca="1">IFERROR(VLOOKUP($C13&amp;I$7,Calc2!$Z$64:$AB$207,3,0),"")</f>
        <v/>
      </c>
      <c r="J13" s="115" t="str">
        <f ca="1">IFERROR(VLOOKUP($C13&amp;J$7,Calc2!$Z$64:$AB$207,3,0),"")</f>
        <v/>
      </c>
      <c r="K13" s="115" t="str">
        <f ca="1">IFERROR(VLOOKUP($C13&amp;K$7,Calc2!$Z$64:$AB$207,3,0),"")</f>
        <v/>
      </c>
      <c r="L13" s="115" t="str">
        <f ca="1">IFERROR(VLOOKUP($C13&amp;L$7,Calc2!$Z$64:$AB$207,3,0),"")</f>
        <v/>
      </c>
      <c r="M13" s="161"/>
      <c r="N13" s="191"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IF(LEN(H16)&gt;Einstellungen!$C$17,LEFT(H16,Einstellungen!$C$17)&amp;".",H16)</f>
        <v/>
      </c>
      <c r="I15" s="152" t="str">
        <f ca="1">IF(LEN(I16)&gt;Einstellungen!$C$17,LEFT(I16,Einstellungen!$C$17)&amp;".",I16)</f>
        <v/>
      </c>
      <c r="J15" s="152" t="str">
        <f ca="1">IF(LEN(J16)&gt;Einstellungen!$C$17,LEFT(J16,Einstellungen!$C$17)&amp;".",J16)</f>
        <v/>
      </c>
      <c r="K15" s="152" t="str">
        <f ca="1">IF(LEN(K16)&gt;Einstellungen!$C$17,LEFT(K16,Einstellungen!$C$17)&amp;".",K16)</f>
        <v/>
      </c>
      <c r="L15" s="152" t="str">
        <f ca="1">IF(LEN(L16)&gt;Einstellungen!$C$17,LEFT(L16,Einstellungen!$C$17)&amp;".",L16)</f>
        <v/>
      </c>
      <c r="M15" s="153" t="str">
        <f ca="1">IF(LEN(M16)&gt;Einstellungen!$C$17,LEFT(M16,Einstellungen!$C$17)&amp;".",M16)</f>
        <v/>
      </c>
    </row>
    <row r="16" spans="2:14" ht="21.95" customHeight="1" thickTop="1" thickBot="1" x14ac:dyDescent="0.25">
      <c r="B16" s="119"/>
      <c r="C16" s="125" t="str">
        <f>Sprache!$E$10</f>
        <v>Teilnehmer bzw. Mannschaft</v>
      </c>
      <c r="D16" s="129" t="str">
        <f>Sprache!$E$27</f>
        <v>Pkt</v>
      </c>
      <c r="E16" s="116" t="str">
        <f>Sprache!$E$26</f>
        <v>Diff.</v>
      </c>
      <c r="F16" s="116" t="str">
        <f>Sprache!$E$28</f>
        <v>erz. Tore</v>
      </c>
      <c r="G16" s="154" t="str">
        <f>Sprache!$E$49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IF($C17="","",INDEX(Calc2!$E$4:$E$12,MATCH($C17,Calc2!$F$4:$F$12,0)))</f>
        <v/>
      </c>
      <c r="C17" s="126" t="str">
        <f ca="1">IF(Calc2!$K$13=0,"",Calc2!$AC4)</f>
        <v/>
      </c>
      <c r="D17" s="130" t="str">
        <f ca="1">IF($C17="","",VLOOKUP($C17,Calc2!$C$17:$AC$25,25,0))</f>
        <v/>
      </c>
      <c r="E17" s="113" t="str">
        <f ca="1">IF($C17="","",VLOOKUP($C17,Calc2!$C$17:$AC$25,26,0))</f>
        <v/>
      </c>
      <c r="F17" s="113" t="str">
        <f ca="1">IF($C17="","",VLOOKUP($C17,Calc2!$C$17:$AC$25,27,0))</f>
        <v/>
      </c>
      <c r="G17" s="521" t="str">
        <f ca="1">IF($C17="","",VLOOKUP(C17,Vorrunde!$AH$12:$AI$27,2,0))</f>
        <v/>
      </c>
      <c r="H17" s="138"/>
      <c r="I17" s="113" t="str">
        <f ca="1">IFERROR(VLOOKUP($C17&amp;I$16,Calc2!$Z$64:$AB$207,3,0),"")</f>
        <v/>
      </c>
      <c r="J17" s="113" t="str">
        <f ca="1">IFERROR(VLOOKUP($C17&amp;J$16,Calc2!$Z$64:$AB$207,3,0),"")</f>
        <v/>
      </c>
      <c r="K17" s="113" t="str">
        <f ca="1">IFERROR(VLOOKUP($C17&amp;K$16,Calc2!$Z$64:$AB$207,3,0),"")</f>
        <v/>
      </c>
      <c r="L17" s="113" t="str">
        <f ca="1">IFERROR(VLOOKUP($C17&amp;L$16,Calc2!$Z$64:$AB$207,3,0),"")</f>
        <v/>
      </c>
      <c r="M17" s="159" t="str">
        <f ca="1">IFERROR(VLOOKUP($C17&amp;M$16,Calc2!$Z$64:$AB$207,3,0),"")</f>
        <v/>
      </c>
      <c r="N17" s="189" t="str">
        <f t="shared" ref="N17:N22" ca="1" si="1">C17</f>
        <v/>
      </c>
    </row>
    <row r="18" spans="2:14" ht="21.95" customHeight="1" x14ac:dyDescent="0.2">
      <c r="B18" s="117" t="str">
        <f ca="1">IF($C18="","",INDEX(Calc2!$E$4:$E$12,MATCH($C18,Calc2!$F$4:$F$12,0)))</f>
        <v/>
      </c>
      <c r="C18" s="127" t="str">
        <f ca="1">IF(Calc2!$K$13=0,"",Calc2!$AC5)</f>
        <v/>
      </c>
      <c r="D18" s="131" t="str">
        <f ca="1">IF($C18="","",VLOOKUP($C18,Calc2!$C$17:$AC$25,25,0))</f>
        <v/>
      </c>
      <c r="E18" s="114" t="str">
        <f ca="1">IF($C18="","",VLOOKUP($C18,Calc2!$C$17:$AC$25,26,0))</f>
        <v/>
      </c>
      <c r="F18" s="114" t="str">
        <f ca="1">IF($C18="","",VLOOKUP($C18,Calc2!$C$17:$AC$25,27,0))</f>
        <v/>
      </c>
      <c r="G18" s="522" t="str">
        <f ca="1">IF($C18="","",VLOOKUP(C18,Vorrunde!$AH$12:$AI$27,2,0))</f>
        <v/>
      </c>
      <c r="H18" s="139" t="str">
        <f ca="1">IFERROR(VLOOKUP($C18&amp;H$16,Calc2!$Z$64:$AB$207,3,0),"")</f>
        <v/>
      </c>
      <c r="I18" s="124"/>
      <c r="J18" s="114" t="str">
        <f ca="1">IFERROR(VLOOKUP($C18&amp;J$16,Calc2!$Z$64:$AB$207,3,0),"")</f>
        <v/>
      </c>
      <c r="K18" s="114" t="str">
        <f ca="1">IFERROR(VLOOKUP($C18&amp;K$16,Calc2!$Z$64:$AB$207,3,0),"")</f>
        <v/>
      </c>
      <c r="L18" s="114" t="str">
        <f ca="1">IFERROR(VLOOKUP($C18&amp;L$16,Calc2!$Z$64:$AB$207,3,0),"")</f>
        <v/>
      </c>
      <c r="M18" s="160" t="str">
        <f ca="1">IFERROR(VLOOKUP($C18&amp;M$16,Calc2!$Z$64:$AB$207,3,0),"")</f>
        <v/>
      </c>
      <c r="N18" s="190" t="str">
        <f t="shared" ca="1" si="1"/>
        <v/>
      </c>
    </row>
    <row r="19" spans="2:14" ht="21.95" customHeight="1" x14ac:dyDescent="0.2">
      <c r="B19" s="117" t="str">
        <f ca="1">IF($C19="","",INDEX(Calc2!$E$4:$E$12,MATCH($C19,Calc2!$F$4:$F$12,0)))</f>
        <v/>
      </c>
      <c r="C19" s="127" t="str">
        <f ca="1">IF(Calc2!$K$13=0,"",Calc2!$AC6)</f>
        <v/>
      </c>
      <c r="D19" s="131" t="str">
        <f ca="1">IF($C19="","",VLOOKUP($C19,Calc2!$C$17:$AC$25,25,0))</f>
        <v/>
      </c>
      <c r="E19" s="114" t="str">
        <f ca="1">IF($C19="","",VLOOKUP($C19,Calc2!$C$17:$AC$25,26,0))</f>
        <v/>
      </c>
      <c r="F19" s="114" t="str">
        <f ca="1">IF($C19="","",VLOOKUP($C19,Calc2!$C$17:$AC$25,27,0))</f>
        <v/>
      </c>
      <c r="G19" s="522" t="str">
        <f ca="1">IF($C19="","",VLOOKUP(C19,Vorrunde!$AH$12:$AI$27,2,0))</f>
        <v/>
      </c>
      <c r="H19" s="139" t="str">
        <f ca="1">IFERROR(VLOOKUP($C19&amp;H$16,Calc2!$Z$64:$AB$207,3,0),"")</f>
        <v/>
      </c>
      <c r="I19" s="114" t="str">
        <f ca="1">IFERROR(VLOOKUP($C19&amp;I$16,Calc2!$Z$64:$AB$207,3,0),"")</f>
        <v/>
      </c>
      <c r="J19" s="124"/>
      <c r="K19" s="114" t="str">
        <f ca="1">IFERROR(VLOOKUP($C19&amp;K$16,Calc2!$Z$64:$AB$207,3,0),"")</f>
        <v/>
      </c>
      <c r="L19" s="114" t="str">
        <f ca="1">IFERROR(VLOOKUP($C19&amp;L$16,Calc2!$Z$64:$AB$207,3,0),"")</f>
        <v/>
      </c>
      <c r="M19" s="160" t="str">
        <f ca="1">IFERROR(VLOOKUP($C19&amp;M$16,Calc2!$Z$64:$AB$207,3,0),"")</f>
        <v/>
      </c>
      <c r="N19" s="190" t="str">
        <f t="shared" ca="1" si="1"/>
        <v/>
      </c>
    </row>
    <row r="20" spans="2:14" ht="21.95" customHeight="1" x14ac:dyDescent="0.2">
      <c r="B20" s="117" t="str">
        <f ca="1">IF($C20="","",INDEX(Calc2!$E$4:$E$12,MATCH($C20,Calc2!$F$4:$F$12,0)))</f>
        <v/>
      </c>
      <c r="C20" s="127" t="str">
        <f ca="1">IF(Calc2!$K$13=0,"",Calc2!$AC7)</f>
        <v/>
      </c>
      <c r="D20" s="131" t="str">
        <f ca="1">IF($C20="","",VLOOKUP($C20,Calc2!$C$17:$AC$25,25,0))</f>
        <v/>
      </c>
      <c r="E20" s="114" t="str">
        <f ca="1">IF($C20="","",VLOOKUP($C20,Calc2!$C$17:$AC$25,26,0))</f>
        <v/>
      </c>
      <c r="F20" s="114" t="str">
        <f ca="1">IF($C20="","",VLOOKUP($C20,Calc2!$C$17:$AC$25,27,0))</f>
        <v/>
      </c>
      <c r="G20" s="522" t="str">
        <f ca="1">IF($C20="","",VLOOKUP(C20,Vorrunde!$AH$12:$AI$27,2,0))</f>
        <v/>
      </c>
      <c r="H20" s="139" t="str">
        <f ca="1">IFERROR(VLOOKUP($C20&amp;H$16,Calc2!$Z$64:$AB$207,3,0),"")</f>
        <v/>
      </c>
      <c r="I20" s="114" t="str">
        <f ca="1">IFERROR(VLOOKUP($C20&amp;I$16,Calc2!$Z$64:$AB$207,3,0),"")</f>
        <v/>
      </c>
      <c r="J20" s="114" t="str">
        <f ca="1">IFERROR(VLOOKUP($C20&amp;J$16,Calc2!$Z$64:$AB$207,3,0),"")</f>
        <v/>
      </c>
      <c r="K20" s="124"/>
      <c r="L20" s="114" t="str">
        <f ca="1">IFERROR(VLOOKUP($C20&amp;L$16,Calc2!$Z$64:$AB$207,3,0),"")</f>
        <v/>
      </c>
      <c r="M20" s="160" t="str">
        <f ca="1">IFERROR(VLOOKUP($C20&amp;M$16,Calc2!$Z$64:$AB$207,3,0),"")</f>
        <v/>
      </c>
      <c r="N20" s="190" t="str">
        <f t="shared" ca="1" si="1"/>
        <v/>
      </c>
    </row>
    <row r="21" spans="2:14" ht="21.95" customHeight="1" x14ac:dyDescent="0.2">
      <c r="B21" s="117" t="str">
        <f ca="1">IF($C21="","",INDEX(Calc2!$E$4:$E$12,MATCH($C21,Calc2!$F$4:$F$12,0)))</f>
        <v/>
      </c>
      <c r="C21" s="127" t="str">
        <f ca="1">IF(Calc2!$K$13=0,"",Calc2!$AC8)</f>
        <v/>
      </c>
      <c r="D21" s="131" t="str">
        <f ca="1">IF($C21="","",VLOOKUP($C21,Calc2!$C$17:$AC$25,25,0))</f>
        <v/>
      </c>
      <c r="E21" s="114" t="str">
        <f ca="1">IF($C21="","",VLOOKUP($C21,Calc2!$C$17:$AC$25,26,0))</f>
        <v/>
      </c>
      <c r="F21" s="114" t="str">
        <f ca="1">IF($C21="","",VLOOKUP($C21,Calc2!$C$17:$AC$25,27,0))</f>
        <v/>
      </c>
      <c r="G21" s="522" t="str">
        <f ca="1">IF($C21="","",VLOOKUP(C21,Vorrunde!$AH$12:$AI$27,2,0))</f>
        <v/>
      </c>
      <c r="H21" s="139" t="str">
        <f ca="1">IFERROR(VLOOKUP($C21&amp;H$16,Calc2!$Z$64:$AB$207,3,0),"")</f>
        <v/>
      </c>
      <c r="I21" s="114" t="str">
        <f ca="1">IFERROR(VLOOKUP($C21&amp;I$16,Calc2!$Z$64:$AB$207,3,0),"")</f>
        <v/>
      </c>
      <c r="J21" s="114" t="str">
        <f ca="1">IFERROR(VLOOKUP($C21&amp;J$16,Calc2!$Z$64:$AB$207,3,0),"")</f>
        <v/>
      </c>
      <c r="K21" s="114" t="str">
        <f ca="1">IFERROR(VLOOKUP($C21&amp;K$16,Calc2!$Z$64:$AB$207,3,0),"")</f>
        <v/>
      </c>
      <c r="L21" s="124"/>
      <c r="M21" s="160" t="str">
        <f ca="1">IFERROR(VLOOKUP($C21&amp;M$16,Calc2!$Z$64:$AB$207,3,0),"")</f>
        <v/>
      </c>
      <c r="N21" s="190" t="str">
        <f t="shared" ca="1" si="1"/>
        <v/>
      </c>
    </row>
    <row r="22" spans="2:14" ht="21.95" customHeight="1" thickBot="1" x14ac:dyDescent="0.25">
      <c r="B22" s="118" t="str">
        <f ca="1">IF($C22="","",INDEX(Calc2!$E$4:$E$12,MATCH($C22,Calc2!$F$4:$F$12,0)))</f>
        <v/>
      </c>
      <c r="C22" s="128" t="str">
        <f ca="1">IF(Calc2!$K$13=0,"",Calc2!$AC9)</f>
        <v/>
      </c>
      <c r="D22" s="132" t="str">
        <f ca="1">IF($C22="","",VLOOKUP($C22,Calc2!$C$17:$AC$25,25,0))</f>
        <v/>
      </c>
      <c r="E22" s="115" t="str">
        <f ca="1">IF($C22="","",VLOOKUP($C22,Calc2!$C$17:$AC$25,26,0))</f>
        <v/>
      </c>
      <c r="F22" s="115" t="str">
        <f ca="1">IF($C22="","",VLOOKUP($C22,Calc2!$C$17:$AC$25,27,0))</f>
        <v/>
      </c>
      <c r="G22" s="523" t="str">
        <f ca="1">IF($C22="","",VLOOKUP(C22,Vorrunde!$AH$12:$AI$27,2,0))</f>
        <v/>
      </c>
      <c r="H22" s="140" t="str">
        <f ca="1">IFERROR(VLOOKUP($C22&amp;H$16,Calc2!$Z$64:$AB$207,3,0),"")</f>
        <v/>
      </c>
      <c r="I22" s="115" t="str">
        <f ca="1">IFERROR(VLOOKUP($C22&amp;I$16,Calc2!$Z$64:$AB$207,3,0),"")</f>
        <v/>
      </c>
      <c r="J22" s="115" t="str">
        <f ca="1">IFERROR(VLOOKUP($C22&amp;J$16,Calc2!$Z$64:$AB$207,3,0),"")</f>
        <v/>
      </c>
      <c r="K22" s="115" t="str">
        <f ca="1">IFERROR(VLOOKUP($C22&amp;K$16,Calc2!$Z$64:$AB$207,3,0),"")</f>
        <v/>
      </c>
      <c r="L22" s="115" t="str">
        <f ca="1">IFERROR(VLOOKUP($C22&amp;L$16,Calc2!$Z$64:$AB$207,3,0),"")</f>
        <v/>
      </c>
      <c r="M22" s="161"/>
      <c r="N22" s="191"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IF(LEN(H25)&gt;Einstellungen!$C$17,LEFT(H25,Einstellungen!$C$17)&amp;".",H25)</f>
        <v/>
      </c>
      <c r="I24" s="152" t="str">
        <f ca="1">IF(LEN(I25)&gt;Einstellungen!$C$17,LEFT(I25,Einstellungen!$C$17)&amp;".",I25)</f>
        <v/>
      </c>
      <c r="J24" s="152" t="str">
        <f ca="1">IF(LEN(J25)&gt;Einstellungen!$C$17,LEFT(J25,Einstellungen!$C$17)&amp;".",J25)</f>
        <v/>
      </c>
      <c r="K24" s="152" t="str">
        <f ca="1">IF(LEN(K25)&gt;Einstellungen!$C$17,LEFT(K25,Einstellungen!$C$17)&amp;".",K25)</f>
        <v/>
      </c>
      <c r="L24" s="152" t="str">
        <f ca="1">IF(LEN(L25)&gt;Einstellungen!$C$17,LEFT(L25,Einstellungen!$C$17)&amp;".",L25)</f>
        <v/>
      </c>
      <c r="M24" s="153" t="str">
        <f ca="1">IF(LEN(M25)&gt;Einstellungen!$C$17,LEFT(M25,Einstellungen!$C$17)&amp;".",M25)</f>
        <v/>
      </c>
    </row>
    <row r="25" spans="2:14" ht="21.95" customHeight="1" thickTop="1" thickBot="1" x14ac:dyDescent="0.25">
      <c r="B25" s="119"/>
      <c r="C25" s="125" t="str">
        <f>Sprache!$E$10</f>
        <v>Teilnehmer bzw. Mannschaft</v>
      </c>
      <c r="D25" s="129" t="str">
        <f>Sprache!$E$27</f>
        <v>Pkt</v>
      </c>
      <c r="E25" s="116" t="str">
        <f>Sprache!$E$26</f>
        <v>Diff.</v>
      </c>
      <c r="F25" s="116" t="str">
        <f>Sprache!$E$28</f>
        <v>erz. Tore</v>
      </c>
      <c r="G25" s="154" t="str">
        <f>Sprache!$E$49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IF($C26="","",INDEX(Calc2!$E$4:$E$12,MATCH($C26,Calc2!$F$4:$F$12,0)))</f>
        <v/>
      </c>
      <c r="C26" s="126" t="str">
        <f ca="1">IF(Calc2!$K$13=0,"",Calc2!$AH4)</f>
        <v/>
      </c>
      <c r="D26" s="130" t="str">
        <f ca="1">IF($C26="","",VLOOKUP($C26,Calc2!$C$17:$AC$25,25,0))</f>
        <v/>
      </c>
      <c r="E26" s="113" t="str">
        <f ca="1">IF($C26="","",VLOOKUP($C26,Calc2!$C$17:$AC$25,26,0))</f>
        <v/>
      </c>
      <c r="F26" s="113" t="str">
        <f ca="1">IF($C26="","",VLOOKUP($C26,Calc2!$C$17:$AC$25,27,0))</f>
        <v/>
      </c>
      <c r="G26" s="521" t="str">
        <f ca="1">IF($C26="","",VLOOKUP(C26,Vorrunde!$AH$12:$AI$27,2,0))</f>
        <v/>
      </c>
      <c r="H26" s="138"/>
      <c r="I26" s="113" t="str">
        <f ca="1">IFERROR(VLOOKUP($C26&amp;I$25,Calc2!$Z$64:$AB$207,3,0),"")</f>
        <v/>
      </c>
      <c r="J26" s="113" t="str">
        <f ca="1">IFERROR(VLOOKUP($C26&amp;J$25,Calc2!$Z$64:$AB$207,3,0),"")</f>
        <v/>
      </c>
      <c r="K26" s="113" t="str">
        <f ca="1">IFERROR(VLOOKUP($C26&amp;K$25,Calc2!$Z$64:$AB$207,3,0),"")</f>
        <v/>
      </c>
      <c r="L26" s="113" t="str">
        <f ca="1">IFERROR(VLOOKUP($C26&amp;L$25,Calc2!$Z$64:$AB$207,3,0),"")</f>
        <v/>
      </c>
      <c r="M26" s="159" t="str">
        <f ca="1">IFERROR(VLOOKUP($C26&amp;M$25,Calc2!$Z$64:$AB$207,3,0),"")</f>
        <v/>
      </c>
      <c r="N26" s="189" t="str">
        <f t="shared" ref="N26:N31" ca="1" si="2">C26</f>
        <v/>
      </c>
    </row>
    <row r="27" spans="2:14" ht="21.95" customHeight="1" x14ac:dyDescent="0.2">
      <c r="B27" s="117" t="str">
        <f ca="1">IF($C27="","",INDEX(Calc2!$E$4:$E$12,MATCH($C27,Calc2!$F$4:$F$12,0)))</f>
        <v/>
      </c>
      <c r="C27" s="127" t="str">
        <f ca="1">IF(Calc2!$K$13=0,"",Calc2!$AH5)</f>
        <v/>
      </c>
      <c r="D27" s="131" t="str">
        <f ca="1">IF($C27="","",VLOOKUP($C27,Calc2!$C$17:$AC$25,25,0))</f>
        <v/>
      </c>
      <c r="E27" s="114" t="str">
        <f ca="1">IF($C27="","",VLOOKUP($C27,Calc2!$C$17:$AC$25,26,0))</f>
        <v/>
      </c>
      <c r="F27" s="114" t="str">
        <f ca="1">IF($C27="","",VLOOKUP($C27,Calc2!$C$17:$AC$25,27,0))</f>
        <v/>
      </c>
      <c r="G27" s="522" t="str">
        <f ca="1">IF($C27="","",VLOOKUP(C27,Vorrunde!$AH$12:$AI$27,2,0))</f>
        <v/>
      </c>
      <c r="H27" s="139" t="str">
        <f ca="1">IFERROR(VLOOKUP($C27&amp;H$25,Calc2!$Z$64:$AB$207,3,0),"")</f>
        <v/>
      </c>
      <c r="I27" s="124"/>
      <c r="J27" s="114" t="str">
        <f ca="1">IFERROR(VLOOKUP($C27&amp;J$25,Calc2!$Z$64:$AB$207,3,0),"")</f>
        <v/>
      </c>
      <c r="K27" s="114" t="str">
        <f ca="1">IFERROR(VLOOKUP($C27&amp;K$25,Calc2!$Z$64:$AB$207,3,0),"")</f>
        <v/>
      </c>
      <c r="L27" s="114" t="str">
        <f ca="1">IFERROR(VLOOKUP($C27&amp;L$25,Calc2!$Z$64:$AB$207,3,0),"")</f>
        <v/>
      </c>
      <c r="M27" s="160" t="str">
        <f ca="1">IFERROR(VLOOKUP($C27&amp;M$25,Calc2!$Z$64:$AB$207,3,0),"")</f>
        <v/>
      </c>
      <c r="N27" s="190" t="str">
        <f t="shared" ca="1" si="2"/>
        <v/>
      </c>
    </row>
    <row r="28" spans="2:14" ht="21.95" customHeight="1" x14ac:dyDescent="0.2">
      <c r="B28" s="117" t="str">
        <f ca="1">IF($C28="","",INDEX(Calc2!$E$4:$E$12,MATCH($C28,Calc2!$F$4:$F$12,0)))</f>
        <v/>
      </c>
      <c r="C28" s="127" t="str">
        <f ca="1">IF(Calc2!$K$13=0,"",Calc2!$AH6)</f>
        <v/>
      </c>
      <c r="D28" s="131" t="str">
        <f ca="1">IF($C28="","",VLOOKUP($C28,Calc2!$C$17:$AC$25,25,0))</f>
        <v/>
      </c>
      <c r="E28" s="114" t="str">
        <f ca="1">IF($C28="","",VLOOKUP($C28,Calc2!$C$17:$AC$25,26,0))</f>
        <v/>
      </c>
      <c r="F28" s="114" t="str">
        <f ca="1">IF($C28="","",VLOOKUP($C28,Calc2!$C$17:$AC$25,27,0))</f>
        <v/>
      </c>
      <c r="G28" s="522" t="str">
        <f ca="1">IF($C28="","",VLOOKUP(C28,Vorrunde!$AH$12:$AI$27,2,0))</f>
        <v/>
      </c>
      <c r="H28" s="139" t="str">
        <f ca="1">IFERROR(VLOOKUP($C28&amp;H$25,Calc2!$Z$64:$AB$207,3,0),"")</f>
        <v/>
      </c>
      <c r="I28" s="114" t="str">
        <f ca="1">IFERROR(VLOOKUP($C28&amp;I$25,Calc2!$Z$64:$AB$207,3,0),"")</f>
        <v/>
      </c>
      <c r="J28" s="124"/>
      <c r="K28" s="114" t="str">
        <f ca="1">IFERROR(VLOOKUP($C28&amp;K$25,Calc2!$Z$64:$AB$207,3,0),"")</f>
        <v/>
      </c>
      <c r="L28" s="114" t="str">
        <f ca="1">IFERROR(VLOOKUP($C28&amp;L$25,Calc2!$Z$64:$AB$207,3,0),"")</f>
        <v/>
      </c>
      <c r="M28" s="160" t="str">
        <f ca="1">IFERROR(VLOOKUP($C28&amp;M$25,Calc2!$Z$64:$AB$207,3,0),"")</f>
        <v/>
      </c>
      <c r="N28" s="190" t="str">
        <f t="shared" ca="1" si="2"/>
        <v/>
      </c>
    </row>
    <row r="29" spans="2:14" ht="21.95" customHeight="1" x14ac:dyDescent="0.2">
      <c r="B29" s="117" t="str">
        <f ca="1">IF($C29="","",INDEX(Calc2!$E$4:$E$12,MATCH($C29,Calc2!$F$4:$F$12,0)))</f>
        <v/>
      </c>
      <c r="C29" s="127" t="str">
        <f ca="1">IF(Calc2!$K$13=0,"",Calc2!$AH7)</f>
        <v/>
      </c>
      <c r="D29" s="131" t="str">
        <f ca="1">IF($C29="","",VLOOKUP($C29,Calc2!$C$17:$AC$25,25,0))</f>
        <v/>
      </c>
      <c r="E29" s="114" t="str">
        <f ca="1">IF($C29="","",VLOOKUP($C29,Calc2!$C$17:$AC$25,26,0))</f>
        <v/>
      </c>
      <c r="F29" s="114" t="str">
        <f ca="1">IF($C29="","",VLOOKUP($C29,Calc2!$C$17:$AC$25,27,0))</f>
        <v/>
      </c>
      <c r="G29" s="522" t="str">
        <f ca="1">IF($C29="","",VLOOKUP(C29,Vorrunde!$AH$12:$AI$27,2,0))</f>
        <v/>
      </c>
      <c r="H29" s="139" t="str">
        <f ca="1">IFERROR(VLOOKUP($C29&amp;H$25,Calc2!$Z$64:$AB$207,3,0),"")</f>
        <v/>
      </c>
      <c r="I29" s="114" t="str">
        <f ca="1">IFERROR(VLOOKUP($C29&amp;I$25,Calc2!$Z$64:$AB$207,3,0),"")</f>
        <v/>
      </c>
      <c r="J29" s="114" t="str">
        <f ca="1">IFERROR(VLOOKUP($C29&amp;J$25,Calc2!$Z$64:$AB$207,3,0),"")</f>
        <v/>
      </c>
      <c r="K29" s="124"/>
      <c r="L29" s="114" t="str">
        <f ca="1">IFERROR(VLOOKUP($C29&amp;L$25,Calc2!$Z$64:$AB$207,3,0),"")</f>
        <v/>
      </c>
      <c r="M29" s="160" t="str">
        <f ca="1">IFERROR(VLOOKUP($C29&amp;M$25,Calc2!$Z$64:$AB$207,3,0),"")</f>
        <v/>
      </c>
      <c r="N29" s="190" t="str">
        <f t="shared" ca="1" si="2"/>
        <v/>
      </c>
    </row>
    <row r="30" spans="2:14" ht="21.95" customHeight="1" x14ac:dyDescent="0.2">
      <c r="B30" s="117" t="str">
        <f ca="1">IF($C30="","",INDEX(Calc2!$E$4:$E$12,MATCH($C30,Calc2!$F$4:$F$12,0)))</f>
        <v/>
      </c>
      <c r="C30" s="127" t="str">
        <f ca="1">IF(Calc2!$K$13=0,"",Calc2!$AH8)</f>
        <v/>
      </c>
      <c r="D30" s="131" t="str">
        <f ca="1">IF($C30="","",VLOOKUP($C30,Calc2!$C$17:$AC$25,25,0))</f>
        <v/>
      </c>
      <c r="E30" s="114" t="str">
        <f ca="1">IF($C30="","",VLOOKUP($C30,Calc2!$C$17:$AC$25,26,0))</f>
        <v/>
      </c>
      <c r="F30" s="114" t="str">
        <f ca="1">IF($C30="","",VLOOKUP($C30,Calc2!$C$17:$AC$25,27,0))</f>
        <v/>
      </c>
      <c r="G30" s="522" t="str">
        <f ca="1">IF($C30="","",VLOOKUP(C30,Vorrunde!$AH$12:$AI$27,2,0))</f>
        <v/>
      </c>
      <c r="H30" s="139" t="str">
        <f ca="1">IFERROR(VLOOKUP($C30&amp;H$25,Calc2!$Z$64:$AB$207,3,0),"")</f>
        <v/>
      </c>
      <c r="I30" s="114" t="str">
        <f ca="1">IFERROR(VLOOKUP($C30&amp;I$25,Calc2!$Z$64:$AB$207,3,0),"")</f>
        <v/>
      </c>
      <c r="J30" s="114" t="str">
        <f ca="1">IFERROR(VLOOKUP($C30&amp;J$25,Calc2!$Z$64:$AB$207,3,0),"")</f>
        <v/>
      </c>
      <c r="K30" s="114" t="str">
        <f ca="1">IFERROR(VLOOKUP($C30&amp;K$25,Calc2!$Z$64:$AB$207,3,0),"")</f>
        <v/>
      </c>
      <c r="L30" s="124"/>
      <c r="M30" s="160" t="str">
        <f ca="1">IFERROR(VLOOKUP($C30&amp;M$25,Calc2!$Z$64:$AB$207,3,0),"")</f>
        <v/>
      </c>
      <c r="N30" s="190" t="str">
        <f t="shared" ca="1" si="2"/>
        <v/>
      </c>
    </row>
    <row r="31" spans="2:14" ht="21.95" customHeight="1" thickBot="1" x14ac:dyDescent="0.25">
      <c r="B31" s="118" t="str">
        <f ca="1">IF($C31="","",INDEX(Calc2!$E$4:$E$12,MATCH($C31,Calc2!$F$4:$F$12,0)))</f>
        <v/>
      </c>
      <c r="C31" s="128" t="str">
        <f ca="1">IF(Calc2!$K$13=0,"",Calc2!$AH9)</f>
        <v/>
      </c>
      <c r="D31" s="132" t="str">
        <f ca="1">IF($C31="","",VLOOKUP($C31,Calc2!$C$17:$AC$25,25,0))</f>
        <v/>
      </c>
      <c r="E31" s="115" t="str">
        <f ca="1">IF($C31="","",VLOOKUP($C31,Calc2!$C$17:$AC$25,26,0))</f>
        <v/>
      </c>
      <c r="F31" s="115" t="str">
        <f ca="1">IF($C31="","",VLOOKUP($C31,Calc2!$C$17:$AC$25,27,0))</f>
        <v/>
      </c>
      <c r="G31" s="523" t="str">
        <f ca="1">IF($C31="","",VLOOKUP(C31,Vorrunde!$AH$12:$AI$27,2,0))</f>
        <v/>
      </c>
      <c r="H31" s="140" t="str">
        <f ca="1">IFERROR(VLOOKUP($C31&amp;H$25,Calc2!$Z$64:$AB$207,3,0),"")</f>
        <v/>
      </c>
      <c r="I31" s="115" t="str">
        <f ca="1">IFERROR(VLOOKUP($C31&amp;I$25,Calc2!$Z$64:$AB$207,3,0),"")</f>
        <v/>
      </c>
      <c r="J31" s="115" t="str">
        <f ca="1">IFERROR(VLOOKUP($C31&amp;J$25,Calc2!$Z$64:$AB$207,3,0),"")</f>
        <v/>
      </c>
      <c r="K31" s="115" t="str">
        <f ca="1">IFERROR(VLOOKUP($C31&amp;K$25,Calc2!$Z$64:$AB$207,3,0),"")</f>
        <v/>
      </c>
      <c r="L31" s="115" t="str">
        <f ca="1">IFERROR(VLOOKUP($C31&amp;L$25,Calc2!$Z$64:$AB$207,3,0),"")</f>
        <v/>
      </c>
      <c r="M31" s="161"/>
      <c r="N31" s="191" t="str">
        <f t="shared" ca="1" si="2"/>
        <v/>
      </c>
    </row>
    <row r="32" spans="2:14" ht="42.75" customHeight="1" thickTop="1" thickBot="1" x14ac:dyDescent="0.25"/>
    <row r="33" spans="2:14" ht="21.95" customHeight="1" thickBot="1" x14ac:dyDescent="0.25">
      <c r="H33" s="151" t="str">
        <f ca="1">IF(LEN(H34)&gt;Einstellungen!$C$17,LEFT(H34,Einstellungen!$C$17)&amp;".",H34)</f>
        <v/>
      </c>
      <c r="I33" s="152" t="str">
        <f ca="1">IF(LEN(I34)&gt;Einstellungen!$C$17,LEFT(I34,Einstellungen!$C$17)&amp;".",I34)</f>
        <v/>
      </c>
      <c r="J33" s="152" t="str">
        <f ca="1">IF(LEN(J34)&gt;Einstellungen!$C$17,LEFT(J34,Einstellungen!$C$17)&amp;".",J34)</f>
        <v/>
      </c>
      <c r="K33" s="152" t="str">
        <f ca="1">IF(LEN(K34)&gt;Einstellungen!$C$17,LEFT(K34,Einstellungen!$C$17)&amp;".",K34)</f>
        <v/>
      </c>
      <c r="L33" s="152" t="str">
        <f ca="1">IF(LEN(L34)&gt;Einstellungen!$C$17,LEFT(L34,Einstellungen!$C$17)&amp;".",L34)</f>
        <v/>
      </c>
      <c r="M33" s="153" t="str">
        <f ca="1">IF(LEN(M34)&gt;Einstellungen!$C$17,LEFT(M34,Einstellungen!$C$17)&amp;".",M34)</f>
        <v/>
      </c>
    </row>
    <row r="34" spans="2:14" ht="21.95" customHeight="1" thickTop="1" thickBot="1" x14ac:dyDescent="0.25">
      <c r="B34" s="119"/>
      <c r="C34" s="125" t="str">
        <f>Sprache!$E$10</f>
        <v>Teilnehmer bzw. Mannschaft</v>
      </c>
      <c r="D34" s="129" t="str">
        <f>Sprache!$E$27</f>
        <v>Pkt</v>
      </c>
      <c r="E34" s="116" t="str">
        <f>Sprache!$E$26</f>
        <v>Diff.</v>
      </c>
      <c r="F34" s="116" t="str">
        <f>Sprache!$E$28</f>
        <v>erz. Tore</v>
      </c>
      <c r="G34" s="154" t="str">
        <f>Sprache!$E$49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IF($C35="","",INDEX(Calc2!$E$4:$E$12,MATCH($C35,Calc2!$F$4:$F$12,0)))</f>
        <v/>
      </c>
      <c r="C35" s="126" t="str">
        <f ca="1">IF(Calc2!$K$13=0,"",Calc2!$AM4)</f>
        <v/>
      </c>
      <c r="D35" s="130" t="str">
        <f ca="1">IF($C35="","",VLOOKUP($C35,Calc2!$C$17:$AC$25,25,0))</f>
        <v/>
      </c>
      <c r="E35" s="113" t="str">
        <f ca="1">IF($C35="","",VLOOKUP($C35,Calc2!$C$17:$AC$25,26,0))</f>
        <v/>
      </c>
      <c r="F35" s="113" t="str">
        <f ca="1">IF($C35="","",VLOOKUP($C35,Calc2!$C$17:$AC$25,27,0))</f>
        <v/>
      </c>
      <c r="G35" s="521" t="str">
        <f ca="1">IF($C35="","",VLOOKUP(C35,Vorrunde!$AH$12:$AI$27,2,0))</f>
        <v/>
      </c>
      <c r="H35" s="138"/>
      <c r="I35" s="113" t="str">
        <f ca="1">IFERROR(VLOOKUP($C35&amp;I$34,Calc2!$Z$64:$AB$207,3,0),"")</f>
        <v/>
      </c>
      <c r="J35" s="113" t="str">
        <f ca="1">IFERROR(VLOOKUP($C35&amp;J$34,Calc2!$Z$64:$AB$207,3,0),"")</f>
        <v/>
      </c>
      <c r="K35" s="113" t="str">
        <f ca="1">IFERROR(VLOOKUP($C35&amp;K$34,Calc2!$Z$64:$AB$207,3,0),"")</f>
        <v/>
      </c>
      <c r="L35" s="113" t="str">
        <f ca="1">IFERROR(VLOOKUP($C35&amp;L$34,Calc2!$Z$64:$AB$207,3,0),"")</f>
        <v/>
      </c>
      <c r="M35" s="159" t="str">
        <f ca="1">IFERROR(VLOOKUP($C35&amp;M$34,Calc2!$Z$64:$AB$207,3,0),"")</f>
        <v/>
      </c>
      <c r="N35" s="189" t="str">
        <f t="shared" ref="N35:N40" ca="1" si="3">C35</f>
        <v/>
      </c>
    </row>
    <row r="36" spans="2:14" ht="21.95" customHeight="1" x14ac:dyDescent="0.2">
      <c r="B36" s="117" t="str">
        <f ca="1">IF($C36="","",INDEX(Calc2!$E$4:$E$12,MATCH($C36,Calc2!$F$4:$F$12,0)))</f>
        <v/>
      </c>
      <c r="C36" s="127" t="str">
        <f ca="1">IF(Calc2!$K$13=0,"",Calc2!$AM5)</f>
        <v/>
      </c>
      <c r="D36" s="131" t="str">
        <f ca="1">IF($C36="","",VLOOKUP($C36,Calc2!$C$17:$AC$25,25,0))</f>
        <v/>
      </c>
      <c r="E36" s="114" t="str">
        <f ca="1">IF($C36="","",VLOOKUP($C36,Calc2!$C$17:$AC$25,26,0))</f>
        <v/>
      </c>
      <c r="F36" s="114" t="str">
        <f ca="1">IF($C36="","",VLOOKUP($C36,Calc2!$C$17:$AC$25,27,0))</f>
        <v/>
      </c>
      <c r="G36" s="522" t="str">
        <f ca="1">IF($C36="","",VLOOKUP(C36,Vorrunde!$AH$12:$AI$27,2,0))</f>
        <v/>
      </c>
      <c r="H36" s="139" t="str">
        <f ca="1">IFERROR(VLOOKUP($C36&amp;H$34,Calc2!$Z$64:$AB$207,3,0),"")</f>
        <v/>
      </c>
      <c r="I36" s="124"/>
      <c r="J36" s="114" t="str">
        <f ca="1">IFERROR(VLOOKUP($C36&amp;J$34,Calc2!$Z$64:$AB$207,3,0),"")</f>
        <v/>
      </c>
      <c r="K36" s="114" t="str">
        <f ca="1">IFERROR(VLOOKUP($C36&amp;K$34,Calc2!$Z$64:$AB$207,3,0),"")</f>
        <v/>
      </c>
      <c r="L36" s="114" t="str">
        <f ca="1">IFERROR(VLOOKUP($C36&amp;L$34,Calc2!$Z$64:$AB$207,3,0),"")</f>
        <v/>
      </c>
      <c r="M36" s="160" t="str">
        <f ca="1">IFERROR(VLOOKUP($C36&amp;M$34,Calc2!$Z$64:$AB$207,3,0),"")</f>
        <v/>
      </c>
      <c r="N36" s="190" t="str">
        <f t="shared" ca="1" si="3"/>
        <v/>
      </c>
    </row>
    <row r="37" spans="2:14" ht="21.95" customHeight="1" x14ac:dyDescent="0.2">
      <c r="B37" s="117" t="str">
        <f ca="1">IF($C37="","",INDEX(Calc2!$E$4:$E$12,MATCH($C37,Calc2!$F$4:$F$12,0)))</f>
        <v/>
      </c>
      <c r="C37" s="127" t="str">
        <f ca="1">IF(Calc2!$K$13=0,"",Calc2!$AM6)</f>
        <v/>
      </c>
      <c r="D37" s="131" t="str">
        <f ca="1">IF($C37="","",VLOOKUP($C37,Calc2!$C$17:$AC$25,25,0))</f>
        <v/>
      </c>
      <c r="E37" s="114" t="str">
        <f ca="1">IF($C37="","",VLOOKUP($C37,Calc2!$C$17:$AC$25,26,0))</f>
        <v/>
      </c>
      <c r="F37" s="114" t="str">
        <f ca="1">IF($C37="","",VLOOKUP($C37,Calc2!$C$17:$AC$25,27,0))</f>
        <v/>
      </c>
      <c r="G37" s="522" t="str">
        <f ca="1">IF($C37="","",VLOOKUP(C37,Vorrunde!$AH$12:$AI$27,2,0))</f>
        <v/>
      </c>
      <c r="H37" s="139" t="str">
        <f ca="1">IFERROR(VLOOKUP($C37&amp;H$34,Calc2!$Z$64:$AB$207,3,0),"")</f>
        <v/>
      </c>
      <c r="I37" s="114" t="str">
        <f ca="1">IFERROR(VLOOKUP($C37&amp;I$34,Calc2!$Z$64:$AB$207,3,0),"")</f>
        <v/>
      </c>
      <c r="J37" s="124"/>
      <c r="K37" s="114" t="str">
        <f ca="1">IFERROR(VLOOKUP($C37&amp;K$34,Calc2!$Z$64:$AB$207,3,0),"")</f>
        <v/>
      </c>
      <c r="L37" s="114" t="str">
        <f ca="1">IFERROR(VLOOKUP($C37&amp;L$34,Calc2!$Z$64:$AB$207,3,0),"")</f>
        <v/>
      </c>
      <c r="M37" s="160" t="str">
        <f ca="1">IFERROR(VLOOKUP($C37&amp;M$34,Calc2!$Z$64:$AB$207,3,0),"")</f>
        <v/>
      </c>
      <c r="N37" s="190" t="str">
        <f t="shared" ca="1" si="3"/>
        <v/>
      </c>
    </row>
    <row r="38" spans="2:14" ht="21.95" customHeight="1" x14ac:dyDescent="0.2">
      <c r="B38" s="117" t="str">
        <f ca="1">IF($C38="","",INDEX(Calc2!$E$4:$E$12,MATCH($C38,Calc2!$F$4:$F$12,0)))</f>
        <v/>
      </c>
      <c r="C38" s="127" t="str">
        <f ca="1">IF(Calc2!$K$13=0,"",Calc2!$AM7)</f>
        <v/>
      </c>
      <c r="D38" s="131" t="str">
        <f ca="1">IF($C38="","",VLOOKUP($C38,Calc2!$C$17:$AC$25,25,0))</f>
        <v/>
      </c>
      <c r="E38" s="114" t="str">
        <f ca="1">IF($C38="","",VLOOKUP($C38,Calc2!$C$17:$AC$25,26,0))</f>
        <v/>
      </c>
      <c r="F38" s="114" t="str">
        <f ca="1">IF($C38="","",VLOOKUP($C38,Calc2!$C$17:$AC$25,27,0))</f>
        <v/>
      </c>
      <c r="G38" s="522" t="str">
        <f ca="1">IF($C38="","",VLOOKUP(C38,Vorrunde!$AH$12:$AI$27,2,0))</f>
        <v/>
      </c>
      <c r="H38" s="139" t="str">
        <f ca="1">IFERROR(VLOOKUP($C38&amp;H$34,Calc2!$Z$64:$AB$207,3,0),"")</f>
        <v/>
      </c>
      <c r="I38" s="114" t="str">
        <f ca="1">IFERROR(VLOOKUP($C38&amp;I$34,Calc2!$Z$64:$AB$207,3,0),"")</f>
        <v/>
      </c>
      <c r="J38" s="114" t="str">
        <f ca="1">IFERROR(VLOOKUP($C38&amp;J$34,Calc2!$Z$64:$AB$207,3,0),"")</f>
        <v/>
      </c>
      <c r="K38" s="124"/>
      <c r="L38" s="114" t="str">
        <f ca="1">IFERROR(VLOOKUP($C38&amp;L$34,Calc2!$Z$64:$AB$207,3,0),"")</f>
        <v/>
      </c>
      <c r="M38" s="160" t="str">
        <f ca="1">IFERROR(VLOOKUP($C38&amp;M$34,Calc2!$Z$64:$AB$207,3,0),"")</f>
        <v/>
      </c>
      <c r="N38" s="190" t="str">
        <f t="shared" ca="1" si="3"/>
        <v/>
      </c>
    </row>
    <row r="39" spans="2:14" ht="21.95" customHeight="1" x14ac:dyDescent="0.2">
      <c r="B39" s="117" t="str">
        <f ca="1">IF($C39="","",INDEX(Calc2!$E$4:$E$12,MATCH($C39,Calc2!$F$4:$F$12,0)))</f>
        <v/>
      </c>
      <c r="C39" s="127" t="str">
        <f ca="1">IF(Calc2!$K$13=0,"",Calc2!$AM8)</f>
        <v/>
      </c>
      <c r="D39" s="131" t="str">
        <f ca="1">IF($C39="","",VLOOKUP($C39,Calc2!$C$17:$AC$25,25,0))</f>
        <v/>
      </c>
      <c r="E39" s="114" t="str">
        <f ca="1">IF($C39="","",VLOOKUP($C39,Calc2!$C$17:$AC$25,26,0))</f>
        <v/>
      </c>
      <c r="F39" s="114" t="str">
        <f ca="1">IF($C39="","",VLOOKUP($C39,Calc2!$C$17:$AC$25,27,0))</f>
        <v/>
      </c>
      <c r="G39" s="522" t="str">
        <f ca="1">IF($C39="","",VLOOKUP(C39,Vorrunde!$AH$12:$AI$27,2,0))</f>
        <v/>
      </c>
      <c r="H39" s="139" t="str">
        <f ca="1">IFERROR(VLOOKUP($C39&amp;H$34,Calc2!$Z$64:$AB$207,3,0),"")</f>
        <v/>
      </c>
      <c r="I39" s="114" t="str">
        <f ca="1">IFERROR(VLOOKUP($C39&amp;I$34,Calc2!$Z$64:$AB$207,3,0),"")</f>
        <v/>
      </c>
      <c r="J39" s="114" t="str">
        <f ca="1">IFERROR(VLOOKUP($C39&amp;J$34,Calc2!$Z$64:$AB$207,3,0),"")</f>
        <v/>
      </c>
      <c r="K39" s="114" t="str">
        <f ca="1">IFERROR(VLOOKUP($C39&amp;K$34,Calc2!$Z$64:$AB$207,3,0),"")</f>
        <v/>
      </c>
      <c r="L39" s="124"/>
      <c r="M39" s="160" t="str">
        <f ca="1">IFERROR(VLOOKUP($C39&amp;M$34,Calc2!$Z$64:$AB$207,3,0),"")</f>
        <v/>
      </c>
      <c r="N39" s="190" t="str">
        <f t="shared" ca="1" si="3"/>
        <v/>
      </c>
    </row>
    <row r="40" spans="2:14" ht="21.95" customHeight="1" thickBot="1" x14ac:dyDescent="0.25">
      <c r="B40" s="118" t="str">
        <f ca="1">IF($C40="","",INDEX(Calc2!$E$4:$E$12,MATCH($C40,Calc2!$F$4:$F$12,0)))</f>
        <v/>
      </c>
      <c r="C40" s="128" t="str">
        <f ca="1">IF(Calc2!$K$13=0,"",Calc2!$AM9)</f>
        <v/>
      </c>
      <c r="D40" s="132" t="str">
        <f ca="1">IF($C40="","",VLOOKUP($C40,Calc2!$C$17:$AC$25,25,0))</f>
        <v/>
      </c>
      <c r="E40" s="115" t="str">
        <f ca="1">IF($C40="","",VLOOKUP($C40,Calc2!$C$17:$AC$25,26,0))</f>
        <v/>
      </c>
      <c r="F40" s="115" t="str">
        <f ca="1">IF($C40="","",VLOOKUP($C40,Calc2!$C$17:$AC$25,27,0))</f>
        <v/>
      </c>
      <c r="G40" s="523" t="str">
        <f ca="1">IF($C40="","",VLOOKUP(C40,Vorrunde!$AH$12:$AI$27,2,0))</f>
        <v/>
      </c>
      <c r="H40" s="140" t="str">
        <f ca="1">IFERROR(VLOOKUP($C40&amp;H$34,Calc2!$Z$64:$AB$207,3,0),"")</f>
        <v/>
      </c>
      <c r="I40" s="115" t="str">
        <f ca="1">IFERROR(VLOOKUP($C40&amp;I$34,Calc2!$Z$64:$AB$207,3,0),"")</f>
        <v/>
      </c>
      <c r="J40" s="115" t="str">
        <f ca="1">IFERROR(VLOOKUP($C40&amp;J$34,Calc2!$Z$64:$AB$207,3,0),"")</f>
        <v/>
      </c>
      <c r="K40" s="115" t="str">
        <f ca="1">IFERROR(VLOOKUP($C40&amp;K$34,Calc2!$Z$64:$AB$207,3,0),"")</f>
        <v/>
      </c>
      <c r="L40" s="115" t="str">
        <f ca="1">IFERROR(VLOOKUP($C40&amp;L$34,Calc2!$Z$64:$AB$207,3,0),"")</f>
        <v/>
      </c>
      <c r="M40" s="161"/>
      <c r="N40" s="191"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4"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dimension ref="A1:XFC31"/>
  <sheetViews>
    <sheetView showGridLines="0" showRowColHeaders="0" workbookViewId="0">
      <selection activeCell="J12" sqref="J12"/>
    </sheetView>
  </sheetViews>
  <sheetFormatPr baseColWidth="10" defaultColWidth="0" defaultRowHeight="12.75" customHeight="1" zeroHeight="1" x14ac:dyDescent="0.2"/>
  <cols>
    <col min="1" max="1" width="10.42578125" style="49" customWidth="1"/>
    <col min="2" max="2" width="5.28515625" style="49" customWidth="1"/>
    <col min="3" max="3" width="6.7109375" style="49" customWidth="1"/>
    <col min="4"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7" width="8" style="49" customWidth="1"/>
    <col min="18" max="18" width="11.42578125" customWidth="1"/>
    <col min="19" max="19" width="7.7109375" hidden="1"/>
    <col min="20" max="20" width="15.85546875" hidden="1"/>
    <col min="21" max="21" width="15.42578125" hidden="1"/>
    <col min="22" max="22" width="9.42578125" hidden="1"/>
    <col min="23" max="16383" width="11.42578125" hidden="1"/>
    <col min="16384" max="16384" width="7.7109375" hidden="1"/>
  </cols>
  <sheetData>
    <row r="1" spans="1:22" ht="13.5" thickBot="1" x14ac:dyDescent="0.25"/>
    <row r="2" spans="1:22" ht="36.75" thickTop="1" x14ac:dyDescent="0.2">
      <c r="E2" s="755" t="str">
        <f>Vorrunde!$G$2</f>
        <v>Internationales U10-Turnier am 10.04.2025</v>
      </c>
      <c r="F2" s="756"/>
      <c r="G2" s="756"/>
      <c r="H2" s="756"/>
      <c r="I2" s="756"/>
      <c r="J2" s="756"/>
      <c r="K2" s="756"/>
      <c r="L2" s="756"/>
      <c r="M2" s="756"/>
      <c r="N2" s="756"/>
      <c r="O2" s="756"/>
      <c r="P2" s="757"/>
    </row>
    <row r="3" spans="1:22" ht="30" customHeight="1" x14ac:dyDescent="0.2">
      <c r="E3" s="758" t="str">
        <f>Vorrunde!$G$3</f>
        <v>Organizer:  1. FC Riedwald</v>
      </c>
      <c r="F3" s="759"/>
      <c r="G3" s="759"/>
      <c r="H3" s="759"/>
      <c r="I3" s="759"/>
      <c r="J3" s="759"/>
      <c r="K3" s="759"/>
      <c r="L3" s="759"/>
      <c r="M3" s="759"/>
      <c r="N3" s="759"/>
      <c r="O3" s="759"/>
      <c r="P3" s="760"/>
    </row>
    <row r="4" spans="1:22" ht="30" customHeight="1" x14ac:dyDescent="0.2">
      <c r="E4" s="761" t="str">
        <f>Vorrunde!$G$4</f>
        <v>Sports hall Wiesengrund, Wendiger Str. 51, 65432 Riedwald</v>
      </c>
      <c r="F4" s="762"/>
      <c r="G4" s="762"/>
      <c r="H4" s="762"/>
      <c r="I4" s="762"/>
      <c r="J4" s="762"/>
      <c r="K4" s="762"/>
      <c r="L4" s="762"/>
      <c r="M4" s="762"/>
      <c r="N4" s="762"/>
      <c r="O4" s="762"/>
      <c r="P4" s="763"/>
    </row>
    <row r="5" spans="1:22" ht="30" customHeight="1" thickBot="1" x14ac:dyDescent="0.25">
      <c r="E5" s="764" t="str">
        <f>Vorrunde!$G$5</f>
        <v>Start:  9:00 Uhr</v>
      </c>
      <c r="F5" s="765"/>
      <c r="G5" s="765"/>
      <c r="H5" s="765"/>
      <c r="I5" s="765"/>
      <c r="J5" s="765"/>
      <c r="K5" s="765"/>
      <c r="L5" s="765"/>
      <c r="M5" s="765"/>
      <c r="N5" s="765"/>
      <c r="O5" s="765"/>
      <c r="P5" s="766"/>
    </row>
    <row r="6" spans="1:22" ht="18" customHeight="1" thickTop="1" thickBot="1" x14ac:dyDescent="0.25"/>
    <row r="7" spans="1:22" ht="30" customHeight="1" thickTop="1" x14ac:dyDescent="0.2">
      <c r="G7" s="771" t="str">
        <f>Sprache!$E$19</f>
        <v>Endrunde</v>
      </c>
      <c r="H7" s="772"/>
      <c r="I7" s="773"/>
    </row>
    <row r="8" spans="1:22" ht="30" customHeight="1" thickBot="1" x14ac:dyDescent="0.25">
      <c r="G8" s="774"/>
      <c r="H8" s="775"/>
      <c r="I8" s="776"/>
    </row>
    <row r="9" spans="1:22" ht="12.6" customHeight="1" thickTop="1" x14ac:dyDescent="0.2">
      <c r="P9" s="709" t="str">
        <f>Sprache!$E$20</f>
        <v>Zusätzl. Pause (min)</v>
      </c>
    </row>
    <row r="10" spans="1:22" ht="27.95" customHeight="1" thickBot="1" x14ac:dyDescent="0.35">
      <c r="C10" s="754" t="str">
        <f>Sprache!$E$53</f>
        <v>Halbfinale</v>
      </c>
      <c r="D10" s="754"/>
      <c r="E10" s="754"/>
      <c r="F10" s="754"/>
      <c r="P10" s="709"/>
    </row>
    <row r="11" spans="1:22" ht="24" customHeight="1" thickTop="1" thickBot="1" x14ac:dyDescent="0.25">
      <c r="B11" s="399"/>
      <c r="C11" s="456" t="str">
        <f>Sprache!$E$9</f>
        <v>Nr.</v>
      </c>
      <c r="D11" s="395" t="str">
        <f>Sprache!$E$39</f>
        <v>Beginn</v>
      </c>
      <c r="E11" s="383" t="str">
        <f>Sprache!$E$48</f>
        <v>Feld</v>
      </c>
      <c r="F11" s="383"/>
      <c r="G11" s="787" t="str">
        <f>Sprache!$E$14</f>
        <v>Spielpaarung</v>
      </c>
      <c r="H11" s="788"/>
      <c r="I11" s="789"/>
      <c r="J11" s="790" t="str">
        <f>Sprache!$E$15</f>
        <v>Ergebnis</v>
      </c>
      <c r="K11" s="788"/>
      <c r="L11" s="789"/>
      <c r="M11" s="790" t="str">
        <f>Sprache!$E$61</f>
        <v>Elfmeter</v>
      </c>
      <c r="N11" s="788"/>
      <c r="O11" s="791"/>
      <c r="P11" s="710"/>
      <c r="S11" s="633" t="s">
        <v>16</v>
      </c>
      <c r="T11" s="634" t="s">
        <v>340</v>
      </c>
      <c r="U11" s="634" t="s">
        <v>345</v>
      </c>
      <c r="V11" s="633" t="s">
        <v>341</v>
      </c>
    </row>
    <row r="12" spans="1:22" ht="24" customHeight="1" x14ac:dyDescent="0.2">
      <c r="A12" s="365"/>
      <c r="B12" s="443"/>
      <c r="C12" s="539">
        <f t="array" aca="1" ref="C12" ca="1">31-SUM(((Planung!$L$6:$L$35="")+(Planung!$N$6:$N$35="")&gt;0)*1)</f>
        <v>21</v>
      </c>
      <c r="D12" s="540">
        <f ca="1">IF(Planung!$U$15,"",Planung!$R$13+(Planung!$R$9+Planung!$P$35)/1440)</f>
        <v>0.49652777777777779</v>
      </c>
      <c r="E12" s="391">
        <f>IF(Planung!$U$15,"",1)</f>
        <v>1</v>
      </c>
      <c r="F12" s="379" t="s">
        <v>251</v>
      </c>
      <c r="G12" s="380" t="str">
        <f ca="1">Vorrunde!$N$12</f>
        <v>FC Barcelona</v>
      </c>
      <c r="H12" s="381" t="s">
        <v>5</v>
      </c>
      <c r="I12" s="382" t="str">
        <f ca="1">Vorrunde!$N$23</f>
        <v>Inter Mailand</v>
      </c>
      <c r="J12" s="384">
        <v>3</v>
      </c>
      <c r="K12" s="388" t="str">
        <f>Sprache!$E$71</f>
        <v>:</v>
      </c>
      <c r="L12" s="541">
        <v>2</v>
      </c>
      <c r="M12" s="402"/>
      <c r="N12" s="388" t="str">
        <f>Sprache!$E$71</f>
        <v>:</v>
      </c>
      <c r="O12" s="385"/>
      <c r="P12" s="392"/>
      <c r="Q12" s="365"/>
      <c r="S12" s="630" t="b">
        <f ca="1">AND($G12&lt;&gt;"",$I12&lt;&gt;"",$J12&lt;&gt;"",$L12&lt;&gt;"")</f>
        <v>1</v>
      </c>
      <c r="T12" s="630" t="str">
        <f ca="1">IF(NOT(S12),"",IF($J12&gt;$L12,$G12,IF($J12&lt;$L12,$I12,IF(OR($M12="",$O12="",$M12=$O12),"",IF($M12&gt;$O12,$G12,$I12)))))</f>
        <v>FC Barcelona</v>
      </c>
      <c r="U12" s="630" t="str">
        <f ca="1">IF(NOT(S12),"",IF($J12&lt;$L12,$G12,IF($J12&gt;$L12,$I12,IF(OR($M12="",$O12="",$M12=$O12),"",IF($M12&lt;$O12,$G12,$I12)))))</f>
        <v>Inter Mailand</v>
      </c>
      <c r="V12" s="630" t="b">
        <f ca="1">AND(S12,$J12=$L12)</f>
        <v>0</v>
      </c>
    </row>
    <row r="13" spans="1:22" ht="24" customHeight="1" thickBot="1" x14ac:dyDescent="0.25">
      <c r="A13" s="365"/>
      <c r="B13" s="443"/>
      <c r="C13" s="449">
        <f ca="1">$C$12+1</f>
        <v>22</v>
      </c>
      <c r="D13" s="452">
        <f ca="1">IF(Planung!$U$15,"",$D$12+QUOTIENT(1,Planung!$U$11)*(Planung!$R$7+Planung!$R$9)/1440+$P12/1440)</f>
        <v>0.49652777777777779</v>
      </c>
      <c r="E13" s="424">
        <f>IF(Planung!$U$15,"",MOD(1,Planung!$U$11)+1)</f>
        <v>2</v>
      </c>
      <c r="F13" s="378" t="s">
        <v>252</v>
      </c>
      <c r="G13" s="374" t="str">
        <f ca="1">Vorrunde!$N$22</f>
        <v>Manchester City</v>
      </c>
      <c r="H13" s="157" t="s">
        <v>5</v>
      </c>
      <c r="I13" s="376" t="str">
        <f ca="1">Vorrunde!$N$13</f>
        <v>Eintracht Frankfurt</v>
      </c>
      <c r="J13" s="387">
        <v>4</v>
      </c>
      <c r="K13" s="425" t="str">
        <f>Sprache!$E$71</f>
        <v>:</v>
      </c>
      <c r="L13" s="371">
        <v>2</v>
      </c>
      <c r="M13" s="404"/>
      <c r="N13" s="425" t="str">
        <f>Sprache!$E$71</f>
        <v>:</v>
      </c>
      <c r="O13" s="372"/>
      <c r="P13" s="426"/>
      <c r="Q13" s="365"/>
      <c r="S13" s="631" t="b">
        <f t="shared" ref="S13" ca="1" si="0">AND($G13&lt;&gt;"",$I13&lt;&gt;"",$J13&lt;&gt;"",$L13&lt;&gt;"")</f>
        <v>1</v>
      </c>
      <c r="T13" s="631" t="str">
        <f t="shared" ref="T13" ca="1" si="1">IF(NOT(S13),"",IF($J13&gt;$L13,$G13,IF($J13&lt;$L13,$I13,IF(OR($M13="",$O13="",$M13=$O13),"",IF($M13&gt;$O13,$G13,$I13)))))</f>
        <v>Manchester City</v>
      </c>
      <c r="U13" s="631" t="str">
        <f t="shared" ref="U13" ca="1" si="2">IF(NOT(S13),"",IF($J13&lt;$L13,$G13,IF($J13&gt;$L13,$I13,IF(OR($M13="",$O13="",$M13=$O13),"",IF($M13&lt;$O13,$G13,$I13)))))</f>
        <v>Eintracht Frankfurt</v>
      </c>
      <c r="V13" s="631" t="b">
        <f t="shared" ref="V13" ca="1" si="3">AND(S13,$J13=$L13)</f>
        <v>0</v>
      </c>
    </row>
    <row r="14" spans="1:22" ht="27.95" customHeight="1" thickTop="1" thickBot="1" x14ac:dyDescent="0.35">
      <c r="A14" s="365"/>
      <c r="B14" s="444"/>
      <c r="C14" s="786" t="str">
        <f>Sprache!$E$54</f>
        <v>Endspiele</v>
      </c>
      <c r="D14" s="786"/>
      <c r="E14" s="786"/>
      <c r="F14" s="786"/>
      <c r="G14" s="517"/>
      <c r="H14" s="123"/>
      <c r="I14" s="517"/>
      <c r="J14" s="411"/>
      <c r="K14" s="411"/>
      <c r="L14" s="411"/>
      <c r="M14" s="411"/>
      <c r="N14" s="411"/>
      <c r="O14" s="411"/>
      <c r="P14" s="413"/>
      <c r="Q14" s="365"/>
    </row>
    <row r="15" spans="1:22" ht="24" customHeight="1" thickTop="1" x14ac:dyDescent="0.2">
      <c r="A15" s="365"/>
      <c r="B15" s="443"/>
      <c r="C15" s="453">
        <f ca="1">$C$12+2</f>
        <v>23</v>
      </c>
      <c r="D15" s="454">
        <f ca="1">IF(Planung!$U$15,"",$D$13+($P$13+Planung!$R$9+Planung!$R$7)/1440)</f>
        <v>0.52083333333333337</v>
      </c>
      <c r="E15" s="414">
        <f>IF(Planung!$U$15,"",1)</f>
        <v>1</v>
      </c>
      <c r="F15" s="415" t="str">
        <f>Sprache!$E$80</f>
        <v>3. Platz</v>
      </c>
      <c r="G15" s="416" t="str">
        <f ca="1">$U12</f>
        <v>Inter Mailand</v>
      </c>
      <c r="H15" s="417" t="s">
        <v>5</v>
      </c>
      <c r="I15" s="418" t="str">
        <f ca="1">$U13</f>
        <v>Eintracht Frankfurt</v>
      </c>
      <c r="J15" s="419">
        <v>3</v>
      </c>
      <c r="K15" s="420" t="str">
        <f>Sprache!$E$71</f>
        <v>:</v>
      </c>
      <c r="L15" s="421">
        <v>1</v>
      </c>
      <c r="M15" s="422"/>
      <c r="N15" s="420" t="str">
        <f>Sprache!$E$71</f>
        <v>:</v>
      </c>
      <c r="O15" s="423"/>
      <c r="P15" s="392"/>
      <c r="Q15" s="365"/>
      <c r="S15" s="630" t="b">
        <f ca="1">AND($G15&lt;&gt;"",$I15&lt;&gt;"",$J15&lt;&gt;"",$L15&lt;&gt;"")</f>
        <v>1</v>
      </c>
      <c r="T15" s="630" t="str">
        <f ca="1">IF(NOT(S15),"",IF($J15&gt;$L15,$G15,IF($J15&lt;$L15,$I15,IF(OR($M15="",$O15="",$M15=$O15),"",IF($M15&gt;$O15,$G15,$I15)))))</f>
        <v>Inter Mailand</v>
      </c>
      <c r="U15" s="630" t="str">
        <f ca="1">IF(NOT(S15),"",IF($J15&lt;$L15,$G15,IF($J15&gt;$L15,$I15,IF(OR($M15="",$O15="",$M15=$O15),"",IF($M15&lt;$O15,$G15,$I15)))))</f>
        <v>Eintracht Frankfurt</v>
      </c>
      <c r="V15" s="630" t="b">
        <f ca="1">AND(S15,$J15=$L15)</f>
        <v>0</v>
      </c>
    </row>
    <row r="16" spans="1:22" ht="24" customHeight="1" thickBot="1" x14ac:dyDescent="0.25">
      <c r="A16" s="365"/>
      <c r="B16" s="443"/>
      <c r="C16" s="449">
        <f ca="1">$C$12+3</f>
        <v>24</v>
      </c>
      <c r="D16" s="452">
        <f ca="1">IF(Planung!$U$15,"",$D$15+($P$15+Planung!$R$9+Planung!$R$7)/1440)</f>
        <v>0.54513888888888895</v>
      </c>
      <c r="E16" s="424">
        <f>IF(Planung!$U$15,"",1)</f>
        <v>1</v>
      </c>
      <c r="F16" s="378" t="str">
        <f>Sprache!$E$81</f>
        <v>Finale</v>
      </c>
      <c r="G16" s="374" t="str">
        <f ca="1">$T12</f>
        <v>FC Barcelona</v>
      </c>
      <c r="H16" s="157" t="s">
        <v>5</v>
      </c>
      <c r="I16" s="376" t="str">
        <f ca="1">$T13</f>
        <v>Manchester City</v>
      </c>
      <c r="J16" s="387">
        <v>1</v>
      </c>
      <c r="K16" s="425" t="str">
        <f>Sprache!$E$71</f>
        <v>:</v>
      </c>
      <c r="L16" s="371">
        <v>1</v>
      </c>
      <c r="M16" s="404">
        <v>5</v>
      </c>
      <c r="N16" s="425" t="str">
        <f>Sprache!$E$71</f>
        <v>:</v>
      </c>
      <c r="O16" s="372">
        <v>6</v>
      </c>
      <c r="P16" s="409"/>
      <c r="Q16" s="365"/>
      <c r="S16" s="631" t="b">
        <f t="shared" ref="S16" ca="1" si="4">AND($G16&lt;&gt;"",$I16&lt;&gt;"",$J16&lt;&gt;"",$L16&lt;&gt;"")</f>
        <v>1</v>
      </c>
      <c r="T16" s="631" t="str">
        <f t="shared" ref="T16" ca="1" si="5">IF(NOT(S16),"",IF($J16&gt;$L16,$G16,IF($J16&lt;$L16,$I16,IF(OR($M16="",$O16="",$M16=$O16),"",IF($M16&gt;$O16,$G16,$I16)))))</f>
        <v>Manchester City</v>
      </c>
      <c r="U16" s="631" t="str">
        <f t="shared" ref="U16" ca="1" si="6">IF(NOT(S16),"",IF($J16&lt;$L16,$G16,IF($J16&gt;$L16,$I16,IF(OR($M16="",$O16="",$M16=$O16),"",IF($M16&lt;$O16,$G16,$I16)))))</f>
        <v>FC Barcelona</v>
      </c>
      <c r="V16" s="631" t="b">
        <f t="shared" ref="V16" ca="1" si="7">AND(S16,$J16=$L16)</f>
        <v>1</v>
      </c>
    </row>
    <row r="17" spans="3:16383" ht="12.75" customHeight="1" thickTop="1" x14ac:dyDescent="0.2"/>
    <row r="18" spans="3:16383" ht="24" customHeight="1" x14ac:dyDescent="0.2">
      <c r="C18" s="405"/>
      <c r="D18" s="405"/>
      <c r="E18" s="405"/>
      <c r="F18" s="405"/>
      <c r="G18" s="785" t="str">
        <f>Sprache!$E$29</f>
        <v>Turnierende:</v>
      </c>
      <c r="H18" s="785"/>
      <c r="I18" s="406">
        <f ca="1">IF(Planung!$R$13="","",$D$16+Planung!$R$7/1440)</f>
        <v>0.56597222222222232</v>
      </c>
      <c r="J18" s="407"/>
      <c r="K18" s="407"/>
      <c r="L18" s="407"/>
      <c r="M18" s="407"/>
      <c r="N18" s="407"/>
      <c r="O18" s="407"/>
      <c r="P18" s="407"/>
    </row>
    <row r="19" spans="3:16383" ht="12.75" customHeight="1" x14ac:dyDescent="0.2">
      <c r="D19" s="400"/>
    </row>
    <row r="20" spans="3:16383" ht="12.75" customHeight="1" x14ac:dyDescent="0.2">
      <c r="D20" s="400"/>
    </row>
    <row r="21" spans="3:16383" ht="24" customHeight="1" thickBot="1" x14ac:dyDescent="0.25">
      <c r="F21" s="410" t="str">
        <f>Sprache!$E$79</f>
        <v>Rang</v>
      </c>
      <c r="G21" s="794" t="str">
        <f>"  "&amp;Sprache!$E$10</f>
        <v xml:space="preserve">  Teilnehmer bzw. Mannschaft</v>
      </c>
      <c r="H21" s="794"/>
      <c r="I21" s="795"/>
    </row>
    <row r="22" spans="3:16383" ht="24" customHeight="1" thickTop="1" x14ac:dyDescent="0.2">
      <c r="E22" s="401">
        <v>1</v>
      </c>
      <c r="F22" s="457">
        <v>1</v>
      </c>
      <c r="G22" s="796" t="str">
        <f ca="1">$T16</f>
        <v>Manchester City</v>
      </c>
      <c r="H22" s="796"/>
      <c r="I22" s="797"/>
    </row>
    <row r="23" spans="3:16383" ht="24" customHeight="1" x14ac:dyDescent="0.2">
      <c r="E23" s="401">
        <v>2</v>
      </c>
      <c r="F23" s="458">
        <v>2</v>
      </c>
      <c r="G23" s="798" t="str">
        <f ca="1">$U16</f>
        <v>FC Barcelona</v>
      </c>
      <c r="H23" s="798"/>
      <c r="I23" s="799"/>
    </row>
    <row r="24" spans="3:16383" ht="24" customHeight="1" x14ac:dyDescent="0.2">
      <c r="E24" s="401">
        <v>3</v>
      </c>
      <c r="F24" s="459">
        <v>3</v>
      </c>
      <c r="G24" s="792" t="str">
        <f ca="1">$T15</f>
        <v>Inter Mailand</v>
      </c>
      <c r="H24" s="792"/>
      <c r="I24" s="793"/>
    </row>
    <row r="25" spans="3:16383" ht="24" customHeight="1" thickBot="1" x14ac:dyDescent="0.25">
      <c r="E25" s="401">
        <v>4</v>
      </c>
      <c r="F25" s="461">
        <v>4</v>
      </c>
      <c r="G25" s="802" t="str">
        <f ca="1">$U15</f>
        <v>Eintracht Frankfurt</v>
      </c>
      <c r="H25" s="802"/>
      <c r="I25" s="803"/>
    </row>
    <row r="26" spans="3:16383" s="49" customFormat="1" ht="13.5" thickTop="1" x14ac:dyDescent="0.2">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3:16383" s="49" customFormat="1" x14ac:dyDescent="0.2">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3:16383" s="49" customFormat="1" x14ac:dyDescent="0.2">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3:16383" s="49" customFormat="1" x14ac:dyDescent="0.2">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3:16383" ht="12.75" customHeight="1" x14ac:dyDescent="0.2"/>
    <row r="31" spans="3:16383" ht="12.75" customHeight="1" x14ac:dyDescent="0.2"/>
  </sheetData>
  <sheetProtection sheet="1" selectLockedCells="1"/>
  <mergeCells count="17">
    <mergeCell ref="G25:I25"/>
    <mergeCell ref="C14:F14"/>
    <mergeCell ref="G21:I21"/>
    <mergeCell ref="G22:I22"/>
    <mergeCell ref="G23:I23"/>
    <mergeCell ref="G24:I24"/>
    <mergeCell ref="G18:H18"/>
    <mergeCell ref="E2:P2"/>
    <mergeCell ref="E3:P3"/>
    <mergeCell ref="E4:P4"/>
    <mergeCell ref="E5:P5"/>
    <mergeCell ref="G7:I8"/>
    <mergeCell ref="P9:P11"/>
    <mergeCell ref="C10:F10"/>
    <mergeCell ref="G11:I11"/>
    <mergeCell ref="J11:L11"/>
    <mergeCell ref="M11:O11"/>
  </mergeCells>
  <conditionalFormatting sqref="M12:O13 M15:O16">
    <cfRule type="expression" dxfId="13" priority="1">
      <formula>NOT($V12)</formula>
    </cfRule>
    <cfRule type="expression" dxfId="12"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 id="{C98BB549-126A-4A9E-B6DC-B74627468A8F}">
            <xm:f>$F25&gt;2*Calc1!$F$14-MOD((Calc1!$F$13+Calc2!$F$13),2)</xm:f>
            <x14:dxf>
              <numFmt numFmtId="165" formatCode=";;;"/>
            </x14:dxf>
          </x14:cfRule>
          <xm:sqref>F25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2</vt:i4>
      </vt:variant>
    </vt:vector>
  </HeadingPairs>
  <TitlesOfParts>
    <vt:vector size="21" baseType="lpstr">
      <vt:lpstr>Planung</vt:lpstr>
      <vt:lpstr>proof</vt:lpstr>
      <vt:lpstr>Pairings</vt:lpstr>
      <vt:lpstr>Vorrunde</vt:lpstr>
      <vt:lpstr>Endrunde 1</vt:lpstr>
      <vt:lpstr>Endrunde 2</vt:lpstr>
      <vt:lpstr>DirVergleich_A</vt:lpstr>
      <vt:lpstr>DirVergleich_B</vt:lpstr>
      <vt:lpstr>Endrunde 3</vt:lpstr>
      <vt:lpstr>Endrunde 4</vt:lpstr>
      <vt:lpstr>Anstoßzeiten Endrunde 4</vt:lpstr>
      <vt:lpstr>Sprache</vt:lpstr>
      <vt:lpstr>Einstellungen</vt:lpstr>
      <vt:lpstr>Info</vt:lpstr>
      <vt:lpstr>Calc1</vt:lpstr>
      <vt:lpstr>Calc2</vt:lpstr>
      <vt:lpstr>CalcE1</vt:lpstr>
      <vt:lpstr>CalcE2</vt:lpstr>
      <vt:lpstr>CalcE3</vt:lpstr>
      <vt:lpstr>'Anstoßzeiten Endrunde 4'!Druckbereich</vt:lpstr>
      <vt:lpstr>Vorrunde!Druckbereich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2025-04-10T10:31:38Z</cp:lastPrinted>
  <dcterms:created xsi:type="dcterms:W3CDTF">2010-02-21T20:03:25Z</dcterms:created>
  <dcterms:modified xsi:type="dcterms:W3CDTF">2025-04-10T11:34:00Z</dcterms:modified>
</cp:coreProperties>
</file>