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4D427D50-5048-48B8-B69A-6695BF80BC0E}" xr6:coauthVersionLast="36" xr6:coauthVersionMax="36" xr10:uidLastSave="{00000000-0000-0000-0000-000000000000}"/>
  <bookViews>
    <workbookView xWindow="-120" yWindow="-120" windowWidth="29040" windowHeight="15750" tabRatio="712" activeTab="3" xr2:uid="{00000000-000D-0000-FFFF-FFFF00000000}"/>
  </bookViews>
  <sheets>
    <sheet name="Planung" sheetId="22" r:id="rId1"/>
    <sheet name="proof" sheetId="34" state="hidden" r:id="rId2"/>
    <sheet name="Pairings" sheetId="13" state="hidden" r:id="rId3"/>
    <sheet name="Vorrunde" sheetId="6" r:id="rId4"/>
    <sheet name="Endrunde 1" sheetId="21" r:id="rId5"/>
    <sheet name="Endrunde 2" sheetId="24" r:id="rId6"/>
    <sheet name="DirVergleich_A" sheetId="36" state="hidden" r:id="rId7"/>
    <sheet name="DirVergleich_B" sheetId="20" state="hidden" r:id="rId8"/>
    <sheet name="DirVergleich_C" sheetId="37" state="hidden" r:id="rId9"/>
    <sheet name="DirVergleich_D" sheetId="38" state="hidden" r:id="rId10"/>
    <sheet name="Endrunde 2a" sheetId="41" r:id="rId11"/>
    <sheet name="Endrunde 2b" sheetId="43" r:id="rId12"/>
    <sheet name="Endrunde 2c" sheetId="42" r:id="rId13"/>
    <sheet name="Endrunde 3" sheetId="39" r:id="rId14"/>
    <sheet name="Endrunde 4" sheetId="40" r:id="rId15"/>
    <sheet name="Sprache" sheetId="9" r:id="rId16"/>
    <sheet name="Einstellungen" sheetId="14" r:id="rId17"/>
    <sheet name="Info" sheetId="16" r:id="rId18"/>
    <sheet name="Calc1" sheetId="3" state="hidden" r:id="rId19"/>
    <sheet name="Calc2" sheetId="17" state="hidden" r:id="rId20"/>
    <sheet name="Calc3" sheetId="25" state="hidden" r:id="rId21"/>
    <sheet name="Calc4" sheetId="35" state="hidden" r:id="rId22"/>
    <sheet name="CalcE1" sheetId="26" state="hidden" r:id="rId23"/>
    <sheet name="CalcE2" sheetId="27" state="hidden" r:id="rId24"/>
    <sheet name="CalcE3" sheetId="28" state="hidden" r:id="rId25"/>
    <sheet name="CalcE4" sheetId="29" state="hidden" r:id="rId26"/>
    <sheet name="CalcE5" sheetId="30" state="hidden" r:id="rId27"/>
    <sheet name="CalcE6" sheetId="31" state="hidden" r:id="rId28"/>
  </sheets>
  <calcPr calcId="191029" concurrentCalc="0"/>
</workbook>
</file>

<file path=xl/calcChain.xml><?xml version="1.0" encoding="utf-8"?>
<calcChain xmlns="http://schemas.openxmlformats.org/spreadsheetml/2006/main">
  <c r="B21" i="43" l="1"/>
  <c r="B20" i="43"/>
  <c r="B19" i="43"/>
  <c r="B18" i="43"/>
  <c r="B16" i="43"/>
  <c r="B15" i="43"/>
  <c r="B14" i="43"/>
  <c r="B13" i="43"/>
  <c r="O38" i="43"/>
  <c r="L38" i="43"/>
  <c r="I38" i="43"/>
  <c r="E38" i="43"/>
  <c r="D38" i="43"/>
  <c r="C38" i="43"/>
  <c r="O24" i="43"/>
  <c r="L24" i="43"/>
  <c r="I24" i="43"/>
  <c r="E24" i="43"/>
  <c r="D24" i="43"/>
  <c r="C24" i="43"/>
  <c r="R10" i="43"/>
  <c r="O12" i="43"/>
  <c r="L12" i="43"/>
  <c r="I12" i="43"/>
  <c r="E12" i="43"/>
  <c r="D12" i="43"/>
  <c r="C12" i="43"/>
  <c r="Q69" i="3"/>
  <c r="F9" i="3"/>
  <c r="F13" i="3"/>
  <c r="Q69" i="17"/>
  <c r="F9" i="17"/>
  <c r="F13" i="17"/>
  <c r="Q69" i="25"/>
  <c r="F9" i="25"/>
  <c r="F13" i="25"/>
  <c r="Q69" i="35"/>
  <c r="F9" i="35"/>
  <c r="F13" i="35"/>
  <c r="F14" i="3"/>
  <c r="U15" i="22"/>
  <c r="E13" i="43"/>
  <c r="I6" i="22" a="1"/>
  <c r="I6" i="22"/>
  <c r="L6" i="22"/>
  <c r="V64" i="3"/>
  <c r="F12" i="6"/>
  <c r="K6" i="22" a="1"/>
  <c r="K6" i="22"/>
  <c r="N6" i="22"/>
  <c r="H12" i="6"/>
  <c r="W64" i="3"/>
  <c r="X64" i="3"/>
  <c r="I7" i="22"/>
  <c r="L7" i="22"/>
  <c r="V65" i="3"/>
  <c r="F13" i="6"/>
  <c r="K7" i="22"/>
  <c r="N7" i="22"/>
  <c r="H13" i="6"/>
  <c r="W65" i="3"/>
  <c r="X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I36" i="22"/>
  <c r="L36" i="22"/>
  <c r="V94" i="3"/>
  <c r="I37" i="22"/>
  <c r="L37" i="22"/>
  <c r="V95" i="3"/>
  <c r="I38" i="22"/>
  <c r="L38" i="22"/>
  <c r="V96" i="3"/>
  <c r="I39" i="22"/>
  <c r="L39" i="22"/>
  <c r="V97" i="3"/>
  <c r="I40" i="22"/>
  <c r="L40" i="22"/>
  <c r="V98" i="3"/>
  <c r="I41" i="22"/>
  <c r="L41" i="22"/>
  <c r="V99" i="3"/>
  <c r="I42" i="22"/>
  <c r="L42" i="22"/>
  <c r="V100" i="3"/>
  <c r="I43" i="22"/>
  <c r="L43" i="22"/>
  <c r="V101" i="3"/>
  <c r="I44" i="22"/>
  <c r="L44" i="22"/>
  <c r="V102" i="3"/>
  <c r="I45" i="22"/>
  <c r="L45" i="22"/>
  <c r="V103" i="3"/>
  <c r="I46" i="22"/>
  <c r="L46" i="22"/>
  <c r="V104" i="3"/>
  <c r="I47" i="22"/>
  <c r="L47" i="22"/>
  <c r="V105" i="3"/>
  <c r="I48" i="22"/>
  <c r="L48" i="22"/>
  <c r="V106" i="3"/>
  <c r="I49" i="22"/>
  <c r="L49" i="22"/>
  <c r="V107" i="3"/>
  <c r="I50" i="22"/>
  <c r="L50" i="22"/>
  <c r="V108" i="3"/>
  <c r="I51" i="22"/>
  <c r="L51" i="22"/>
  <c r="V109" i="3"/>
  <c r="I52" i="22"/>
  <c r="L52" i="22"/>
  <c r="V110" i="3"/>
  <c r="I53" i="22"/>
  <c r="L53" i="22"/>
  <c r="V111" i="3"/>
  <c r="I54" i="22"/>
  <c r="L54" i="22"/>
  <c r="V112" i="3"/>
  <c r="I55" i="22"/>
  <c r="L55" i="22"/>
  <c r="V113" i="3"/>
  <c r="I56" i="22"/>
  <c r="L56" i="22"/>
  <c r="V114" i="3"/>
  <c r="I57" i="22"/>
  <c r="L57" i="22"/>
  <c r="V115" i="3"/>
  <c r="I58" i="22"/>
  <c r="L58" i="22"/>
  <c r="V116" i="3"/>
  <c r="I59" i="22"/>
  <c r="L59" i="22"/>
  <c r="V117" i="3"/>
  <c r="I60" i="22"/>
  <c r="L60" i="22"/>
  <c r="V118" i="3"/>
  <c r="I61" i="22"/>
  <c r="L61" i="22"/>
  <c r="V119" i="3"/>
  <c r="I62" i="22"/>
  <c r="L62" i="22"/>
  <c r="V120" i="3"/>
  <c r="I63" i="22"/>
  <c r="L63" i="22"/>
  <c r="V121" i="3"/>
  <c r="I64" i="22"/>
  <c r="L64" i="22"/>
  <c r="V122" i="3"/>
  <c r="I65" i="22"/>
  <c r="L65" i="22"/>
  <c r="V123" i="3"/>
  <c r="F14" i="6"/>
  <c r="K8" i="22"/>
  <c r="N8" i="22"/>
  <c r="H14" i="6"/>
  <c r="W66" i="3"/>
  <c r="X66" i="3"/>
  <c r="F15" i="6"/>
  <c r="K9" i="22"/>
  <c r="N9" i="22"/>
  <c r="H15" i="6"/>
  <c r="W67" i="3"/>
  <c r="X67" i="3"/>
  <c r="F16" i="6"/>
  <c r="K10" i="22"/>
  <c r="N10" i="22"/>
  <c r="H16" i="6"/>
  <c r="W68" i="3"/>
  <c r="X68" i="3"/>
  <c r="F17" i="6"/>
  <c r="K11" i="22"/>
  <c r="N11" i="22"/>
  <c r="H17" i="6"/>
  <c r="W69" i="3"/>
  <c r="X69" i="3"/>
  <c r="F18" i="6"/>
  <c r="K12" i="22"/>
  <c r="N12" i="22"/>
  <c r="H18" i="6"/>
  <c r="W70" i="3"/>
  <c r="X70" i="3"/>
  <c r="F19" i="6"/>
  <c r="K13" i="22"/>
  <c r="N13" i="22"/>
  <c r="H19" i="6"/>
  <c r="W71" i="3"/>
  <c r="X71" i="3"/>
  <c r="F20" i="6"/>
  <c r="K14" i="22"/>
  <c r="N14" i="22"/>
  <c r="H20" i="6"/>
  <c r="W72" i="3"/>
  <c r="X72" i="3"/>
  <c r="F21" i="6"/>
  <c r="K15" i="22"/>
  <c r="N15" i="22"/>
  <c r="H21" i="6"/>
  <c r="W73" i="3"/>
  <c r="X73" i="3"/>
  <c r="F22" i="6"/>
  <c r="K16" i="22"/>
  <c r="N16" i="22"/>
  <c r="H22" i="6"/>
  <c r="W74" i="3"/>
  <c r="X74" i="3"/>
  <c r="F23" i="6"/>
  <c r="K17" i="22"/>
  <c r="N17" i="22"/>
  <c r="H23" i="6"/>
  <c r="W75" i="3"/>
  <c r="X75" i="3"/>
  <c r="F24" i="6"/>
  <c r="K18" i="22"/>
  <c r="N18" i="22"/>
  <c r="H24" i="6"/>
  <c r="W76" i="3"/>
  <c r="X76" i="3"/>
  <c r="F25" i="6"/>
  <c r="K19" i="22"/>
  <c r="N19" i="22"/>
  <c r="H25" i="6"/>
  <c r="W77" i="3"/>
  <c r="X77" i="3"/>
  <c r="F26" i="6"/>
  <c r="K20" i="22"/>
  <c r="N20" i="22"/>
  <c r="H26" i="6"/>
  <c r="W78" i="3"/>
  <c r="X78" i="3"/>
  <c r="F27" i="6"/>
  <c r="K21" i="22"/>
  <c r="N21" i="22"/>
  <c r="H27" i="6"/>
  <c r="W79" i="3"/>
  <c r="X79" i="3"/>
  <c r="F28" i="6"/>
  <c r="K22" i="22"/>
  <c r="N22" i="22"/>
  <c r="H28" i="6"/>
  <c r="W80" i="3"/>
  <c r="X80" i="3"/>
  <c r="F29" i="6"/>
  <c r="K23" i="22"/>
  <c r="N23" i="22"/>
  <c r="H29" i="6"/>
  <c r="W81" i="3"/>
  <c r="X81" i="3"/>
  <c r="F30" i="6"/>
  <c r="K24" i="22"/>
  <c r="N24" i="22"/>
  <c r="H30" i="6"/>
  <c r="W82" i="3"/>
  <c r="X82" i="3"/>
  <c r="F31" i="6"/>
  <c r="K25" i="22"/>
  <c r="N25" i="22"/>
  <c r="H31" i="6"/>
  <c r="W83" i="3"/>
  <c r="X83" i="3"/>
  <c r="F32" i="6"/>
  <c r="K26" i="22"/>
  <c r="N26" i="22"/>
  <c r="H32" i="6"/>
  <c r="W84" i="3"/>
  <c r="X84" i="3"/>
  <c r="F33" i="6"/>
  <c r="K27" i="22"/>
  <c r="N27" i="22"/>
  <c r="H33" i="6"/>
  <c r="W85" i="3"/>
  <c r="X85" i="3"/>
  <c r="F34" i="6"/>
  <c r="K28" i="22"/>
  <c r="N28" i="22"/>
  <c r="H34" i="6"/>
  <c r="W86" i="3"/>
  <c r="X86" i="3"/>
  <c r="F35" i="6"/>
  <c r="K29" i="22"/>
  <c r="N29" i="22"/>
  <c r="H35" i="6"/>
  <c r="W87" i="3"/>
  <c r="X87" i="3"/>
  <c r="F36" i="6"/>
  <c r="K30" i="22"/>
  <c r="N30" i="22"/>
  <c r="H36" i="6"/>
  <c r="W88" i="3"/>
  <c r="X88" i="3"/>
  <c r="F37" i="6"/>
  <c r="K31" i="22"/>
  <c r="N31" i="22"/>
  <c r="H37" i="6"/>
  <c r="W89" i="3"/>
  <c r="X89" i="3"/>
  <c r="F38" i="6"/>
  <c r="K32" i="22"/>
  <c r="N32" i="22"/>
  <c r="H38" i="6"/>
  <c r="W90" i="3"/>
  <c r="X90" i="3"/>
  <c r="F39" i="6"/>
  <c r="K33" i="22"/>
  <c r="N33" i="22"/>
  <c r="H39" i="6"/>
  <c r="W91" i="3"/>
  <c r="X91" i="3"/>
  <c r="F40" i="6"/>
  <c r="K34" i="22"/>
  <c r="N34" i="22"/>
  <c r="H40" i="6"/>
  <c r="W92" i="3"/>
  <c r="X92" i="3"/>
  <c r="F41" i="6"/>
  <c r="K35" i="22"/>
  <c r="N35" i="22"/>
  <c r="H41" i="6"/>
  <c r="W93" i="3"/>
  <c r="X93" i="3"/>
  <c r="F42" i="6"/>
  <c r="K36" i="22"/>
  <c r="N36" i="22"/>
  <c r="H42" i="6"/>
  <c r="W94" i="3"/>
  <c r="X94" i="3"/>
  <c r="F43" i="6"/>
  <c r="K37" i="22"/>
  <c r="N37" i="22"/>
  <c r="H43" i="6"/>
  <c r="W95" i="3"/>
  <c r="X95" i="3"/>
  <c r="F44" i="6"/>
  <c r="K38" i="22"/>
  <c r="N38" i="22"/>
  <c r="H44" i="6"/>
  <c r="W96" i="3"/>
  <c r="X96" i="3"/>
  <c r="F45" i="6"/>
  <c r="K39" i="22"/>
  <c r="N39" i="22"/>
  <c r="H45" i="6"/>
  <c r="W97" i="3"/>
  <c r="X97" i="3"/>
  <c r="F46" i="6"/>
  <c r="K40" i="22"/>
  <c r="N40" i="22"/>
  <c r="H46" i="6"/>
  <c r="W98" i="3"/>
  <c r="X98" i="3"/>
  <c r="F47" i="6"/>
  <c r="K41" i="22"/>
  <c r="N41" i="22"/>
  <c r="H47" i="6"/>
  <c r="W99" i="3"/>
  <c r="X99" i="3"/>
  <c r="F48" i="6"/>
  <c r="K42" i="22"/>
  <c r="N42" i="22"/>
  <c r="H48" i="6"/>
  <c r="W100" i="3"/>
  <c r="X100" i="3"/>
  <c r="F49" i="6"/>
  <c r="K43" i="22"/>
  <c r="N43" i="22"/>
  <c r="H49" i="6"/>
  <c r="W101" i="3"/>
  <c r="X101" i="3"/>
  <c r="F50" i="6"/>
  <c r="K44" i="22"/>
  <c r="N44" i="22"/>
  <c r="H50" i="6"/>
  <c r="W102" i="3"/>
  <c r="X102" i="3"/>
  <c r="F51" i="6"/>
  <c r="K45" i="22"/>
  <c r="N45" i="22"/>
  <c r="H51" i="6"/>
  <c r="W103" i="3"/>
  <c r="X103" i="3"/>
  <c r="F52" i="6"/>
  <c r="K46" i="22"/>
  <c r="N46" i="22"/>
  <c r="H52" i="6"/>
  <c r="W104" i="3"/>
  <c r="X104" i="3"/>
  <c r="F53" i="6"/>
  <c r="K47" i="22"/>
  <c r="N47" i="22"/>
  <c r="H53" i="6"/>
  <c r="W105" i="3"/>
  <c r="X105" i="3"/>
  <c r="F54" i="6"/>
  <c r="K48" i="22"/>
  <c r="N48" i="22"/>
  <c r="H54" i="6"/>
  <c r="W106" i="3"/>
  <c r="X106" i="3"/>
  <c r="F55" i="6"/>
  <c r="K49" i="22"/>
  <c r="N49" i="22"/>
  <c r="H55" i="6"/>
  <c r="W107" i="3"/>
  <c r="X107" i="3"/>
  <c r="F56" i="6"/>
  <c r="K50" i="22"/>
  <c r="N50" i="22"/>
  <c r="H56" i="6"/>
  <c r="W108" i="3"/>
  <c r="X108" i="3"/>
  <c r="F57" i="6"/>
  <c r="K51" i="22"/>
  <c r="N51" i="22"/>
  <c r="H57" i="6"/>
  <c r="W109" i="3"/>
  <c r="X109" i="3"/>
  <c r="F58" i="6"/>
  <c r="K52" i="22"/>
  <c r="N52" i="22"/>
  <c r="H58" i="6"/>
  <c r="W110" i="3"/>
  <c r="X110" i="3"/>
  <c r="F59" i="6"/>
  <c r="K53" i="22"/>
  <c r="N53" i="22"/>
  <c r="H59" i="6"/>
  <c r="W111" i="3"/>
  <c r="X111" i="3"/>
  <c r="F60" i="6"/>
  <c r="K54" i="22"/>
  <c r="N54" i="22"/>
  <c r="H60" i="6"/>
  <c r="W112" i="3"/>
  <c r="X112" i="3"/>
  <c r="F61" i="6"/>
  <c r="K55" i="22"/>
  <c r="N55" i="22"/>
  <c r="H61" i="6"/>
  <c r="W113" i="3"/>
  <c r="X113" i="3"/>
  <c r="F62" i="6"/>
  <c r="K56" i="22"/>
  <c r="N56" i="22"/>
  <c r="H62" i="6"/>
  <c r="W114" i="3"/>
  <c r="X114" i="3"/>
  <c r="F63" i="6"/>
  <c r="K57" i="22"/>
  <c r="N57" i="22"/>
  <c r="H63" i="6"/>
  <c r="W115" i="3"/>
  <c r="X115" i="3"/>
  <c r="F64" i="6"/>
  <c r="K58" i="22"/>
  <c r="N58" i="22"/>
  <c r="H64" i="6"/>
  <c r="W116" i="3"/>
  <c r="X116" i="3"/>
  <c r="F65" i="6"/>
  <c r="K59" i="22"/>
  <c r="N59" i="22"/>
  <c r="H65" i="6"/>
  <c r="W117" i="3"/>
  <c r="X117" i="3"/>
  <c r="F66" i="6"/>
  <c r="K60" i="22"/>
  <c r="N60" i="22"/>
  <c r="H66" i="6"/>
  <c r="W118" i="3"/>
  <c r="X118" i="3"/>
  <c r="F67" i="6"/>
  <c r="K61" i="22"/>
  <c r="N61" i="22"/>
  <c r="H67" i="6"/>
  <c r="W119" i="3"/>
  <c r="X119" i="3"/>
  <c r="F68" i="6"/>
  <c r="K62" i="22"/>
  <c r="N62" i="22"/>
  <c r="H68" i="6"/>
  <c r="W120" i="3"/>
  <c r="X120" i="3"/>
  <c r="F69" i="6"/>
  <c r="K63" i="22"/>
  <c r="N63" i="22"/>
  <c r="H69" i="6"/>
  <c r="W121" i="3"/>
  <c r="X121" i="3"/>
  <c r="F70" i="6"/>
  <c r="K64" i="22"/>
  <c r="N64" i="22"/>
  <c r="H70" i="6"/>
  <c r="W122" i="3"/>
  <c r="X122" i="3"/>
  <c r="F71" i="6"/>
  <c r="K65" i="22"/>
  <c r="N65" i="22"/>
  <c r="H71" i="6"/>
  <c r="W123" i="3"/>
  <c r="X12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K4" i="3"/>
  <c r="K5" i="3"/>
  <c r="K6" i="3"/>
  <c r="K7" i="3"/>
  <c r="K8" i="3"/>
  <c r="K9" i="3"/>
  <c r="K10" i="3"/>
  <c r="K11" i="3"/>
  <c r="K12" i="3"/>
  <c r="K13" i="3"/>
  <c r="AA80" i="3"/>
  <c r="AE80" i="3"/>
  <c r="AA100" i="3"/>
  <c r="AE100" i="3"/>
  <c r="AA72" i="3"/>
  <c r="AF72" i="3"/>
  <c r="AA92" i="3"/>
  <c r="AF92" i="3"/>
  <c r="AA64" i="3"/>
  <c r="AE64" i="3"/>
  <c r="AA88" i="3"/>
  <c r="AE88" i="3"/>
  <c r="AA112" i="3"/>
  <c r="AE112" i="3"/>
  <c r="AA76" i="3"/>
  <c r="AF76" i="3"/>
  <c r="AF64" i="3"/>
  <c r="AA65" i="3"/>
  <c r="AF65" i="3"/>
  <c r="AA66" i="3"/>
  <c r="AF66" i="3"/>
  <c r="AA67" i="3"/>
  <c r="AF67" i="3"/>
  <c r="AA68" i="3"/>
  <c r="AF68" i="3"/>
  <c r="AA69" i="3"/>
  <c r="AF69" i="3"/>
  <c r="AA70" i="3"/>
  <c r="AF70" i="3"/>
  <c r="AA71" i="3"/>
  <c r="AF71" i="3"/>
  <c r="AA73" i="3"/>
  <c r="AF73" i="3"/>
  <c r="AA74" i="3"/>
  <c r="AF74" i="3"/>
  <c r="AA75" i="3"/>
  <c r="AF75" i="3"/>
  <c r="AA77" i="3"/>
  <c r="AF77" i="3"/>
  <c r="AA78" i="3"/>
  <c r="AF78" i="3"/>
  <c r="AA79" i="3"/>
  <c r="AF79" i="3"/>
  <c r="AF80" i="3"/>
  <c r="AA81" i="3"/>
  <c r="AF81" i="3"/>
  <c r="AA82" i="3"/>
  <c r="AF82" i="3"/>
  <c r="AA83" i="3"/>
  <c r="AF83" i="3"/>
  <c r="AA84" i="3"/>
  <c r="AF84" i="3"/>
  <c r="AA85" i="3"/>
  <c r="AF85" i="3"/>
  <c r="AA86" i="3"/>
  <c r="AF86" i="3"/>
  <c r="AA87" i="3"/>
  <c r="AF87" i="3"/>
  <c r="AF88" i="3"/>
  <c r="AA89" i="3"/>
  <c r="AF89" i="3"/>
  <c r="AA90" i="3"/>
  <c r="AF90" i="3"/>
  <c r="AA91" i="3"/>
  <c r="AF91" i="3"/>
  <c r="AA93" i="3"/>
  <c r="AF93" i="3"/>
  <c r="AA94" i="3"/>
  <c r="AF94" i="3"/>
  <c r="AA95" i="3"/>
  <c r="AF95" i="3"/>
  <c r="AA96" i="3"/>
  <c r="AF96" i="3"/>
  <c r="AA97" i="3"/>
  <c r="AF97" i="3"/>
  <c r="AA98" i="3"/>
  <c r="AF98" i="3"/>
  <c r="AA99" i="3"/>
  <c r="AF99" i="3"/>
  <c r="AF100" i="3"/>
  <c r="AA101" i="3"/>
  <c r="AF101" i="3"/>
  <c r="AA102" i="3"/>
  <c r="AF102" i="3"/>
  <c r="AA103" i="3"/>
  <c r="AF103" i="3"/>
  <c r="AA104" i="3"/>
  <c r="AF104" i="3"/>
  <c r="AA105" i="3"/>
  <c r="AF105" i="3"/>
  <c r="AA106" i="3"/>
  <c r="AF106" i="3"/>
  <c r="AA107" i="3"/>
  <c r="AF107" i="3"/>
  <c r="AA108" i="3"/>
  <c r="AF108" i="3"/>
  <c r="AA109" i="3"/>
  <c r="AF109" i="3"/>
  <c r="AA110" i="3"/>
  <c r="AF110" i="3"/>
  <c r="AA111" i="3"/>
  <c r="AF111" i="3"/>
  <c r="AF112" i="3"/>
  <c r="AA113" i="3"/>
  <c r="AF113" i="3"/>
  <c r="AA114" i="3"/>
  <c r="AF114" i="3"/>
  <c r="AA115" i="3"/>
  <c r="AF115" i="3"/>
  <c r="AA116" i="3"/>
  <c r="AF116" i="3"/>
  <c r="AA117" i="3"/>
  <c r="AF117" i="3"/>
  <c r="AA118" i="3"/>
  <c r="AF118" i="3"/>
  <c r="AA119" i="3"/>
  <c r="AF119" i="3"/>
  <c r="AA120" i="3"/>
  <c r="AF120" i="3"/>
  <c r="AA121" i="3"/>
  <c r="AF121" i="3"/>
  <c r="AA122" i="3"/>
  <c r="AF122" i="3"/>
  <c r="AA123" i="3"/>
  <c r="AF123" i="3"/>
  <c r="J4" i="3"/>
  <c r="K17" i="3"/>
  <c r="G4" i="3"/>
  <c r="H4" i="3"/>
  <c r="I4" i="3"/>
  <c r="J17" i="3"/>
  <c r="H17" i="3"/>
  <c r="L17" i="3"/>
  <c r="AE76" i="3"/>
  <c r="AE84" i="3"/>
  <c r="AE104" i="3"/>
  <c r="J5" i="3"/>
  <c r="K18" i="3"/>
  <c r="G5" i="3"/>
  <c r="H5" i="3"/>
  <c r="I5" i="3"/>
  <c r="J18" i="3"/>
  <c r="H18" i="3"/>
  <c r="L18" i="3"/>
  <c r="AE68" i="3"/>
  <c r="AE92" i="3"/>
  <c r="AE72" i="3"/>
  <c r="J6" i="3"/>
  <c r="K19" i="3"/>
  <c r="G6" i="3"/>
  <c r="H6" i="3"/>
  <c r="I6" i="3"/>
  <c r="J19" i="3"/>
  <c r="H19" i="3"/>
  <c r="L19" i="3"/>
  <c r="AE96" i="3"/>
  <c r="AE120" i="3"/>
  <c r="J7" i="3"/>
  <c r="K20" i="3"/>
  <c r="G7" i="3"/>
  <c r="H7" i="3"/>
  <c r="I7" i="3"/>
  <c r="J20" i="3"/>
  <c r="H20" i="3"/>
  <c r="L20" i="3"/>
  <c r="AE108" i="3"/>
  <c r="J8" i="3"/>
  <c r="K21" i="3"/>
  <c r="G8" i="3"/>
  <c r="H8" i="3"/>
  <c r="I8" i="3"/>
  <c r="J21" i="3"/>
  <c r="H21" i="3"/>
  <c r="L21" i="3"/>
  <c r="AE105" i="3"/>
  <c r="AE106" i="3"/>
  <c r="AE107" i="3"/>
  <c r="AE65" i="3"/>
  <c r="AE66" i="3"/>
  <c r="AE67" i="3"/>
  <c r="AE69" i="3"/>
  <c r="AE70" i="3"/>
  <c r="AE71" i="3"/>
  <c r="AE73" i="3"/>
  <c r="AE74" i="3"/>
  <c r="AE75" i="3"/>
  <c r="AE77" i="3"/>
  <c r="AE78" i="3"/>
  <c r="AE79" i="3"/>
  <c r="AE81" i="3"/>
  <c r="AE82" i="3"/>
  <c r="AE83" i="3"/>
  <c r="AE85" i="3"/>
  <c r="AE86" i="3"/>
  <c r="AE87" i="3"/>
  <c r="AE89" i="3"/>
  <c r="AE90" i="3"/>
  <c r="AE91" i="3"/>
  <c r="AE93" i="3"/>
  <c r="AE94" i="3"/>
  <c r="AE95" i="3"/>
  <c r="AE97" i="3"/>
  <c r="AE98" i="3"/>
  <c r="AE99" i="3"/>
  <c r="AE101" i="3"/>
  <c r="AE102" i="3"/>
  <c r="AE103" i="3"/>
  <c r="AE109" i="3"/>
  <c r="AE110" i="3"/>
  <c r="AE111" i="3"/>
  <c r="AE113" i="3"/>
  <c r="AE114" i="3"/>
  <c r="AE115" i="3"/>
  <c r="AE116" i="3"/>
  <c r="AE117" i="3"/>
  <c r="AE118" i="3"/>
  <c r="AE119" i="3"/>
  <c r="AE121" i="3"/>
  <c r="AE122" i="3"/>
  <c r="AE123" i="3"/>
  <c r="J9" i="3"/>
  <c r="K22" i="3"/>
  <c r="G9" i="3"/>
  <c r="H9" i="3"/>
  <c r="I9" i="3"/>
  <c r="J22" i="3"/>
  <c r="H22" i="3"/>
  <c r="L22" i="3"/>
  <c r="J10" i="3"/>
  <c r="K23" i="3"/>
  <c r="G10" i="3"/>
  <c r="H10" i="3"/>
  <c r="I10" i="3"/>
  <c r="J23" i="3"/>
  <c r="H23" i="3"/>
  <c r="L23" i="3"/>
  <c r="J11" i="3"/>
  <c r="K24" i="3"/>
  <c r="G11" i="3"/>
  <c r="H11" i="3"/>
  <c r="I11" i="3"/>
  <c r="J24" i="3"/>
  <c r="H24" i="3"/>
  <c r="L24" i="3"/>
  <c r="J12" i="3"/>
  <c r="K25" i="3"/>
  <c r="G12" i="3"/>
  <c r="H12" i="3"/>
  <c r="I12" i="3"/>
  <c r="J25" i="3"/>
  <c r="H25" i="3"/>
  <c r="L2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M22" i="3"/>
  <c r="N22" i="3" a="1"/>
  <c r="N22" i="3"/>
  <c r="O22" i="3"/>
  <c r="BT52" i="3"/>
  <c r="BU52" i="3"/>
  <c r="BV52" i="3"/>
  <c r="BW52" i="3"/>
  <c r="BX51"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R57"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C22"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29" i="3"/>
  <c r="BX30" i="3"/>
  <c r="BR35"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BX40" i="3"/>
  <c r="BR46"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L4" i="3"/>
  <c r="M4" i="3"/>
  <c r="N4" i="3"/>
  <c r="L5" i="3"/>
  <c r="M5" i="3"/>
  <c r="N5" i="3"/>
  <c r="L6" i="3"/>
  <c r="M6" i="3"/>
  <c r="N6" i="3"/>
  <c r="C7" i="3"/>
  <c r="L7" i="3"/>
  <c r="M7" i="3"/>
  <c r="N7" i="3"/>
  <c r="C8" i="3"/>
  <c r="L8" i="3"/>
  <c r="M8" i="3"/>
  <c r="N8" i="3"/>
  <c r="C9" i="3"/>
  <c r="L9" i="3"/>
  <c r="M9" i="3"/>
  <c r="N9" i="3"/>
  <c r="C10" i="3"/>
  <c r="L10" i="3"/>
  <c r="M10" i="3"/>
  <c r="N10" i="3"/>
  <c r="C11" i="3"/>
  <c r="L11" i="3"/>
  <c r="M11" i="3"/>
  <c r="N11" i="3"/>
  <c r="C12" i="3"/>
  <c r="L12" i="3"/>
  <c r="M12" i="3"/>
  <c r="N12" i="3"/>
  <c r="N16" i="6"/>
  <c r="V64" i="25"/>
  <c r="W64" i="25"/>
  <c r="X64" i="25"/>
  <c r="V65" i="25"/>
  <c r="W65" i="25"/>
  <c r="X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V109" i="25"/>
  <c r="V110" i="25"/>
  <c r="V111" i="25"/>
  <c r="V112" i="25"/>
  <c r="V113" i="25"/>
  <c r="V114" i="25"/>
  <c r="V115" i="25"/>
  <c r="V116" i="25"/>
  <c r="V117" i="25"/>
  <c r="V118" i="25"/>
  <c r="V119" i="25"/>
  <c r="V120" i="25"/>
  <c r="V121" i="25"/>
  <c r="V122" i="25"/>
  <c r="V123" i="25"/>
  <c r="W66" i="25"/>
  <c r="X66" i="25"/>
  <c r="W67" i="25"/>
  <c r="X67" i="25"/>
  <c r="W68" i="25"/>
  <c r="X68" i="25"/>
  <c r="W69" i="25"/>
  <c r="X69" i="25"/>
  <c r="W70" i="25"/>
  <c r="X70" i="25"/>
  <c r="W71" i="25"/>
  <c r="X71" i="25"/>
  <c r="W72" i="25"/>
  <c r="X72" i="25"/>
  <c r="W73" i="25"/>
  <c r="X73" i="25"/>
  <c r="W74" i="25"/>
  <c r="X74" i="25"/>
  <c r="W75" i="25"/>
  <c r="X75" i="25"/>
  <c r="W76" i="25"/>
  <c r="X76" i="25"/>
  <c r="W77" i="25"/>
  <c r="X77" i="25"/>
  <c r="W78" i="25"/>
  <c r="X78" i="25"/>
  <c r="W79" i="25"/>
  <c r="X79" i="25"/>
  <c r="W80" i="25"/>
  <c r="X80" i="25"/>
  <c r="W81" i="25"/>
  <c r="X81" i="25"/>
  <c r="W82" i="25"/>
  <c r="X82" i="25"/>
  <c r="W83" i="25"/>
  <c r="X83" i="25"/>
  <c r="W84" i="25"/>
  <c r="X84" i="25"/>
  <c r="W85" i="25"/>
  <c r="X85" i="25"/>
  <c r="W86" i="25"/>
  <c r="X86" i="25"/>
  <c r="W87" i="25"/>
  <c r="X87" i="25"/>
  <c r="W88" i="25"/>
  <c r="X88" i="25"/>
  <c r="W89" i="25"/>
  <c r="X89" i="25"/>
  <c r="W90" i="25"/>
  <c r="X90" i="25"/>
  <c r="W91" i="25"/>
  <c r="X91" i="25"/>
  <c r="W92" i="25"/>
  <c r="X92" i="25"/>
  <c r="W93" i="25"/>
  <c r="X93" i="25"/>
  <c r="W94" i="25"/>
  <c r="X94" i="25"/>
  <c r="W95" i="25"/>
  <c r="X95" i="25"/>
  <c r="W96" i="25"/>
  <c r="X96" i="25"/>
  <c r="W97" i="25"/>
  <c r="X97" i="25"/>
  <c r="W98" i="25"/>
  <c r="X98" i="25"/>
  <c r="W99" i="25"/>
  <c r="X99" i="25"/>
  <c r="W100" i="25"/>
  <c r="X100" i="25"/>
  <c r="W101" i="25"/>
  <c r="X101" i="25"/>
  <c r="W102" i="25"/>
  <c r="X102" i="25"/>
  <c r="W103" i="25"/>
  <c r="X103" i="25"/>
  <c r="W104" i="25"/>
  <c r="X104" i="25"/>
  <c r="W105" i="25"/>
  <c r="X105" i="25"/>
  <c r="W106" i="25"/>
  <c r="X106" i="25"/>
  <c r="W107" i="25"/>
  <c r="X107" i="25"/>
  <c r="W108" i="25"/>
  <c r="X108" i="25"/>
  <c r="W109" i="25"/>
  <c r="X109" i="25"/>
  <c r="W110" i="25"/>
  <c r="X110" i="25"/>
  <c r="W111" i="25"/>
  <c r="X111" i="25"/>
  <c r="W112" i="25"/>
  <c r="X112" i="25"/>
  <c r="W113" i="25"/>
  <c r="X113" i="25"/>
  <c r="W114" i="25"/>
  <c r="X114" i="25"/>
  <c r="W115" i="25"/>
  <c r="X115" i="25"/>
  <c r="W116" i="25"/>
  <c r="X116" i="25"/>
  <c r="W117" i="25"/>
  <c r="X117" i="25"/>
  <c r="W118" i="25"/>
  <c r="X118" i="25"/>
  <c r="W119" i="25"/>
  <c r="X119" i="25"/>
  <c r="W120" i="25"/>
  <c r="X120" i="25"/>
  <c r="W121" i="25"/>
  <c r="X121" i="25"/>
  <c r="W122" i="25"/>
  <c r="X122" i="25"/>
  <c r="W123" i="25"/>
  <c r="X123" i="25"/>
  <c r="Y64" i="25"/>
  <c r="Y65" i="25"/>
  <c r="Y66" i="25"/>
  <c r="Y67" i="25"/>
  <c r="Y68" i="25"/>
  <c r="Y69" i="25"/>
  <c r="Y70" i="25"/>
  <c r="Y71" i="25"/>
  <c r="Y72" i="25"/>
  <c r="Y73" i="25"/>
  <c r="Y74" i="25"/>
  <c r="Y75" i="25"/>
  <c r="Y76" i="25"/>
  <c r="Y77" i="25"/>
  <c r="Y78" i="25"/>
  <c r="Y79" i="25"/>
  <c r="Y80" i="25"/>
  <c r="Y81" i="25"/>
  <c r="Y82" i="25"/>
  <c r="Y83" i="25"/>
  <c r="Y84" i="25"/>
  <c r="Y85" i="25"/>
  <c r="Y86" i="25"/>
  <c r="Y87" i="25"/>
  <c r="Y88" i="25"/>
  <c r="Y89" i="25"/>
  <c r="Y90" i="25"/>
  <c r="Y91" i="25"/>
  <c r="Y92" i="25"/>
  <c r="Y93" i="25"/>
  <c r="Y94" i="25"/>
  <c r="Y95" i="25"/>
  <c r="Y96" i="25"/>
  <c r="Y97" i="25"/>
  <c r="Y98" i="25"/>
  <c r="Y99" i="25"/>
  <c r="Y100" i="25"/>
  <c r="Y101" i="25"/>
  <c r="Y102" i="25"/>
  <c r="Y103" i="25"/>
  <c r="Y104" i="25"/>
  <c r="Y105" i="25"/>
  <c r="Y106" i="25"/>
  <c r="Y107" i="25"/>
  <c r="Y108" i="25"/>
  <c r="Y109" i="25"/>
  <c r="Y110" i="25"/>
  <c r="Y111" i="25"/>
  <c r="Y112" i="25"/>
  <c r="Y113" i="25"/>
  <c r="Y114" i="25"/>
  <c r="Y115" i="25"/>
  <c r="Y116" i="25"/>
  <c r="Y117" i="25"/>
  <c r="Y118" i="25"/>
  <c r="Y119" i="25"/>
  <c r="Y120" i="25"/>
  <c r="Y121" i="25"/>
  <c r="Y122" i="25"/>
  <c r="Y123" i="25"/>
  <c r="K4" i="25"/>
  <c r="K5" i="25"/>
  <c r="K6" i="25"/>
  <c r="K7" i="25"/>
  <c r="K8" i="25"/>
  <c r="K9" i="25"/>
  <c r="K10" i="25"/>
  <c r="K11" i="25"/>
  <c r="K12" i="25"/>
  <c r="K13" i="25"/>
  <c r="AA82" i="25"/>
  <c r="AE82" i="25"/>
  <c r="AA102" i="25"/>
  <c r="AE102" i="25"/>
  <c r="AA74" i="25"/>
  <c r="AF74" i="25"/>
  <c r="AA94" i="25"/>
  <c r="AF94" i="25"/>
  <c r="AA66" i="25"/>
  <c r="AE66" i="25"/>
  <c r="AA90" i="25"/>
  <c r="AE90" i="25"/>
  <c r="AA114" i="25"/>
  <c r="AE114" i="25"/>
  <c r="AA78" i="25"/>
  <c r="AF78" i="25"/>
  <c r="AA64" i="25"/>
  <c r="AF64" i="25"/>
  <c r="AA65" i="25"/>
  <c r="AF65" i="25"/>
  <c r="AF66" i="25"/>
  <c r="AA67" i="25"/>
  <c r="AF67" i="25"/>
  <c r="AA68" i="25"/>
  <c r="AF68" i="25"/>
  <c r="AA69" i="25"/>
  <c r="AF69" i="25"/>
  <c r="AA70" i="25"/>
  <c r="AF70" i="25"/>
  <c r="AA71" i="25"/>
  <c r="AF71" i="25"/>
  <c r="AA72" i="25"/>
  <c r="AF72" i="25"/>
  <c r="AA73" i="25"/>
  <c r="AF73" i="25"/>
  <c r="AA75" i="25"/>
  <c r="AF75" i="25"/>
  <c r="AA76" i="25"/>
  <c r="AF76" i="25"/>
  <c r="AA77" i="25"/>
  <c r="AF77" i="25"/>
  <c r="AA79" i="25"/>
  <c r="AF79" i="25"/>
  <c r="AA80" i="25"/>
  <c r="AF80" i="25"/>
  <c r="AA81" i="25"/>
  <c r="AF81" i="25"/>
  <c r="AF82" i="25"/>
  <c r="AA83" i="25"/>
  <c r="AF83" i="25"/>
  <c r="AA84" i="25"/>
  <c r="AF84" i="25"/>
  <c r="AA85" i="25"/>
  <c r="AF85" i="25"/>
  <c r="AA86" i="25"/>
  <c r="AF86" i="25"/>
  <c r="AA87" i="25"/>
  <c r="AF87" i="25"/>
  <c r="AA88" i="25"/>
  <c r="AF88" i="25"/>
  <c r="AA89" i="25"/>
  <c r="AF89" i="25"/>
  <c r="AF90" i="25"/>
  <c r="AA91" i="25"/>
  <c r="AF91" i="25"/>
  <c r="AA92" i="25"/>
  <c r="AF92" i="25"/>
  <c r="AA93" i="25"/>
  <c r="AF93" i="25"/>
  <c r="AA95" i="25"/>
  <c r="AF95" i="25"/>
  <c r="AA96" i="25"/>
  <c r="AF96" i="25"/>
  <c r="AA97" i="25"/>
  <c r="AF97" i="25"/>
  <c r="AA98" i="25"/>
  <c r="AF98" i="25"/>
  <c r="AA99" i="25"/>
  <c r="AF99" i="25"/>
  <c r="AA100" i="25"/>
  <c r="AF100" i="25"/>
  <c r="AA101" i="25"/>
  <c r="AF101" i="25"/>
  <c r="AF102" i="25"/>
  <c r="AA103" i="25"/>
  <c r="AF103" i="25"/>
  <c r="AA104" i="25"/>
  <c r="AF104" i="25"/>
  <c r="AA105" i="25"/>
  <c r="AF105" i="25"/>
  <c r="AA106" i="25"/>
  <c r="AF106" i="25"/>
  <c r="AA107" i="25"/>
  <c r="AF107" i="25"/>
  <c r="AA108" i="25"/>
  <c r="AF108" i="25"/>
  <c r="AA109" i="25"/>
  <c r="AF109" i="25"/>
  <c r="AA110" i="25"/>
  <c r="AF110" i="25"/>
  <c r="AA111" i="25"/>
  <c r="AF111" i="25"/>
  <c r="AA112" i="25"/>
  <c r="AF112" i="25"/>
  <c r="AA113" i="25"/>
  <c r="AF113" i="25"/>
  <c r="AF114" i="25"/>
  <c r="AA115" i="25"/>
  <c r="AF115" i="25"/>
  <c r="AA116" i="25"/>
  <c r="AF116" i="25"/>
  <c r="AA117" i="25"/>
  <c r="AF117" i="25"/>
  <c r="AA118" i="25"/>
  <c r="AF118" i="25"/>
  <c r="AA119" i="25"/>
  <c r="AF119" i="25"/>
  <c r="AA120" i="25"/>
  <c r="AF120" i="25"/>
  <c r="AA121" i="25"/>
  <c r="AF121" i="25"/>
  <c r="AA122" i="25"/>
  <c r="AF122" i="25"/>
  <c r="AA123" i="25"/>
  <c r="AF123" i="25"/>
  <c r="J4" i="25"/>
  <c r="K17" i="25"/>
  <c r="G4" i="25"/>
  <c r="H4" i="25"/>
  <c r="I4" i="25"/>
  <c r="J17" i="25"/>
  <c r="H17" i="25"/>
  <c r="L17" i="25"/>
  <c r="AE78" i="25"/>
  <c r="AE86" i="25"/>
  <c r="AE106" i="25"/>
  <c r="J5" i="25"/>
  <c r="K18" i="25"/>
  <c r="G5" i="25"/>
  <c r="H5" i="25"/>
  <c r="I5" i="25"/>
  <c r="J18" i="25"/>
  <c r="H18" i="25"/>
  <c r="L18" i="25"/>
  <c r="AE70" i="25"/>
  <c r="AE94" i="25"/>
  <c r="AE74" i="25"/>
  <c r="J6" i="25"/>
  <c r="K19" i="25"/>
  <c r="G6" i="25"/>
  <c r="H6" i="25"/>
  <c r="I6" i="25"/>
  <c r="J19" i="25"/>
  <c r="H19" i="25"/>
  <c r="L19" i="25"/>
  <c r="AE98" i="25"/>
  <c r="AE122" i="25"/>
  <c r="J7" i="25"/>
  <c r="K20" i="25"/>
  <c r="G7" i="25"/>
  <c r="H7" i="25"/>
  <c r="I7" i="25"/>
  <c r="J20" i="25"/>
  <c r="H20" i="25"/>
  <c r="L20" i="25"/>
  <c r="AE110" i="25"/>
  <c r="J8" i="25"/>
  <c r="K21" i="25"/>
  <c r="G8" i="25"/>
  <c r="H8" i="25"/>
  <c r="I8" i="25"/>
  <c r="J21" i="25"/>
  <c r="H21" i="25"/>
  <c r="L21" i="25"/>
  <c r="AE104" i="25"/>
  <c r="AE105" i="25"/>
  <c r="AE107" i="25"/>
  <c r="AE64" i="25"/>
  <c r="AE65" i="25"/>
  <c r="AE67" i="25"/>
  <c r="AE68" i="25"/>
  <c r="AE69" i="25"/>
  <c r="AE71" i="25"/>
  <c r="AE72" i="25"/>
  <c r="AE73" i="25"/>
  <c r="AE75" i="25"/>
  <c r="AE76" i="25"/>
  <c r="AE77" i="25"/>
  <c r="AE79" i="25"/>
  <c r="AE80" i="25"/>
  <c r="AE81" i="25"/>
  <c r="AE83" i="25"/>
  <c r="AE84" i="25"/>
  <c r="AE85" i="25"/>
  <c r="AE87" i="25"/>
  <c r="AE88" i="25"/>
  <c r="AE89" i="25"/>
  <c r="AE91" i="25"/>
  <c r="AE92" i="25"/>
  <c r="AE93" i="25"/>
  <c r="AE95" i="25"/>
  <c r="AE96" i="25"/>
  <c r="AE97" i="25"/>
  <c r="AE99" i="25"/>
  <c r="AE100" i="25"/>
  <c r="AE101" i="25"/>
  <c r="AE103" i="25"/>
  <c r="AE108" i="25"/>
  <c r="AE109" i="25"/>
  <c r="AE111" i="25"/>
  <c r="AE112" i="25"/>
  <c r="AE113" i="25"/>
  <c r="AE115" i="25"/>
  <c r="AE116" i="25"/>
  <c r="AE117" i="25"/>
  <c r="AE118" i="25"/>
  <c r="AE119" i="25"/>
  <c r="AE120" i="25"/>
  <c r="AE121" i="25"/>
  <c r="AE123" i="25"/>
  <c r="J9" i="25"/>
  <c r="K22" i="25"/>
  <c r="G9" i="25"/>
  <c r="H9" i="25"/>
  <c r="I9" i="25"/>
  <c r="J22" i="25"/>
  <c r="H22" i="25"/>
  <c r="L22" i="25"/>
  <c r="J10" i="25"/>
  <c r="K23" i="25"/>
  <c r="G10" i="25"/>
  <c r="H10" i="25"/>
  <c r="I10" i="25"/>
  <c r="J23" i="25"/>
  <c r="H23" i="25"/>
  <c r="L23" i="25"/>
  <c r="J11" i="25"/>
  <c r="K24" i="25"/>
  <c r="G11" i="25"/>
  <c r="H11" i="25"/>
  <c r="I11" i="25"/>
  <c r="J24" i="25"/>
  <c r="H24" i="25"/>
  <c r="L24" i="25"/>
  <c r="J12" i="25"/>
  <c r="K25" i="25"/>
  <c r="G12" i="25"/>
  <c r="H12" i="25"/>
  <c r="I12" i="25"/>
  <c r="J25" i="25"/>
  <c r="H25" i="25"/>
  <c r="L25" i="25"/>
  <c r="M17" i="25"/>
  <c r="N17" i="25" a="1"/>
  <c r="N17" i="25"/>
  <c r="O17" i="25"/>
  <c r="E30" i="25" a="1"/>
  <c r="E30" i="25"/>
  <c r="F30" i="25" a="1"/>
  <c r="F30" i="25"/>
  <c r="G30" i="25" a="1"/>
  <c r="H30" i="25" a="1"/>
  <c r="I30" i="25" a="1"/>
  <c r="J30" i="25" a="1"/>
  <c r="K30" i="25" a="1"/>
  <c r="L30" i="25" a="1"/>
  <c r="P17" i="25"/>
  <c r="M30" i="25" a="1"/>
  <c r="N30" i="25" a="1"/>
  <c r="O30" i="25" a="1"/>
  <c r="P30" i="25" a="1"/>
  <c r="Q30" i="25" a="1"/>
  <c r="R30" i="25" a="1"/>
  <c r="S30" i="25" a="1"/>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E52" i="25" a="1"/>
  <c r="E52" i="25"/>
  <c r="F52" i="25" a="1"/>
  <c r="F52" i="25"/>
  <c r="G52" i="25" a="1"/>
  <c r="H52" i="25" a="1"/>
  <c r="I52" i="25" a="1"/>
  <c r="J52" i="25" a="1"/>
  <c r="K52" i="25" a="1"/>
  <c r="L52" i="25" a="1"/>
  <c r="M52" i="25" a="1"/>
  <c r="N52" i="25" a="1"/>
  <c r="O52" i="25" a="1"/>
  <c r="P52" i="25" a="1"/>
  <c r="Q52" i="25" a="1"/>
  <c r="R52" i="25" a="1"/>
  <c r="S52" i="25" a="1"/>
  <c r="T52" i="25" a="1"/>
  <c r="U52" i="25" a="1"/>
  <c r="V52" i="25" a="1"/>
  <c r="W52" i="25" a="1"/>
  <c r="X52" i="25" a="1"/>
  <c r="Y52" i="25" a="1"/>
  <c r="Z52" i="25" a="1"/>
  <c r="AA52" i="25" a="1"/>
  <c r="AB52" i="25" a="1"/>
  <c r="AC52" i="25" a="1"/>
  <c r="AD52" i="25" a="1"/>
  <c r="AE52" i="25" a="1"/>
  <c r="AF52" i="25" a="1"/>
  <c r="AG52" i="25" a="1"/>
  <c r="AH52" i="25" a="1"/>
  <c r="AI52" i="25" a="1"/>
  <c r="AJ52" i="25" a="1"/>
  <c r="AK52" i="25" a="1"/>
  <c r="AL52" i="25" a="1"/>
  <c r="AM52" i="25" a="1"/>
  <c r="AN52" i="25" a="1"/>
  <c r="AO52" i="25" a="1"/>
  <c r="AP52" i="25" a="1"/>
  <c r="AQ52" i="25" a="1"/>
  <c r="AR52" i="25" a="1"/>
  <c r="AS52" i="25" a="1"/>
  <c r="AT52" i="25" a="1"/>
  <c r="AU52" i="25" a="1"/>
  <c r="AV52" i="25" a="1"/>
  <c r="AW52" i="25" a="1"/>
  <c r="AX52" i="25" a="1"/>
  <c r="AY52" i="25" a="1"/>
  <c r="AZ52" i="25" a="1"/>
  <c r="BA52" i="25" a="1"/>
  <c r="BB52" i="25" a="1"/>
  <c r="BC52" i="25" a="1"/>
  <c r="BD52" i="25" a="1"/>
  <c r="BE52" i="25" a="1"/>
  <c r="BF52" i="25" a="1"/>
  <c r="BG52" i="25" a="1"/>
  <c r="BH52" i="25" a="1"/>
  <c r="BI52" i="25" a="1"/>
  <c r="BJ52" i="25" a="1"/>
  <c r="BK52" i="25" a="1"/>
  <c r="BL52" i="25" a="1"/>
  <c r="BM52" i="25" a="1"/>
  <c r="BN52" i="25" a="1"/>
  <c r="BO52" i="25" a="1"/>
  <c r="BP52" i="25" a="1"/>
  <c r="G52" i="25"/>
  <c r="H52" i="25"/>
  <c r="I52" i="25"/>
  <c r="J52" i="25"/>
  <c r="K52" i="25"/>
  <c r="L52" i="25"/>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AC17" i="25"/>
  <c r="W17" i="25"/>
  <c r="M18" i="25"/>
  <c r="N18" i="25" a="1"/>
  <c r="N18" i="25"/>
  <c r="O18" i="25"/>
  <c r="E31" i="25" a="1"/>
  <c r="E31" i="25"/>
  <c r="F31" i="25" a="1"/>
  <c r="F31" i="25"/>
  <c r="G31" i="25" a="1"/>
  <c r="H31" i="25" a="1"/>
  <c r="I31" i="25" a="1"/>
  <c r="J31" i="25" a="1"/>
  <c r="K31" i="25" a="1"/>
  <c r="L31" i="25" a="1"/>
  <c r="P18" i="25"/>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E53" i="25" a="1"/>
  <c r="E53" i="25"/>
  <c r="F53" i="25" a="1"/>
  <c r="F53" i="25"/>
  <c r="G53" i="25" a="1"/>
  <c r="H53" i="25" a="1"/>
  <c r="I53" i="25" a="1"/>
  <c r="J53" i="25" a="1"/>
  <c r="K53" i="25" a="1"/>
  <c r="L53" i="25" a="1"/>
  <c r="M53" i="25" a="1"/>
  <c r="N53" i="25" a="1"/>
  <c r="O53" i="25" a="1"/>
  <c r="P53" i="25" a="1"/>
  <c r="Q53" i="25" a="1"/>
  <c r="R53" i="25" a="1"/>
  <c r="S53" i="25" a="1"/>
  <c r="T53" i="25" a="1"/>
  <c r="U53" i="25" a="1"/>
  <c r="V53" i="25" a="1"/>
  <c r="W53" i="25" a="1"/>
  <c r="X53" i="25" a="1"/>
  <c r="Y53" i="25" a="1"/>
  <c r="Z53" i="25" a="1"/>
  <c r="AA53" i="25" a="1"/>
  <c r="AB53" i="25" a="1"/>
  <c r="AC53" i="25" a="1"/>
  <c r="AD53" i="25" a="1"/>
  <c r="AE53" i="25" a="1"/>
  <c r="AF53" i="25" a="1"/>
  <c r="AG53" i="25" a="1"/>
  <c r="AH53" i="25" a="1"/>
  <c r="AI53" i="25" a="1"/>
  <c r="AJ53" i="25" a="1"/>
  <c r="AK53" i="25" a="1"/>
  <c r="AL53" i="25" a="1"/>
  <c r="AM53" i="25" a="1"/>
  <c r="AN53" i="25" a="1"/>
  <c r="AO53" i="25" a="1"/>
  <c r="AP53" i="25" a="1"/>
  <c r="AQ53" i="25" a="1"/>
  <c r="AR53" i="25" a="1"/>
  <c r="AS53" i="25" a="1"/>
  <c r="AT53" i="25" a="1"/>
  <c r="AU53" i="25" a="1"/>
  <c r="AV53" i="25" a="1"/>
  <c r="AW53" i="25" a="1"/>
  <c r="AX53" i="25" a="1"/>
  <c r="AY53" i="25" a="1"/>
  <c r="AZ53" i="25" a="1"/>
  <c r="BA53" i="25" a="1"/>
  <c r="BB53" i="25" a="1"/>
  <c r="BC53" i="25" a="1"/>
  <c r="BD53" i="25" a="1"/>
  <c r="BE53" i="25" a="1"/>
  <c r="BF53" i="25" a="1"/>
  <c r="BG53" i="25" a="1"/>
  <c r="BH53" i="25" a="1"/>
  <c r="BI53" i="25" a="1"/>
  <c r="BJ53" i="25" a="1"/>
  <c r="BK53" i="25" a="1"/>
  <c r="BL53" i="25" a="1"/>
  <c r="BM53" i="25" a="1"/>
  <c r="BN53" i="25" a="1"/>
  <c r="BO53" i="25" a="1"/>
  <c r="BP53" i="25" a="1"/>
  <c r="G53" i="25"/>
  <c r="H53" i="25"/>
  <c r="I53" i="25"/>
  <c r="J53" i="25"/>
  <c r="K53" i="25"/>
  <c r="L53" i="25"/>
  <c r="M53" i="25"/>
  <c r="N53" i="25"/>
  <c r="O53" i="25"/>
  <c r="P53" i="25"/>
  <c r="Q53" i="25"/>
  <c r="R53" i="25"/>
  <c r="S53" i="25"/>
  <c r="T53" i="25"/>
  <c r="U53" i="25"/>
  <c r="V53" i="25"/>
  <c r="W53" i="25"/>
  <c r="X53" i="25"/>
  <c r="Y53" i="25"/>
  <c r="Z53" i="25"/>
  <c r="AA53" i="25"/>
  <c r="AB53" i="25"/>
  <c r="AC53" i="25"/>
  <c r="AD53" i="25"/>
  <c r="AE53" i="25"/>
  <c r="AF53" i="25"/>
  <c r="AG53" i="25"/>
  <c r="AH53" i="25"/>
  <c r="AI53" i="25"/>
  <c r="AJ53" i="25"/>
  <c r="AK53" i="25"/>
  <c r="AL53" i="25"/>
  <c r="AM53" i="25"/>
  <c r="AN53"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AC18" i="25"/>
  <c r="W18" i="25"/>
  <c r="M19" i="25"/>
  <c r="N19" i="25" a="1"/>
  <c r="N19" i="25"/>
  <c r="O19" i="25"/>
  <c r="E32" i="25" a="1"/>
  <c r="E32" i="25"/>
  <c r="F32" i="25" a="1"/>
  <c r="F32" i="25"/>
  <c r="G32" i="25" a="1"/>
  <c r="H32" i="25" a="1"/>
  <c r="I32" i="25" a="1"/>
  <c r="J32" i="25" a="1"/>
  <c r="K32" i="25" a="1"/>
  <c r="L32" i="25" a="1"/>
  <c r="P19" i="25"/>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E54" i="25" a="1"/>
  <c r="E54" i="25"/>
  <c r="F54" i="25" a="1"/>
  <c r="F54" i="25"/>
  <c r="G54" i="25" a="1"/>
  <c r="H54" i="25" a="1"/>
  <c r="I54" i="25" a="1"/>
  <c r="J54" i="25" a="1"/>
  <c r="K54" i="25" a="1"/>
  <c r="L54" i="25" a="1"/>
  <c r="M54" i="25" a="1"/>
  <c r="N54" i="25" a="1"/>
  <c r="O54" i="25" a="1"/>
  <c r="P54" i="25" a="1"/>
  <c r="Q54" i="25" a="1"/>
  <c r="R54" i="25" a="1"/>
  <c r="S54" i="25" a="1"/>
  <c r="T54" i="25" a="1"/>
  <c r="U54" i="25" a="1"/>
  <c r="V54" i="25" a="1"/>
  <c r="W54" i="25" a="1"/>
  <c r="X54" i="25" a="1"/>
  <c r="Y54" i="25" a="1"/>
  <c r="Z54" i="25" a="1"/>
  <c r="AA54" i="25" a="1"/>
  <c r="AB54" i="25" a="1"/>
  <c r="AC54" i="25" a="1"/>
  <c r="AD54" i="25" a="1"/>
  <c r="AE54" i="25" a="1"/>
  <c r="AF54" i="25" a="1"/>
  <c r="AG54" i="25" a="1"/>
  <c r="AH54" i="25" a="1"/>
  <c r="AI54" i="25" a="1"/>
  <c r="AJ54" i="25" a="1"/>
  <c r="AK54" i="25" a="1"/>
  <c r="AL54" i="25" a="1"/>
  <c r="AM54" i="25" a="1"/>
  <c r="AN54" i="25" a="1"/>
  <c r="AO54" i="25" a="1"/>
  <c r="AP54" i="25" a="1"/>
  <c r="AQ54" i="25" a="1"/>
  <c r="AR54" i="25" a="1"/>
  <c r="AS54" i="25" a="1"/>
  <c r="AT54" i="25" a="1"/>
  <c r="AU54" i="25" a="1"/>
  <c r="AV54" i="25" a="1"/>
  <c r="AW54" i="25" a="1"/>
  <c r="AX54" i="25" a="1"/>
  <c r="AY54" i="25" a="1"/>
  <c r="AZ54" i="25" a="1"/>
  <c r="BA54" i="25" a="1"/>
  <c r="BB54" i="25" a="1"/>
  <c r="BC54" i="25" a="1"/>
  <c r="BD54" i="25" a="1"/>
  <c r="BE54" i="25" a="1"/>
  <c r="BF54" i="25" a="1"/>
  <c r="BG54" i="25" a="1"/>
  <c r="BH54" i="25" a="1"/>
  <c r="BI54" i="25" a="1"/>
  <c r="BJ54" i="25" a="1"/>
  <c r="BK54" i="25" a="1"/>
  <c r="BL54" i="25" a="1"/>
  <c r="BM54" i="25" a="1"/>
  <c r="BN54" i="25" a="1"/>
  <c r="BO54" i="25" a="1"/>
  <c r="BP54" i="25" a="1"/>
  <c r="G54" i="25"/>
  <c r="H54" i="25"/>
  <c r="I54" i="25"/>
  <c r="J54" i="25"/>
  <c r="K54" i="25"/>
  <c r="L54" i="25"/>
  <c r="M54" i="25"/>
  <c r="N54" i="25"/>
  <c r="O54" i="25"/>
  <c r="P54" i="25"/>
  <c r="Q54" i="25"/>
  <c r="R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AC19" i="25"/>
  <c r="W19" i="25"/>
  <c r="M20" i="25"/>
  <c r="N20" i="25" a="1"/>
  <c r="N20" i="25"/>
  <c r="O20" i="25"/>
  <c r="E33" i="25" a="1"/>
  <c r="E33" i="25"/>
  <c r="F33" i="25" a="1"/>
  <c r="F33" i="25"/>
  <c r="G33" i="25" a="1"/>
  <c r="H33" i="25" a="1"/>
  <c r="I33" i="25" a="1"/>
  <c r="J33" i="25" a="1"/>
  <c r="K33" i="25" a="1"/>
  <c r="L33" i="25" a="1"/>
  <c r="P20" i="25"/>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E55" i="25" a="1"/>
  <c r="E55" i="25"/>
  <c r="F55" i="25" a="1"/>
  <c r="F55" i="25"/>
  <c r="G55" i="25" a="1"/>
  <c r="H55" i="25" a="1"/>
  <c r="I55" i="25" a="1"/>
  <c r="J55" i="25" a="1"/>
  <c r="K55" i="25" a="1"/>
  <c r="L55" i="25" a="1"/>
  <c r="M55" i="25" a="1"/>
  <c r="N55" i="25" a="1"/>
  <c r="O55" i="25" a="1"/>
  <c r="P55" i="25" a="1"/>
  <c r="Q55" i="25" a="1"/>
  <c r="R55" i="25" a="1"/>
  <c r="S55" i="25" a="1"/>
  <c r="T55" i="25" a="1"/>
  <c r="U55" i="25" a="1"/>
  <c r="V55" i="25" a="1"/>
  <c r="W55" i="25" a="1"/>
  <c r="X55" i="25" a="1"/>
  <c r="Y55" i="25" a="1"/>
  <c r="Z55" i="25" a="1"/>
  <c r="AA55" i="25" a="1"/>
  <c r="AB55" i="25" a="1"/>
  <c r="AC55" i="25" a="1"/>
  <c r="AD55" i="25" a="1"/>
  <c r="AE55" i="25" a="1"/>
  <c r="AF55" i="25" a="1"/>
  <c r="AG55" i="25" a="1"/>
  <c r="AH55" i="25" a="1"/>
  <c r="AI55" i="25" a="1"/>
  <c r="AJ55" i="25" a="1"/>
  <c r="AK55" i="25" a="1"/>
  <c r="AL55" i="25" a="1"/>
  <c r="AM55" i="25" a="1"/>
  <c r="AN55" i="25" a="1"/>
  <c r="AO55" i="25" a="1"/>
  <c r="AP55" i="25" a="1"/>
  <c r="AQ55" i="25" a="1"/>
  <c r="AR55" i="25" a="1"/>
  <c r="AS55" i="25" a="1"/>
  <c r="AT55" i="25" a="1"/>
  <c r="AU55" i="25" a="1"/>
  <c r="AV55" i="25" a="1"/>
  <c r="AW55" i="25" a="1"/>
  <c r="AX55" i="25" a="1"/>
  <c r="AY55" i="25" a="1"/>
  <c r="AZ55" i="25" a="1"/>
  <c r="BA55" i="25" a="1"/>
  <c r="BB55" i="25" a="1"/>
  <c r="BC55" i="25" a="1"/>
  <c r="BD55" i="25" a="1"/>
  <c r="BE55" i="25" a="1"/>
  <c r="BF55" i="25" a="1"/>
  <c r="BG55" i="25" a="1"/>
  <c r="BH55" i="25" a="1"/>
  <c r="BI55" i="25" a="1"/>
  <c r="BJ55" i="25" a="1"/>
  <c r="BK55" i="25" a="1"/>
  <c r="BL55" i="25" a="1"/>
  <c r="BM55" i="25" a="1"/>
  <c r="BN55" i="25" a="1"/>
  <c r="BO55" i="25" a="1"/>
  <c r="BP55" i="25" a="1"/>
  <c r="G55" i="25"/>
  <c r="H55" i="25"/>
  <c r="I55" i="25"/>
  <c r="J55" i="25"/>
  <c r="K55" i="25"/>
  <c r="L55" i="25"/>
  <c r="M55" i="25"/>
  <c r="N55" i="25"/>
  <c r="O55" i="25"/>
  <c r="P55" i="25"/>
  <c r="Q55" i="25"/>
  <c r="R55" i="25"/>
  <c r="S55" i="25"/>
  <c r="T55" i="25"/>
  <c r="U55" i="25"/>
  <c r="V55" i="25"/>
  <c r="W55" i="25"/>
  <c r="X55" i="25"/>
  <c r="Y55" i="25"/>
  <c r="Z55" i="25"/>
  <c r="AA55" i="25"/>
  <c r="AB55" i="25"/>
  <c r="AC55" i="25"/>
  <c r="AD55" i="25"/>
  <c r="AE55" i="25"/>
  <c r="AF55" i="25"/>
  <c r="AG55" i="25"/>
  <c r="AH55" i="25"/>
  <c r="AI55" i="25"/>
  <c r="AJ55" i="25"/>
  <c r="AK55" i="25"/>
  <c r="AL55" i="25"/>
  <c r="AM55" i="25"/>
  <c r="AN55"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AC20" i="25"/>
  <c r="W20" i="25"/>
  <c r="M21" i="25"/>
  <c r="N21" i="25" a="1"/>
  <c r="N21" i="25"/>
  <c r="O21" i="25"/>
  <c r="E34" i="25" a="1"/>
  <c r="E34" i="25"/>
  <c r="F34" i="25" a="1"/>
  <c r="F34" i="25"/>
  <c r="G34" i="25" a="1"/>
  <c r="H34" i="25" a="1"/>
  <c r="I34" i="25" a="1"/>
  <c r="J34" i="25" a="1"/>
  <c r="K34" i="25" a="1"/>
  <c r="L34" i="25" a="1"/>
  <c r="P21" i="25"/>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W21" i="25"/>
  <c r="M22" i="25"/>
  <c r="N22" i="25" a="1"/>
  <c r="N22" i="25"/>
  <c r="O22" i="25"/>
  <c r="BT52" i="25"/>
  <c r="BU52" i="25"/>
  <c r="BV52" i="25"/>
  <c r="BW52" i="25"/>
  <c r="BX51"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R57"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C22" i="25"/>
  <c r="E35" i="25" a="1"/>
  <c r="E35" i="25"/>
  <c r="F35" i="25" a="1"/>
  <c r="F35" i="25"/>
  <c r="G35" i="25" a="1"/>
  <c r="H35" i="25" a="1"/>
  <c r="I35" i="25" a="1"/>
  <c r="M23" i="25"/>
  <c r="N23" i="25" a="1"/>
  <c r="N23" i="25"/>
  <c r="O23" i="25"/>
  <c r="J35" i="25" a="1"/>
  <c r="M24" i="25"/>
  <c r="N24" i="25" a="1"/>
  <c r="N24" i="25"/>
  <c r="O24" i="25"/>
  <c r="K35" i="25" a="1"/>
  <c r="M25" i="25"/>
  <c r="N25" i="25" a="1"/>
  <c r="N25" i="25"/>
  <c r="O25" i="25"/>
  <c r="L35" i="25" a="1"/>
  <c r="P22" i="25"/>
  <c r="M35" i="25" a="1"/>
  <c r="N35" i="25" a="1"/>
  <c r="O35" i="25" a="1"/>
  <c r="P35" i="25" a="1"/>
  <c r="Q35" i="25" a="1"/>
  <c r="P23" i="25"/>
  <c r="R35" i="25" a="1"/>
  <c r="P24" i="25"/>
  <c r="S35" i="25" a="1"/>
  <c r="P25" i="25"/>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BT30" i="25"/>
  <c r="BS31" i="25"/>
  <c r="BT41" i="25"/>
  <c r="BU30" i="25"/>
  <c r="BS32" i="25"/>
  <c r="BU41" i="25"/>
  <c r="BV30" i="25"/>
  <c r="BS33" i="25"/>
  <c r="BV41" i="25"/>
  <c r="BW30" i="25"/>
  <c r="BS34" i="25"/>
  <c r="BW41" i="25"/>
  <c r="BX29" i="25"/>
  <c r="BX30" i="25"/>
  <c r="BR35" i="25"/>
  <c r="BS35" i="25"/>
  <c r="BX41" i="25"/>
  <c r="BY30" i="25"/>
  <c r="BS36" i="25"/>
  <c r="BY41" i="25"/>
  <c r="BZ30" i="25"/>
  <c r="BS37" i="25"/>
  <c r="BZ41" i="25"/>
  <c r="CA30" i="25"/>
  <c r="BS38" i="25"/>
  <c r="CA41" i="25"/>
  <c r="BS42" i="25"/>
  <c r="BU31" i="25"/>
  <c r="BT32" i="25"/>
  <c r="BU42" i="25"/>
  <c r="BV31" i="25"/>
  <c r="BT33" i="25"/>
  <c r="BV42" i="25"/>
  <c r="BW31" i="25"/>
  <c r="BT34" i="25"/>
  <c r="BW42" i="25"/>
  <c r="BX31" i="25"/>
  <c r="BT35" i="25"/>
  <c r="BX42" i="25"/>
  <c r="BY31" i="25"/>
  <c r="BT36" i="25"/>
  <c r="BY42" i="25"/>
  <c r="BZ31" i="25"/>
  <c r="BT37" i="25"/>
  <c r="BZ42" i="25"/>
  <c r="CA31" i="25"/>
  <c r="BT38" i="25"/>
  <c r="CA42" i="25"/>
  <c r="BS43" i="25"/>
  <c r="BT43" i="25"/>
  <c r="BV32" i="25"/>
  <c r="BU33" i="25"/>
  <c r="BV43" i="25"/>
  <c r="BW32" i="25"/>
  <c r="BU34" i="25"/>
  <c r="BW43" i="25"/>
  <c r="BX32" i="25"/>
  <c r="BU35" i="25"/>
  <c r="BX43" i="25"/>
  <c r="BY32" i="25"/>
  <c r="BU36" i="25"/>
  <c r="BY43" i="25"/>
  <c r="BZ32" i="25"/>
  <c r="BU37" i="25"/>
  <c r="BZ43" i="25"/>
  <c r="CA32" i="25"/>
  <c r="BU38" i="25"/>
  <c r="CA43" i="25"/>
  <c r="BS44" i="25"/>
  <c r="BT44" i="25"/>
  <c r="BU44" i="25"/>
  <c r="BW33"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BX40" i="25"/>
  <c r="BR46"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W22" i="25"/>
  <c r="X17" i="25"/>
  <c r="X18" i="25"/>
  <c r="X19" i="25"/>
  <c r="X20" i="25"/>
  <c r="X21" i="25"/>
  <c r="X22" i="25"/>
  <c r="X23" i="25"/>
  <c r="X24" i="25"/>
  <c r="X25" i="25"/>
  <c r="E4" i="25"/>
  <c r="D4" i="25"/>
  <c r="E5" i="25"/>
  <c r="D5" i="25"/>
  <c r="E6" i="25"/>
  <c r="D6" i="25"/>
  <c r="E7" i="25"/>
  <c r="D7" i="25"/>
  <c r="E8" i="25"/>
  <c r="D8" i="25"/>
  <c r="E9" i="25"/>
  <c r="D9" i="25"/>
  <c r="E10" i="25"/>
  <c r="D10" i="25"/>
  <c r="E11" i="25"/>
  <c r="D11" i="25"/>
  <c r="E12" i="25"/>
  <c r="D12" i="25"/>
  <c r="C4" i="25"/>
  <c r="C5" i="25"/>
  <c r="C6" i="25"/>
  <c r="L4" i="25"/>
  <c r="M4" i="25"/>
  <c r="N4" i="25"/>
  <c r="L5" i="25"/>
  <c r="M5" i="25"/>
  <c r="N5" i="25"/>
  <c r="L6" i="25"/>
  <c r="M6" i="25"/>
  <c r="N6" i="25"/>
  <c r="C7" i="25"/>
  <c r="L7" i="25"/>
  <c r="M7" i="25"/>
  <c r="N7" i="25"/>
  <c r="C8" i="25"/>
  <c r="L8" i="25"/>
  <c r="M8" i="25"/>
  <c r="N8" i="25"/>
  <c r="C9" i="25"/>
  <c r="L9" i="25"/>
  <c r="M9" i="25"/>
  <c r="N9" i="25"/>
  <c r="C10" i="25"/>
  <c r="L10" i="25"/>
  <c r="M10" i="25"/>
  <c r="N10" i="25"/>
  <c r="C11" i="25"/>
  <c r="L11" i="25"/>
  <c r="M11" i="25"/>
  <c r="N11" i="25"/>
  <c r="C12" i="25"/>
  <c r="L12" i="25"/>
  <c r="M12" i="25"/>
  <c r="N12" i="25"/>
  <c r="N37" i="6"/>
  <c r="N36" i="6"/>
  <c r="N17" i="6"/>
  <c r="V64" i="17"/>
  <c r="W64" i="17"/>
  <c r="X64" i="17"/>
  <c r="V65" i="17"/>
  <c r="W65" i="17"/>
  <c r="X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W66" i="17"/>
  <c r="X66" i="17"/>
  <c r="W67" i="17"/>
  <c r="X67" i="17"/>
  <c r="W68" i="17"/>
  <c r="X68" i="17"/>
  <c r="W69" i="17"/>
  <c r="X69" i="17"/>
  <c r="W70" i="17"/>
  <c r="X70" i="17"/>
  <c r="W71" i="17"/>
  <c r="X71" i="17"/>
  <c r="W72" i="17"/>
  <c r="X72" i="17"/>
  <c r="W73" i="17"/>
  <c r="X73" i="17"/>
  <c r="W74" i="17"/>
  <c r="X74" i="17"/>
  <c r="W75" i="17"/>
  <c r="X75" i="17"/>
  <c r="W76" i="17"/>
  <c r="X76" i="17"/>
  <c r="W77" i="17"/>
  <c r="X77" i="17"/>
  <c r="W78" i="17"/>
  <c r="X78" i="17"/>
  <c r="W79" i="17"/>
  <c r="X79" i="17"/>
  <c r="W80" i="17"/>
  <c r="X80" i="17"/>
  <c r="W81" i="17"/>
  <c r="X81" i="17"/>
  <c r="W82" i="17"/>
  <c r="X82" i="17"/>
  <c r="W83" i="17"/>
  <c r="X83" i="17"/>
  <c r="W84" i="17"/>
  <c r="X84" i="17"/>
  <c r="W85" i="17"/>
  <c r="X85" i="17"/>
  <c r="W86" i="17"/>
  <c r="X86" i="17"/>
  <c r="W87" i="17"/>
  <c r="X87" i="17"/>
  <c r="W88" i="17"/>
  <c r="X88" i="17"/>
  <c r="W89" i="17"/>
  <c r="X89" i="17"/>
  <c r="W90" i="17"/>
  <c r="X90" i="17"/>
  <c r="W91" i="17"/>
  <c r="X91" i="17"/>
  <c r="W92" i="17"/>
  <c r="X92" i="17"/>
  <c r="W93" i="17"/>
  <c r="X93" i="17"/>
  <c r="W94" i="17"/>
  <c r="X94" i="17"/>
  <c r="W95" i="17"/>
  <c r="X95" i="17"/>
  <c r="W96" i="17"/>
  <c r="X96" i="17"/>
  <c r="W97" i="17"/>
  <c r="X97" i="17"/>
  <c r="W98" i="17"/>
  <c r="X98" i="17"/>
  <c r="W99" i="17"/>
  <c r="X99" i="17"/>
  <c r="W100" i="17"/>
  <c r="X100" i="17"/>
  <c r="W101" i="17"/>
  <c r="X101" i="17"/>
  <c r="W102" i="17"/>
  <c r="X102" i="17"/>
  <c r="W103" i="17"/>
  <c r="X103" i="17"/>
  <c r="W104" i="17"/>
  <c r="X104" i="17"/>
  <c r="W105" i="17"/>
  <c r="X105" i="17"/>
  <c r="W106" i="17"/>
  <c r="X106" i="17"/>
  <c r="W107" i="17"/>
  <c r="X107" i="17"/>
  <c r="W108" i="17"/>
  <c r="X108" i="17"/>
  <c r="W109" i="17"/>
  <c r="X109" i="17"/>
  <c r="W110" i="17"/>
  <c r="X110" i="17"/>
  <c r="W111" i="17"/>
  <c r="X111" i="17"/>
  <c r="W112" i="17"/>
  <c r="X112" i="17"/>
  <c r="W113" i="17"/>
  <c r="X113" i="17"/>
  <c r="W114" i="17"/>
  <c r="X114" i="17"/>
  <c r="W115" i="17"/>
  <c r="X115" i="17"/>
  <c r="W116" i="17"/>
  <c r="X116" i="17"/>
  <c r="W117" i="17"/>
  <c r="X117" i="17"/>
  <c r="W118" i="17"/>
  <c r="X118" i="17"/>
  <c r="W119" i="17"/>
  <c r="X119" i="17"/>
  <c r="W120" i="17"/>
  <c r="X120" i="17"/>
  <c r="W121" i="17"/>
  <c r="X121" i="17"/>
  <c r="W122" i="17"/>
  <c r="X122" i="17"/>
  <c r="W123" i="17"/>
  <c r="X12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Y109" i="17"/>
  <c r="Y110" i="17"/>
  <c r="Y111" i="17"/>
  <c r="Y112" i="17"/>
  <c r="Y113" i="17"/>
  <c r="Y114" i="17"/>
  <c r="Y115" i="17"/>
  <c r="Y116" i="17"/>
  <c r="Y117" i="17"/>
  <c r="Y118" i="17"/>
  <c r="Y119" i="17"/>
  <c r="Y120" i="17"/>
  <c r="Y121" i="17"/>
  <c r="Y122" i="17"/>
  <c r="Y123" i="17"/>
  <c r="K4" i="17"/>
  <c r="K5" i="17"/>
  <c r="K6" i="17"/>
  <c r="K7" i="17"/>
  <c r="K8" i="17"/>
  <c r="K9" i="17"/>
  <c r="K10" i="17"/>
  <c r="K11" i="17"/>
  <c r="K12" i="17"/>
  <c r="K13" i="17"/>
  <c r="AA81" i="17"/>
  <c r="AE81" i="17"/>
  <c r="AA101" i="17"/>
  <c r="AE101" i="17"/>
  <c r="AA73" i="17"/>
  <c r="AF73" i="17"/>
  <c r="AA93" i="17"/>
  <c r="AF93" i="17"/>
  <c r="AA65" i="17"/>
  <c r="AE65" i="17"/>
  <c r="AA89" i="17"/>
  <c r="AE89" i="17"/>
  <c r="AA113" i="17"/>
  <c r="AE113" i="17"/>
  <c r="AA77" i="17"/>
  <c r="AF77" i="17"/>
  <c r="AA64" i="17"/>
  <c r="AF64" i="17"/>
  <c r="AF65" i="17"/>
  <c r="AA66" i="17"/>
  <c r="AF66" i="17"/>
  <c r="AA67" i="17"/>
  <c r="AF67" i="17"/>
  <c r="AA68" i="17"/>
  <c r="AF68" i="17"/>
  <c r="AA69" i="17"/>
  <c r="AF69" i="17"/>
  <c r="AA70" i="17"/>
  <c r="AF70" i="17"/>
  <c r="AA71" i="17"/>
  <c r="AF71" i="17"/>
  <c r="AA72" i="17"/>
  <c r="AF72" i="17"/>
  <c r="AA74" i="17"/>
  <c r="AF74" i="17"/>
  <c r="AA75" i="17"/>
  <c r="AF75" i="17"/>
  <c r="AA76" i="17"/>
  <c r="AF76" i="17"/>
  <c r="AA78" i="17"/>
  <c r="AF78" i="17"/>
  <c r="AA79" i="17"/>
  <c r="AF79" i="17"/>
  <c r="AA80" i="17"/>
  <c r="AF80" i="17"/>
  <c r="AF81" i="17"/>
  <c r="AA82" i="17"/>
  <c r="AF82" i="17"/>
  <c r="AA83" i="17"/>
  <c r="AF83" i="17"/>
  <c r="AA84" i="17"/>
  <c r="AF84" i="17"/>
  <c r="AA85" i="17"/>
  <c r="AF85" i="17"/>
  <c r="AA86" i="17"/>
  <c r="AF86" i="17"/>
  <c r="AA87" i="17"/>
  <c r="AF87" i="17"/>
  <c r="AA88" i="17"/>
  <c r="AF88" i="17"/>
  <c r="AF89" i="17"/>
  <c r="AA90" i="17"/>
  <c r="AF90" i="17"/>
  <c r="AA91" i="17"/>
  <c r="AF91" i="17"/>
  <c r="AA92" i="17"/>
  <c r="AF92" i="17"/>
  <c r="AA94" i="17"/>
  <c r="AF94" i="17"/>
  <c r="AA95" i="17"/>
  <c r="AF95" i="17"/>
  <c r="AA96" i="17"/>
  <c r="AF96" i="17"/>
  <c r="AA97" i="17"/>
  <c r="AF97" i="17"/>
  <c r="AA98" i="17"/>
  <c r="AF98" i="17"/>
  <c r="AA99" i="17"/>
  <c r="AF99" i="17"/>
  <c r="AA100" i="17"/>
  <c r="AF100" i="17"/>
  <c r="AF101" i="17"/>
  <c r="AA102" i="17"/>
  <c r="AF102" i="17"/>
  <c r="AA103" i="17"/>
  <c r="AF103" i="17"/>
  <c r="AA104" i="17"/>
  <c r="AF104" i="17"/>
  <c r="AA105" i="17"/>
  <c r="AF105" i="17"/>
  <c r="AA106" i="17"/>
  <c r="AF106" i="17"/>
  <c r="AA107" i="17"/>
  <c r="AF107" i="17"/>
  <c r="AA108" i="17"/>
  <c r="AF108" i="17"/>
  <c r="AA109" i="17"/>
  <c r="AF109" i="17"/>
  <c r="AA110" i="17"/>
  <c r="AF110" i="17"/>
  <c r="AA111" i="17"/>
  <c r="AF111" i="17"/>
  <c r="AA112" i="17"/>
  <c r="AF112" i="17"/>
  <c r="AF113" i="17"/>
  <c r="AA114" i="17"/>
  <c r="AF114" i="17"/>
  <c r="AA115" i="17"/>
  <c r="AF115" i="17"/>
  <c r="AA116" i="17"/>
  <c r="AF116" i="17"/>
  <c r="AA117" i="17"/>
  <c r="AF117" i="17"/>
  <c r="AA118" i="17"/>
  <c r="AF118" i="17"/>
  <c r="AA119" i="17"/>
  <c r="AF119" i="17"/>
  <c r="AA120" i="17"/>
  <c r="AF120" i="17"/>
  <c r="AA121" i="17"/>
  <c r="AF121" i="17"/>
  <c r="AA122" i="17"/>
  <c r="AF122" i="17"/>
  <c r="AA123" i="17"/>
  <c r="AF123" i="17"/>
  <c r="J4" i="17"/>
  <c r="K17" i="17"/>
  <c r="G4" i="17"/>
  <c r="H4" i="17"/>
  <c r="I4" i="17"/>
  <c r="J17" i="17"/>
  <c r="H17" i="17"/>
  <c r="L17" i="17"/>
  <c r="AE77" i="17"/>
  <c r="AE85" i="17"/>
  <c r="AE105" i="17"/>
  <c r="J5" i="17"/>
  <c r="K18" i="17"/>
  <c r="G5" i="17"/>
  <c r="H5" i="17"/>
  <c r="I5" i="17"/>
  <c r="J18" i="17"/>
  <c r="H18" i="17"/>
  <c r="L18" i="17"/>
  <c r="AE69" i="17"/>
  <c r="AE93" i="17"/>
  <c r="AE73" i="17"/>
  <c r="J6" i="17"/>
  <c r="K19" i="17"/>
  <c r="G6" i="17"/>
  <c r="H6" i="17"/>
  <c r="I6" i="17"/>
  <c r="J19" i="17"/>
  <c r="H19" i="17"/>
  <c r="L19" i="17"/>
  <c r="AE97" i="17"/>
  <c r="AE121" i="17"/>
  <c r="J7" i="17"/>
  <c r="K20" i="17"/>
  <c r="G7" i="17"/>
  <c r="H7" i="17"/>
  <c r="I7" i="17"/>
  <c r="J20" i="17"/>
  <c r="H20" i="17"/>
  <c r="L20" i="17"/>
  <c r="AE109" i="17"/>
  <c r="J8" i="17"/>
  <c r="K21" i="17"/>
  <c r="G8" i="17"/>
  <c r="H8" i="17"/>
  <c r="I8" i="17"/>
  <c r="J21" i="17"/>
  <c r="H21" i="17"/>
  <c r="L21" i="17"/>
  <c r="AE104" i="17"/>
  <c r="AE106" i="17"/>
  <c r="AE107" i="17"/>
  <c r="AE64" i="17"/>
  <c r="AE66" i="17"/>
  <c r="AE67" i="17"/>
  <c r="AE68" i="17"/>
  <c r="AE70" i="17"/>
  <c r="AE71" i="17"/>
  <c r="AE72" i="17"/>
  <c r="AE74" i="17"/>
  <c r="AE75" i="17"/>
  <c r="AE76" i="17"/>
  <c r="AE78" i="17"/>
  <c r="AE79" i="17"/>
  <c r="AE80" i="17"/>
  <c r="AE82" i="17"/>
  <c r="AE83" i="17"/>
  <c r="AE84" i="17"/>
  <c r="AE86" i="17"/>
  <c r="AE87" i="17"/>
  <c r="AE88" i="17"/>
  <c r="AE90" i="17"/>
  <c r="AE91" i="17"/>
  <c r="AE92" i="17"/>
  <c r="AE94" i="17"/>
  <c r="AE95" i="17"/>
  <c r="AE96" i="17"/>
  <c r="AE98" i="17"/>
  <c r="AE99" i="17"/>
  <c r="AE100" i="17"/>
  <c r="AE102" i="17"/>
  <c r="AE103" i="17"/>
  <c r="AE108" i="17"/>
  <c r="AE110" i="17"/>
  <c r="AE111" i="17"/>
  <c r="AE112" i="17"/>
  <c r="AE114" i="17"/>
  <c r="AE115" i="17"/>
  <c r="AE116" i="17"/>
  <c r="AE117" i="17"/>
  <c r="AE118" i="17"/>
  <c r="AE119" i="17"/>
  <c r="AE120" i="17"/>
  <c r="AE122" i="17"/>
  <c r="AE123" i="17"/>
  <c r="J9" i="17"/>
  <c r="K22" i="17"/>
  <c r="G9" i="17"/>
  <c r="H9" i="17"/>
  <c r="I9" i="17"/>
  <c r="J22" i="17"/>
  <c r="H22" i="17"/>
  <c r="L22" i="17"/>
  <c r="J10" i="17"/>
  <c r="K23" i="17"/>
  <c r="G10" i="17"/>
  <c r="H10" i="17"/>
  <c r="I10" i="17"/>
  <c r="J23" i="17"/>
  <c r="H23" i="17"/>
  <c r="L23" i="17"/>
  <c r="J11" i="17"/>
  <c r="K24" i="17"/>
  <c r="G11" i="17"/>
  <c r="H11" i="17"/>
  <c r="I11" i="17"/>
  <c r="J24" i="17"/>
  <c r="H24" i="17"/>
  <c r="L24" i="17"/>
  <c r="J12" i="17"/>
  <c r="K25" i="17"/>
  <c r="G12" i="17"/>
  <c r="H12" i="17"/>
  <c r="I12" i="17"/>
  <c r="J25" i="17"/>
  <c r="H25"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M22" i="17"/>
  <c r="N22" i="17" a="1"/>
  <c r="N22" i="17"/>
  <c r="O22" i="17"/>
  <c r="BT52" i="17"/>
  <c r="BU52" i="17"/>
  <c r="BV52" i="17"/>
  <c r="BW52" i="17"/>
  <c r="BX51"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R57"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C22"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29" i="17"/>
  <c r="BX30" i="17"/>
  <c r="BR35"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BX40" i="17"/>
  <c r="BR46"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N26" i="6"/>
  <c r="V64" i="35"/>
  <c r="W64" i="35"/>
  <c r="X64" i="35"/>
  <c r="V65" i="35"/>
  <c r="W65" i="35"/>
  <c r="X65" i="35"/>
  <c r="V66" i="35"/>
  <c r="V67" i="35"/>
  <c r="V68" i="35"/>
  <c r="V69" i="35"/>
  <c r="V70" i="35"/>
  <c r="V71" i="35"/>
  <c r="V72" i="35"/>
  <c r="V73" i="35"/>
  <c r="V74" i="35"/>
  <c r="V75" i="35"/>
  <c r="V76" i="35"/>
  <c r="V77" i="35"/>
  <c r="V78" i="35"/>
  <c r="V79" i="35"/>
  <c r="V80" i="35"/>
  <c r="V81" i="35"/>
  <c r="V82" i="35"/>
  <c r="V83" i="35"/>
  <c r="V84" i="35"/>
  <c r="V85" i="35"/>
  <c r="V86" i="35"/>
  <c r="V87" i="35"/>
  <c r="V88" i="35"/>
  <c r="V89" i="35"/>
  <c r="V90" i="35"/>
  <c r="V91" i="35"/>
  <c r="V92" i="35"/>
  <c r="V93" i="35"/>
  <c r="V94" i="35"/>
  <c r="V95" i="35"/>
  <c r="V96" i="35"/>
  <c r="V97" i="35"/>
  <c r="V98" i="35"/>
  <c r="V99" i="35"/>
  <c r="V100" i="35"/>
  <c r="V101" i="35"/>
  <c r="V102" i="35"/>
  <c r="V103" i="35"/>
  <c r="V104" i="35"/>
  <c r="V105" i="35"/>
  <c r="V106" i="35"/>
  <c r="V107" i="35"/>
  <c r="V108" i="35"/>
  <c r="V109" i="35"/>
  <c r="V110" i="35"/>
  <c r="V111" i="35"/>
  <c r="V112" i="35"/>
  <c r="V113" i="35"/>
  <c r="V114" i="35"/>
  <c r="V115" i="35"/>
  <c r="V116" i="35"/>
  <c r="V117" i="35"/>
  <c r="V118" i="35"/>
  <c r="V119" i="35"/>
  <c r="V120" i="35"/>
  <c r="V121" i="35"/>
  <c r="V122" i="35"/>
  <c r="V123" i="35"/>
  <c r="W66" i="35"/>
  <c r="X66" i="35"/>
  <c r="W67" i="35"/>
  <c r="X67" i="35"/>
  <c r="W68" i="35"/>
  <c r="X68" i="35"/>
  <c r="W69" i="35"/>
  <c r="X69" i="35"/>
  <c r="W70" i="35"/>
  <c r="X70" i="35"/>
  <c r="W71" i="35"/>
  <c r="X71" i="35"/>
  <c r="W72" i="35"/>
  <c r="X72" i="35"/>
  <c r="W73" i="35"/>
  <c r="X73" i="35"/>
  <c r="W74" i="35"/>
  <c r="X74" i="35"/>
  <c r="W75" i="35"/>
  <c r="X75" i="35"/>
  <c r="W76" i="35"/>
  <c r="X76" i="35"/>
  <c r="W77" i="35"/>
  <c r="X77" i="35"/>
  <c r="W78" i="35"/>
  <c r="X78" i="35"/>
  <c r="W79" i="35"/>
  <c r="X79" i="35"/>
  <c r="W80" i="35"/>
  <c r="X80" i="35"/>
  <c r="W81" i="35"/>
  <c r="X81" i="35"/>
  <c r="W82" i="35"/>
  <c r="X82" i="35"/>
  <c r="W83" i="35"/>
  <c r="X83" i="35"/>
  <c r="W84" i="35"/>
  <c r="X84" i="35"/>
  <c r="W85" i="35"/>
  <c r="X85" i="35"/>
  <c r="W86" i="35"/>
  <c r="X86" i="35"/>
  <c r="W87" i="35"/>
  <c r="X87" i="35"/>
  <c r="W88" i="35"/>
  <c r="X88" i="35"/>
  <c r="W89" i="35"/>
  <c r="X89" i="35"/>
  <c r="W90" i="35"/>
  <c r="X90" i="35"/>
  <c r="W91" i="35"/>
  <c r="X91" i="35"/>
  <c r="W92" i="35"/>
  <c r="X92" i="35"/>
  <c r="W93" i="35"/>
  <c r="X93" i="35"/>
  <c r="W94" i="35"/>
  <c r="X94" i="35"/>
  <c r="W95" i="35"/>
  <c r="X95" i="35"/>
  <c r="W96" i="35"/>
  <c r="X96" i="35"/>
  <c r="W97" i="35"/>
  <c r="X97" i="35"/>
  <c r="W98" i="35"/>
  <c r="X98" i="35"/>
  <c r="W99" i="35"/>
  <c r="X99" i="35"/>
  <c r="W100" i="35"/>
  <c r="X100" i="35"/>
  <c r="W101" i="35"/>
  <c r="X101" i="35"/>
  <c r="W102" i="35"/>
  <c r="X102" i="35"/>
  <c r="W103" i="35"/>
  <c r="X103" i="35"/>
  <c r="W104" i="35"/>
  <c r="X104" i="35"/>
  <c r="W105" i="35"/>
  <c r="X105" i="35"/>
  <c r="W106" i="35"/>
  <c r="X106" i="35"/>
  <c r="W107" i="35"/>
  <c r="X107" i="35"/>
  <c r="W108" i="35"/>
  <c r="X108" i="35"/>
  <c r="W109" i="35"/>
  <c r="X109" i="35"/>
  <c r="W110" i="35"/>
  <c r="X110" i="35"/>
  <c r="W111" i="35"/>
  <c r="X111" i="35"/>
  <c r="W112" i="35"/>
  <c r="X112" i="35"/>
  <c r="W113" i="35"/>
  <c r="X113" i="35"/>
  <c r="W114" i="35"/>
  <c r="X114" i="35"/>
  <c r="W115" i="35"/>
  <c r="X115" i="35"/>
  <c r="W116" i="35"/>
  <c r="X116" i="35"/>
  <c r="W117" i="35"/>
  <c r="X117" i="35"/>
  <c r="W118" i="35"/>
  <c r="X118" i="35"/>
  <c r="W119" i="35"/>
  <c r="X119" i="35"/>
  <c r="W120" i="35"/>
  <c r="X120" i="35"/>
  <c r="W121" i="35"/>
  <c r="X121" i="35"/>
  <c r="W122" i="35"/>
  <c r="X122" i="35"/>
  <c r="W123" i="35"/>
  <c r="X123" i="35"/>
  <c r="Y64" i="35"/>
  <c r="Y65" i="35"/>
  <c r="Y66" i="35"/>
  <c r="Y67" i="35"/>
  <c r="Y68" i="35"/>
  <c r="Y69" i="35"/>
  <c r="Y70" i="35"/>
  <c r="Y71" i="35"/>
  <c r="Y72" i="35"/>
  <c r="Y73" i="35"/>
  <c r="Y74" i="35"/>
  <c r="Y75" i="35"/>
  <c r="Y76" i="35"/>
  <c r="Y77" i="35"/>
  <c r="Y78" i="35"/>
  <c r="Y79" i="35"/>
  <c r="Y80" i="35"/>
  <c r="Y81" i="35"/>
  <c r="Y82" i="35"/>
  <c r="Y83" i="35"/>
  <c r="Y84" i="35"/>
  <c r="Y85" i="35"/>
  <c r="Y86" i="35"/>
  <c r="Y87" i="35"/>
  <c r="Y88" i="35"/>
  <c r="Y89" i="35"/>
  <c r="Y90" i="35"/>
  <c r="Y91" i="35"/>
  <c r="Y92" i="35"/>
  <c r="Y93" i="35"/>
  <c r="Y94" i="35"/>
  <c r="Y95" i="35"/>
  <c r="Y96" i="35"/>
  <c r="Y97" i="35"/>
  <c r="Y98" i="35"/>
  <c r="Y99" i="35"/>
  <c r="Y100" i="35"/>
  <c r="Y101" i="35"/>
  <c r="Y102" i="35"/>
  <c r="Y103" i="35"/>
  <c r="Y104" i="35"/>
  <c r="Y105" i="35"/>
  <c r="Y106" i="35"/>
  <c r="Y107" i="35"/>
  <c r="Y108" i="35"/>
  <c r="Y109" i="35"/>
  <c r="Y110" i="35"/>
  <c r="Y111" i="35"/>
  <c r="Y112" i="35"/>
  <c r="Y113" i="35"/>
  <c r="Y114" i="35"/>
  <c r="Y115" i="35"/>
  <c r="Y116" i="35"/>
  <c r="Y117" i="35"/>
  <c r="Y118" i="35"/>
  <c r="Y119" i="35"/>
  <c r="Y120" i="35"/>
  <c r="Y121" i="35"/>
  <c r="Y122" i="35"/>
  <c r="Y123" i="35"/>
  <c r="K4" i="35"/>
  <c r="K5" i="35"/>
  <c r="K6" i="35"/>
  <c r="K7" i="35"/>
  <c r="K8" i="35"/>
  <c r="K9" i="35"/>
  <c r="K10" i="35"/>
  <c r="K11" i="35"/>
  <c r="K12" i="35"/>
  <c r="K13" i="35"/>
  <c r="AA83" i="35"/>
  <c r="AE83" i="35"/>
  <c r="AA103" i="35"/>
  <c r="AE103" i="35"/>
  <c r="AA75" i="35"/>
  <c r="AF75" i="35"/>
  <c r="AA95" i="35"/>
  <c r="AF95" i="35"/>
  <c r="AA67" i="35"/>
  <c r="AE67" i="35"/>
  <c r="AA91" i="35"/>
  <c r="AE91" i="35"/>
  <c r="AA115" i="35"/>
  <c r="AE115" i="35"/>
  <c r="AA79" i="35"/>
  <c r="AF79" i="35"/>
  <c r="AA64" i="35"/>
  <c r="AF64" i="35"/>
  <c r="AA65" i="35"/>
  <c r="AF65" i="35"/>
  <c r="AA66" i="35"/>
  <c r="AF66" i="35"/>
  <c r="AF67" i="35"/>
  <c r="AA68" i="35"/>
  <c r="AF68" i="35"/>
  <c r="AA69" i="35"/>
  <c r="AF69" i="35"/>
  <c r="AA70" i="35"/>
  <c r="AF70" i="35"/>
  <c r="AA71" i="35"/>
  <c r="AF71" i="35"/>
  <c r="AA72" i="35"/>
  <c r="AF72" i="35"/>
  <c r="AA73" i="35"/>
  <c r="AF73" i="35"/>
  <c r="AA74" i="35"/>
  <c r="AF74" i="35"/>
  <c r="AA76" i="35"/>
  <c r="AF76" i="35"/>
  <c r="AA77" i="35"/>
  <c r="AF77" i="35"/>
  <c r="AA78" i="35"/>
  <c r="AF78" i="35"/>
  <c r="AA80" i="35"/>
  <c r="AF80" i="35"/>
  <c r="AA81" i="35"/>
  <c r="AF81" i="35"/>
  <c r="AA82" i="35"/>
  <c r="AF82" i="35"/>
  <c r="AF83" i="35"/>
  <c r="AA84" i="35"/>
  <c r="AF84" i="35"/>
  <c r="AA85" i="35"/>
  <c r="AF85" i="35"/>
  <c r="AA86" i="35"/>
  <c r="AF86" i="35"/>
  <c r="AA87" i="35"/>
  <c r="AF87" i="35"/>
  <c r="AA88" i="35"/>
  <c r="AF88" i="35"/>
  <c r="AA89" i="35"/>
  <c r="AF89" i="35"/>
  <c r="AA90" i="35"/>
  <c r="AF90" i="35"/>
  <c r="AF91" i="35"/>
  <c r="AA92" i="35"/>
  <c r="AF92" i="35"/>
  <c r="AA93" i="35"/>
  <c r="AF93" i="35"/>
  <c r="AA94" i="35"/>
  <c r="AF94" i="35"/>
  <c r="AA96" i="35"/>
  <c r="AF96" i="35"/>
  <c r="AA97" i="35"/>
  <c r="AF97" i="35"/>
  <c r="AA98" i="35"/>
  <c r="AF98" i="35"/>
  <c r="AA99" i="35"/>
  <c r="AF99" i="35"/>
  <c r="AA100" i="35"/>
  <c r="AF100" i="35"/>
  <c r="AA101" i="35"/>
  <c r="AF101" i="35"/>
  <c r="AA102" i="35"/>
  <c r="AF102" i="35"/>
  <c r="AF103" i="35"/>
  <c r="AA104" i="35"/>
  <c r="AF104" i="35"/>
  <c r="AA105" i="35"/>
  <c r="AF105" i="35"/>
  <c r="AA106" i="35"/>
  <c r="AF106" i="35"/>
  <c r="AA107" i="35"/>
  <c r="AF107" i="35"/>
  <c r="AA108" i="35"/>
  <c r="AF108" i="35"/>
  <c r="AA109" i="35"/>
  <c r="AF109" i="35"/>
  <c r="AA110" i="35"/>
  <c r="AF110" i="35"/>
  <c r="AA111" i="35"/>
  <c r="AF111" i="35"/>
  <c r="AA112" i="35"/>
  <c r="AF112" i="35"/>
  <c r="AA113" i="35"/>
  <c r="AF113" i="35"/>
  <c r="AA114" i="35"/>
  <c r="AF114" i="35"/>
  <c r="AF115" i="35"/>
  <c r="AA116" i="35"/>
  <c r="AF116" i="35"/>
  <c r="AA117" i="35"/>
  <c r="AF117" i="35"/>
  <c r="AA118" i="35"/>
  <c r="AF118" i="35"/>
  <c r="AA119" i="35"/>
  <c r="AF119" i="35"/>
  <c r="AA120" i="35"/>
  <c r="AF120" i="35"/>
  <c r="AA121" i="35"/>
  <c r="AF121" i="35"/>
  <c r="AA122" i="35"/>
  <c r="AF122" i="35"/>
  <c r="AA123" i="35"/>
  <c r="AF123" i="35"/>
  <c r="J4" i="35"/>
  <c r="K17" i="35"/>
  <c r="G4" i="35"/>
  <c r="H4" i="35"/>
  <c r="I4" i="35"/>
  <c r="J17" i="35"/>
  <c r="H17" i="35"/>
  <c r="L17" i="35"/>
  <c r="AE79" i="35"/>
  <c r="AE87" i="35"/>
  <c r="AE107" i="35"/>
  <c r="J5" i="35"/>
  <c r="K18" i="35"/>
  <c r="G5" i="35"/>
  <c r="H5" i="35"/>
  <c r="I5" i="35"/>
  <c r="J18" i="35"/>
  <c r="H18" i="35"/>
  <c r="L18" i="35"/>
  <c r="AE71" i="35"/>
  <c r="AE95" i="35"/>
  <c r="AE75" i="35"/>
  <c r="J6" i="35"/>
  <c r="K19" i="35"/>
  <c r="G6" i="35"/>
  <c r="H6" i="35"/>
  <c r="I6" i="35"/>
  <c r="J19" i="35"/>
  <c r="H19" i="35"/>
  <c r="L19" i="35"/>
  <c r="AE99" i="35"/>
  <c r="AE123" i="35"/>
  <c r="J7" i="35"/>
  <c r="K20" i="35"/>
  <c r="G7" i="35"/>
  <c r="H7" i="35"/>
  <c r="I7" i="35"/>
  <c r="J20" i="35"/>
  <c r="H20" i="35"/>
  <c r="L20" i="35"/>
  <c r="AE111" i="35"/>
  <c r="J8" i="35"/>
  <c r="K21" i="35"/>
  <c r="G8" i="35"/>
  <c r="H8" i="35"/>
  <c r="I8" i="35"/>
  <c r="J21" i="35"/>
  <c r="H21" i="35"/>
  <c r="L21" i="35"/>
  <c r="AE104" i="35"/>
  <c r="AE105" i="35"/>
  <c r="AE106" i="35"/>
  <c r="AE64" i="35"/>
  <c r="AE65" i="35"/>
  <c r="AE66" i="35"/>
  <c r="AE68" i="35"/>
  <c r="AE69" i="35"/>
  <c r="AE70" i="35"/>
  <c r="AE72" i="35"/>
  <c r="AE73" i="35"/>
  <c r="AE74" i="35"/>
  <c r="AE76" i="35"/>
  <c r="AE77" i="35"/>
  <c r="AE78" i="35"/>
  <c r="AE80" i="35"/>
  <c r="AE81" i="35"/>
  <c r="AE82" i="35"/>
  <c r="AE84" i="35"/>
  <c r="AE85" i="35"/>
  <c r="AE86" i="35"/>
  <c r="AE88" i="35"/>
  <c r="AE89" i="35"/>
  <c r="AE90" i="35"/>
  <c r="AE92" i="35"/>
  <c r="AE93" i="35"/>
  <c r="AE94" i="35"/>
  <c r="AE96" i="35"/>
  <c r="AE97" i="35"/>
  <c r="AE98" i="35"/>
  <c r="AE100" i="35"/>
  <c r="AE101" i="35"/>
  <c r="AE102" i="35"/>
  <c r="AE108" i="35"/>
  <c r="AE109" i="35"/>
  <c r="AE110" i="35"/>
  <c r="AE112" i="35"/>
  <c r="AE113" i="35"/>
  <c r="AE114" i="35"/>
  <c r="AE116" i="35"/>
  <c r="AE117" i="35"/>
  <c r="AE118" i="35"/>
  <c r="AE119" i="35"/>
  <c r="AE120" i="35"/>
  <c r="AE121" i="35"/>
  <c r="AE122" i="35"/>
  <c r="J9" i="35"/>
  <c r="K22" i="35"/>
  <c r="G9" i="35"/>
  <c r="H9" i="35"/>
  <c r="I9" i="35"/>
  <c r="J22" i="35"/>
  <c r="H22" i="35"/>
  <c r="L22" i="35"/>
  <c r="J10" i="35"/>
  <c r="K23" i="35"/>
  <c r="G10" i="35"/>
  <c r="H10" i="35"/>
  <c r="I10" i="35"/>
  <c r="J23" i="35"/>
  <c r="H23" i="35"/>
  <c r="L23" i="35"/>
  <c r="J11" i="35"/>
  <c r="K24" i="35"/>
  <c r="G11" i="35"/>
  <c r="H11" i="35"/>
  <c r="I11" i="35"/>
  <c r="J24" i="35"/>
  <c r="H24" i="35"/>
  <c r="L24" i="35"/>
  <c r="J12" i="35"/>
  <c r="K25" i="35"/>
  <c r="G12" i="35"/>
  <c r="H12" i="35"/>
  <c r="I12" i="35"/>
  <c r="J25" i="35"/>
  <c r="H25" i="35"/>
  <c r="L25" i="35"/>
  <c r="M17" i="35"/>
  <c r="N17" i="35" a="1"/>
  <c r="N17" i="35"/>
  <c r="O17" i="35"/>
  <c r="E30" i="35" a="1"/>
  <c r="E30" i="35"/>
  <c r="F30" i="35" a="1"/>
  <c r="F30" i="35"/>
  <c r="G30" i="35" a="1"/>
  <c r="H30" i="35" a="1"/>
  <c r="I30" i="35" a="1"/>
  <c r="J30" i="35" a="1"/>
  <c r="K30" i="35" a="1"/>
  <c r="L30" i="35" a="1"/>
  <c r="P17" i="35"/>
  <c r="M30" i="35" a="1"/>
  <c r="N30" i="35" a="1"/>
  <c r="O30" i="35" a="1"/>
  <c r="P30" i="35" a="1"/>
  <c r="Q30" i="35" a="1"/>
  <c r="R30" i="35" a="1"/>
  <c r="S30" i="35" a="1"/>
  <c r="T30" i="35" a="1"/>
  <c r="Q17" i="35"/>
  <c r="U30" i="35" a="1"/>
  <c r="V30" i="35" a="1"/>
  <c r="W30" i="35" a="1"/>
  <c r="X30" i="35" a="1"/>
  <c r="Y30" i="35" a="1"/>
  <c r="Z30" i="35" a="1"/>
  <c r="AA30" i="35" a="1"/>
  <c r="AB30" i="35" a="1"/>
  <c r="R17" i="35"/>
  <c r="AC30" i="35" a="1"/>
  <c r="AD30" i="35" a="1"/>
  <c r="AE30" i="35" a="1"/>
  <c r="AF30" i="35" a="1"/>
  <c r="AG30" i="35" a="1"/>
  <c r="AH30" i="35" a="1"/>
  <c r="AI30" i="35" a="1"/>
  <c r="AJ30" i="35" a="1"/>
  <c r="S17" i="35"/>
  <c r="AK30" i="35" a="1"/>
  <c r="AL30" i="35" a="1"/>
  <c r="AM30" i="35" a="1"/>
  <c r="AN30" i="35" a="1"/>
  <c r="AO30" i="35" a="1"/>
  <c r="AP30" i="35" a="1"/>
  <c r="AQ30" i="35" a="1"/>
  <c r="AR30" i="35" a="1"/>
  <c r="T17" i="35"/>
  <c r="AS30" i="35" a="1"/>
  <c r="AT30" i="35" a="1"/>
  <c r="AU30" i="35" a="1"/>
  <c r="AV30" i="35" a="1"/>
  <c r="AW30" i="35" a="1"/>
  <c r="AX30" i="35" a="1"/>
  <c r="AY30" i="35" a="1"/>
  <c r="AZ30" i="35" a="1"/>
  <c r="U17" i="35"/>
  <c r="BA30" i="35" a="1"/>
  <c r="BB30" i="35" a="1"/>
  <c r="BC30" i="35" a="1"/>
  <c r="BD30" i="35" a="1"/>
  <c r="BE30" i="35" a="1"/>
  <c r="BF30" i="35" a="1"/>
  <c r="BG30" i="35" a="1"/>
  <c r="BH30" i="35" a="1"/>
  <c r="V17" i="35"/>
  <c r="BI30" i="35" a="1"/>
  <c r="BJ30" i="35" a="1"/>
  <c r="BK30" i="35" a="1"/>
  <c r="BL30" i="35" a="1"/>
  <c r="BM30" i="35" a="1"/>
  <c r="BN30" i="35" a="1"/>
  <c r="BO30" i="35" a="1"/>
  <c r="BP30" i="35" a="1"/>
  <c r="G30" i="35"/>
  <c r="H30" i="35"/>
  <c r="I30" i="35"/>
  <c r="J30" i="35"/>
  <c r="K30" i="35"/>
  <c r="L30" i="35"/>
  <c r="M30" i="35"/>
  <c r="N30" i="35"/>
  <c r="O30" i="35"/>
  <c r="P30" i="35"/>
  <c r="Q30" i="35"/>
  <c r="R30" i="35"/>
  <c r="S30" i="35"/>
  <c r="T30" i="35"/>
  <c r="U30" i="35"/>
  <c r="V30" i="35"/>
  <c r="W30" i="35"/>
  <c r="X30" i="35"/>
  <c r="Y30" i="35"/>
  <c r="Z30" i="35"/>
  <c r="AA30" i="35"/>
  <c r="AB30" i="35"/>
  <c r="AC30" i="35"/>
  <c r="AD30" i="35"/>
  <c r="AE30" i="35"/>
  <c r="AF30" i="35"/>
  <c r="AG30" i="35"/>
  <c r="AH30" i="35"/>
  <c r="AI30" i="35"/>
  <c r="AJ30" i="35"/>
  <c r="AK30" i="35"/>
  <c r="AL30" i="35"/>
  <c r="AM30" i="35"/>
  <c r="AN30" i="35"/>
  <c r="AO30" i="35"/>
  <c r="AP30" i="35"/>
  <c r="AQ30" i="35"/>
  <c r="AR30" i="35"/>
  <c r="AS30" i="35"/>
  <c r="AT30" i="35"/>
  <c r="AU30" i="35"/>
  <c r="AV30" i="35"/>
  <c r="AW30" i="35"/>
  <c r="AX30" i="35"/>
  <c r="AY30" i="35"/>
  <c r="AZ30" i="35"/>
  <c r="BA30" i="35"/>
  <c r="BB30" i="35"/>
  <c r="BC30" i="35"/>
  <c r="BD30" i="35"/>
  <c r="BE30" i="35"/>
  <c r="BF30" i="35"/>
  <c r="BG30" i="35"/>
  <c r="BH30" i="35"/>
  <c r="BI30" i="35"/>
  <c r="BJ30" i="35"/>
  <c r="BK30" i="35"/>
  <c r="BL30" i="35"/>
  <c r="BM30" i="35"/>
  <c r="BN30" i="35"/>
  <c r="BO30" i="35"/>
  <c r="BP30" i="35"/>
  <c r="AA17" i="35"/>
  <c r="E41" i="35" a="1"/>
  <c r="E41" i="35"/>
  <c r="F41" i="35" a="1"/>
  <c r="F41" i="35"/>
  <c r="G41" i="35" a="1"/>
  <c r="H41" i="35" a="1"/>
  <c r="I41" i="35" a="1"/>
  <c r="J41" i="35" a="1"/>
  <c r="K41" i="35" a="1"/>
  <c r="L41" i="35" a="1"/>
  <c r="M41" i="35" a="1"/>
  <c r="N41" i="35" a="1"/>
  <c r="O41" i="35" a="1"/>
  <c r="P41" i="35" a="1"/>
  <c r="Q41" i="35" a="1"/>
  <c r="R41" i="35" a="1"/>
  <c r="S41" i="35" a="1"/>
  <c r="T41" i="35" a="1"/>
  <c r="U41" i="35" a="1"/>
  <c r="V41" i="35" a="1"/>
  <c r="W41" i="35" a="1"/>
  <c r="X41" i="35" a="1"/>
  <c r="Y41" i="35" a="1"/>
  <c r="Z41" i="35" a="1"/>
  <c r="AA41" i="35" a="1"/>
  <c r="AB41" i="35" a="1"/>
  <c r="AC41" i="35" a="1"/>
  <c r="AD41" i="35" a="1"/>
  <c r="AE41" i="35" a="1"/>
  <c r="AF41" i="35" a="1"/>
  <c r="AG41" i="35" a="1"/>
  <c r="AH41" i="35" a="1"/>
  <c r="AI41" i="35" a="1"/>
  <c r="AJ41" i="35" a="1"/>
  <c r="AK41" i="35" a="1"/>
  <c r="AL41" i="35" a="1"/>
  <c r="AM41" i="35" a="1"/>
  <c r="AN41" i="35" a="1"/>
  <c r="AO41" i="35" a="1"/>
  <c r="AP41" i="35" a="1"/>
  <c r="AQ41" i="35" a="1"/>
  <c r="AR41" i="35" a="1"/>
  <c r="AS41" i="35" a="1"/>
  <c r="AT41" i="35" a="1"/>
  <c r="AU41" i="35" a="1"/>
  <c r="AV41" i="35" a="1"/>
  <c r="AW41" i="35" a="1"/>
  <c r="AX41" i="35" a="1"/>
  <c r="AY41" i="35" a="1"/>
  <c r="AZ41" i="35" a="1"/>
  <c r="BA41" i="35" a="1"/>
  <c r="BB41" i="35" a="1"/>
  <c r="BC41" i="35" a="1"/>
  <c r="BD41" i="35" a="1"/>
  <c r="BE41" i="35" a="1"/>
  <c r="BF41" i="35" a="1"/>
  <c r="BG41" i="35" a="1"/>
  <c r="BH41" i="35" a="1"/>
  <c r="BI41" i="35" a="1"/>
  <c r="BJ41" i="35" a="1"/>
  <c r="BK41" i="35" a="1"/>
  <c r="BL41" i="35" a="1"/>
  <c r="BM41" i="35" a="1"/>
  <c r="BN41" i="35" a="1"/>
  <c r="BO41" i="35" a="1"/>
  <c r="BP41" i="35" a="1"/>
  <c r="G41" i="35"/>
  <c r="H41" i="35"/>
  <c r="I41" i="35"/>
  <c r="J41" i="35"/>
  <c r="K41" i="35"/>
  <c r="L41" i="35"/>
  <c r="M41" i="35"/>
  <c r="N41" i="35"/>
  <c r="O41" i="35"/>
  <c r="P41" i="35"/>
  <c r="Q41" i="35"/>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AY41" i="35"/>
  <c r="AZ41" i="35"/>
  <c r="BA41" i="35"/>
  <c r="BB41" i="35"/>
  <c r="BC41" i="35"/>
  <c r="BD41" i="35"/>
  <c r="BE41" i="35"/>
  <c r="BF41" i="35"/>
  <c r="BG41" i="35"/>
  <c r="BH41" i="35"/>
  <c r="BI41" i="35"/>
  <c r="BJ41" i="35"/>
  <c r="BK41" i="35"/>
  <c r="BL41" i="35"/>
  <c r="BM41" i="35"/>
  <c r="BN41" i="35"/>
  <c r="BO41" i="35"/>
  <c r="BP41" i="35"/>
  <c r="AB17" i="35"/>
  <c r="E52" i="35" a="1"/>
  <c r="E52" i="35"/>
  <c r="F52" i="35" a="1"/>
  <c r="F52" i="35"/>
  <c r="G52" i="35" a="1"/>
  <c r="H52" i="35" a="1"/>
  <c r="I52" i="35" a="1"/>
  <c r="J52" i="35" a="1"/>
  <c r="K52" i="35" a="1"/>
  <c r="L52" i="35" a="1"/>
  <c r="M52" i="35" a="1"/>
  <c r="N52" i="35" a="1"/>
  <c r="O52" i="35" a="1"/>
  <c r="P52" i="35" a="1"/>
  <c r="Q52" i="35" a="1"/>
  <c r="R52" i="35" a="1"/>
  <c r="S52" i="35" a="1"/>
  <c r="T52" i="35" a="1"/>
  <c r="U52" i="35" a="1"/>
  <c r="V52" i="35" a="1"/>
  <c r="W52" i="35" a="1"/>
  <c r="X52" i="35" a="1"/>
  <c r="Y52" i="35" a="1"/>
  <c r="Z52" i="35" a="1"/>
  <c r="AA52" i="35" a="1"/>
  <c r="AB52" i="35" a="1"/>
  <c r="AC52" i="35" a="1"/>
  <c r="AD52" i="35" a="1"/>
  <c r="AE52" i="35" a="1"/>
  <c r="AF52" i="35" a="1"/>
  <c r="AG52" i="35" a="1"/>
  <c r="AH52" i="35" a="1"/>
  <c r="AI52" i="35" a="1"/>
  <c r="AJ52" i="35" a="1"/>
  <c r="AK52" i="35" a="1"/>
  <c r="AL52" i="35" a="1"/>
  <c r="AM52" i="35" a="1"/>
  <c r="AN52" i="35" a="1"/>
  <c r="AO52" i="35" a="1"/>
  <c r="AP52" i="35" a="1"/>
  <c r="AQ52" i="35" a="1"/>
  <c r="AR52" i="35" a="1"/>
  <c r="AS52" i="35" a="1"/>
  <c r="AT52" i="35" a="1"/>
  <c r="AU52" i="35" a="1"/>
  <c r="AV52" i="35" a="1"/>
  <c r="AW52" i="35" a="1"/>
  <c r="AX52" i="35" a="1"/>
  <c r="AY52" i="35" a="1"/>
  <c r="AZ52" i="35" a="1"/>
  <c r="BA52" i="35" a="1"/>
  <c r="BB52" i="35" a="1"/>
  <c r="BC52" i="35" a="1"/>
  <c r="BD52" i="35" a="1"/>
  <c r="BE52" i="35" a="1"/>
  <c r="BF52" i="35" a="1"/>
  <c r="BG52" i="35" a="1"/>
  <c r="BH52" i="35" a="1"/>
  <c r="BI52" i="35" a="1"/>
  <c r="BJ52" i="35" a="1"/>
  <c r="BK52" i="35" a="1"/>
  <c r="BL52" i="35" a="1"/>
  <c r="BM52" i="35" a="1"/>
  <c r="BN52" i="35" a="1"/>
  <c r="BO52" i="35" a="1"/>
  <c r="BP52" i="35" a="1"/>
  <c r="G52" i="35"/>
  <c r="H52" i="35"/>
  <c r="I52" i="35"/>
  <c r="J52" i="35"/>
  <c r="K52" i="35"/>
  <c r="L52" i="35"/>
  <c r="M52" i="35"/>
  <c r="N52" i="35"/>
  <c r="O52" i="35"/>
  <c r="P52" i="35"/>
  <c r="Q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AY52" i="35"/>
  <c r="AZ52" i="35"/>
  <c r="BA52" i="35"/>
  <c r="BB52" i="35"/>
  <c r="BC52" i="35"/>
  <c r="BD52" i="35"/>
  <c r="BE52" i="35"/>
  <c r="BF52" i="35"/>
  <c r="BG52" i="35"/>
  <c r="BH52" i="35"/>
  <c r="BI52" i="35"/>
  <c r="BJ52" i="35"/>
  <c r="BK52" i="35"/>
  <c r="BL52" i="35"/>
  <c r="BM52" i="35"/>
  <c r="BN52" i="35"/>
  <c r="BO52" i="35"/>
  <c r="BP52" i="35"/>
  <c r="AC17" i="35"/>
  <c r="W17" i="35"/>
  <c r="M18" i="35"/>
  <c r="N18" i="35" a="1"/>
  <c r="N18" i="35"/>
  <c r="O18" i="35"/>
  <c r="E31" i="35" a="1"/>
  <c r="E31" i="35"/>
  <c r="F31" i="35" a="1"/>
  <c r="F31" i="35"/>
  <c r="G31" i="35" a="1"/>
  <c r="H31" i="35" a="1"/>
  <c r="I31" i="35" a="1"/>
  <c r="J31" i="35" a="1"/>
  <c r="K31" i="35" a="1"/>
  <c r="L31" i="35" a="1"/>
  <c r="P18" i="35"/>
  <c r="M31" i="35" a="1"/>
  <c r="N31" i="35" a="1"/>
  <c r="O31" i="35" a="1"/>
  <c r="P31" i="35" a="1"/>
  <c r="Q31" i="35" a="1"/>
  <c r="R31" i="35" a="1"/>
  <c r="S31" i="35" a="1"/>
  <c r="T31" i="35" a="1"/>
  <c r="Q18" i="35"/>
  <c r="U31" i="35" a="1"/>
  <c r="V31" i="35" a="1"/>
  <c r="W31" i="35" a="1"/>
  <c r="X31" i="35" a="1"/>
  <c r="Y31" i="35" a="1"/>
  <c r="Z31" i="35" a="1"/>
  <c r="AA31" i="35" a="1"/>
  <c r="AB31" i="35" a="1"/>
  <c r="R18" i="35"/>
  <c r="AC31" i="35" a="1"/>
  <c r="AD31" i="35" a="1"/>
  <c r="AE31" i="35" a="1"/>
  <c r="AF31" i="35" a="1"/>
  <c r="AG31" i="35" a="1"/>
  <c r="AH31" i="35" a="1"/>
  <c r="AI31" i="35" a="1"/>
  <c r="AJ31" i="35" a="1"/>
  <c r="S18" i="35"/>
  <c r="AK31" i="35" a="1"/>
  <c r="AL31" i="35" a="1"/>
  <c r="AM31" i="35" a="1"/>
  <c r="AN31" i="35" a="1"/>
  <c r="AO31" i="35" a="1"/>
  <c r="AP31" i="35" a="1"/>
  <c r="AQ31" i="35" a="1"/>
  <c r="AR31" i="35" a="1"/>
  <c r="T18" i="35"/>
  <c r="AS31" i="35" a="1"/>
  <c r="AT31" i="35" a="1"/>
  <c r="AU31" i="35" a="1"/>
  <c r="AV31" i="35" a="1"/>
  <c r="AW31" i="35" a="1"/>
  <c r="AX31" i="35" a="1"/>
  <c r="AY31" i="35" a="1"/>
  <c r="AZ31" i="35" a="1"/>
  <c r="U18" i="35"/>
  <c r="BA31" i="35" a="1"/>
  <c r="BB31" i="35" a="1"/>
  <c r="BC31" i="35" a="1"/>
  <c r="BD31" i="35" a="1"/>
  <c r="BE31" i="35" a="1"/>
  <c r="BF31" i="35" a="1"/>
  <c r="BG31" i="35" a="1"/>
  <c r="BH31" i="35" a="1"/>
  <c r="V18" i="35"/>
  <c r="BI31" i="35" a="1"/>
  <c r="BJ31" i="35" a="1"/>
  <c r="BK31" i="35" a="1"/>
  <c r="BL31" i="35" a="1"/>
  <c r="BM31" i="35" a="1"/>
  <c r="BN31" i="35" a="1"/>
  <c r="BO31" i="35" a="1"/>
  <c r="BP31" i="35" a="1"/>
  <c r="G31" i="35"/>
  <c r="H31" i="35"/>
  <c r="I31" i="35"/>
  <c r="J31" i="35"/>
  <c r="K31" i="35"/>
  <c r="L31" i="35"/>
  <c r="M31" i="35"/>
  <c r="N31" i="35"/>
  <c r="O31" i="35"/>
  <c r="P31" i="35"/>
  <c r="Q31" i="35"/>
  <c r="R31" i="35"/>
  <c r="S31" i="35"/>
  <c r="T31" i="35"/>
  <c r="U31" i="35"/>
  <c r="V31" i="35"/>
  <c r="W31" i="35"/>
  <c r="X31" i="35"/>
  <c r="Y31" i="35"/>
  <c r="Z31" i="35"/>
  <c r="AA31" i="35"/>
  <c r="AB31" i="35"/>
  <c r="AC31" i="35"/>
  <c r="AD31" i="35"/>
  <c r="AE31" i="35"/>
  <c r="AF31" i="35"/>
  <c r="AG31" i="35"/>
  <c r="AH31" i="35"/>
  <c r="AI31" i="35"/>
  <c r="AJ31" i="35"/>
  <c r="AK31" i="35"/>
  <c r="AL31" i="35"/>
  <c r="AM31" i="35"/>
  <c r="AN31" i="35"/>
  <c r="AO31" i="35"/>
  <c r="AP31" i="35"/>
  <c r="AQ31" i="35"/>
  <c r="AR31" i="35"/>
  <c r="AS31" i="35"/>
  <c r="AT31" i="35"/>
  <c r="AU31" i="35"/>
  <c r="AV31" i="35"/>
  <c r="AW31" i="35"/>
  <c r="AX31" i="35"/>
  <c r="AY31" i="35"/>
  <c r="AZ31" i="35"/>
  <c r="BA31" i="35"/>
  <c r="BB31" i="35"/>
  <c r="BC31" i="35"/>
  <c r="BD31" i="35"/>
  <c r="BE31" i="35"/>
  <c r="BF31" i="35"/>
  <c r="BG31" i="35"/>
  <c r="BH31" i="35"/>
  <c r="BI31" i="35"/>
  <c r="BJ31" i="35"/>
  <c r="BK31" i="35"/>
  <c r="BL31" i="35"/>
  <c r="BM31" i="35"/>
  <c r="BN31" i="35"/>
  <c r="BO31" i="35"/>
  <c r="BP31" i="35"/>
  <c r="AA18" i="35"/>
  <c r="E42" i="35" a="1"/>
  <c r="E42" i="35"/>
  <c r="F42" i="35" a="1"/>
  <c r="F42" i="35"/>
  <c r="G42" i="35" a="1"/>
  <c r="H42" i="35" a="1"/>
  <c r="I42" i="35" a="1"/>
  <c r="J42" i="35" a="1"/>
  <c r="K42" i="35" a="1"/>
  <c r="L42" i="35" a="1"/>
  <c r="M42" i="35" a="1"/>
  <c r="N42" i="35" a="1"/>
  <c r="O42" i="35" a="1"/>
  <c r="P42" i="35" a="1"/>
  <c r="Q42" i="35" a="1"/>
  <c r="R42" i="35" a="1"/>
  <c r="S42" i="35" a="1"/>
  <c r="T42" i="35" a="1"/>
  <c r="U42" i="35" a="1"/>
  <c r="V42" i="35" a="1"/>
  <c r="W42" i="35" a="1"/>
  <c r="X42" i="35" a="1"/>
  <c r="Y42" i="35" a="1"/>
  <c r="Z42" i="35" a="1"/>
  <c r="AA42" i="35" a="1"/>
  <c r="AB42" i="35" a="1"/>
  <c r="AC42" i="35" a="1"/>
  <c r="AD42" i="35" a="1"/>
  <c r="AE42" i="35" a="1"/>
  <c r="AF42" i="35" a="1"/>
  <c r="AG42" i="35" a="1"/>
  <c r="AH42" i="35" a="1"/>
  <c r="AI42" i="35" a="1"/>
  <c r="AJ42" i="35" a="1"/>
  <c r="AK42" i="35" a="1"/>
  <c r="AL42" i="35" a="1"/>
  <c r="AM42" i="35" a="1"/>
  <c r="AN42" i="35" a="1"/>
  <c r="AO42" i="35" a="1"/>
  <c r="AP42" i="35" a="1"/>
  <c r="AQ42" i="35" a="1"/>
  <c r="AR42" i="35" a="1"/>
  <c r="AS42" i="35" a="1"/>
  <c r="AT42" i="35" a="1"/>
  <c r="AU42" i="35" a="1"/>
  <c r="AV42" i="35" a="1"/>
  <c r="AW42" i="35" a="1"/>
  <c r="AX42" i="35" a="1"/>
  <c r="AY42" i="35" a="1"/>
  <c r="AZ42" i="35" a="1"/>
  <c r="BA42" i="35" a="1"/>
  <c r="BB42" i="35" a="1"/>
  <c r="BC42" i="35" a="1"/>
  <c r="BD42" i="35" a="1"/>
  <c r="BE42" i="35" a="1"/>
  <c r="BF42" i="35" a="1"/>
  <c r="BG42" i="35" a="1"/>
  <c r="BH42" i="35" a="1"/>
  <c r="BI42" i="35" a="1"/>
  <c r="BJ42" i="35" a="1"/>
  <c r="BK42" i="35" a="1"/>
  <c r="BL42" i="35" a="1"/>
  <c r="BM42" i="35" a="1"/>
  <c r="BN42" i="35" a="1"/>
  <c r="BO42" i="35" a="1"/>
  <c r="BP42" i="35" a="1"/>
  <c r="G42"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AB18" i="35"/>
  <c r="E53" i="35" a="1"/>
  <c r="E53" i="35"/>
  <c r="F53" i="35" a="1"/>
  <c r="F53" i="35"/>
  <c r="G53" i="35" a="1"/>
  <c r="H53" i="35" a="1"/>
  <c r="I53" i="35" a="1"/>
  <c r="J53" i="35" a="1"/>
  <c r="K53" i="35" a="1"/>
  <c r="L53" i="35" a="1"/>
  <c r="M53" i="35" a="1"/>
  <c r="N53" i="35" a="1"/>
  <c r="O53" i="35" a="1"/>
  <c r="P53" i="35" a="1"/>
  <c r="Q53" i="35" a="1"/>
  <c r="R53" i="35" a="1"/>
  <c r="S53" i="35" a="1"/>
  <c r="T53" i="35" a="1"/>
  <c r="U53" i="35" a="1"/>
  <c r="V53" i="35" a="1"/>
  <c r="W53" i="35" a="1"/>
  <c r="X53" i="35" a="1"/>
  <c r="Y53" i="35" a="1"/>
  <c r="Z53" i="35" a="1"/>
  <c r="AA53" i="35" a="1"/>
  <c r="AB53" i="35" a="1"/>
  <c r="AC53" i="35" a="1"/>
  <c r="AD53" i="35" a="1"/>
  <c r="AE53" i="35" a="1"/>
  <c r="AF53" i="35" a="1"/>
  <c r="AG53" i="35" a="1"/>
  <c r="AH53" i="35" a="1"/>
  <c r="AI53" i="35" a="1"/>
  <c r="AJ53" i="35" a="1"/>
  <c r="AK53" i="35" a="1"/>
  <c r="AL53" i="35" a="1"/>
  <c r="AM53" i="35" a="1"/>
  <c r="AN53" i="35" a="1"/>
  <c r="AO53" i="35" a="1"/>
  <c r="AP53" i="35" a="1"/>
  <c r="AQ53" i="35" a="1"/>
  <c r="AR53" i="35" a="1"/>
  <c r="AS53" i="35" a="1"/>
  <c r="AT53" i="35" a="1"/>
  <c r="AU53" i="35" a="1"/>
  <c r="AV53" i="35" a="1"/>
  <c r="AW53" i="35" a="1"/>
  <c r="AX53" i="35" a="1"/>
  <c r="AY53" i="35" a="1"/>
  <c r="AZ53" i="35" a="1"/>
  <c r="BA53" i="35" a="1"/>
  <c r="BB53" i="35" a="1"/>
  <c r="BC53" i="35" a="1"/>
  <c r="BD53" i="35" a="1"/>
  <c r="BE53" i="35" a="1"/>
  <c r="BF53" i="35" a="1"/>
  <c r="BG53" i="35" a="1"/>
  <c r="BH53" i="35" a="1"/>
  <c r="BI53" i="35" a="1"/>
  <c r="BJ53" i="35" a="1"/>
  <c r="BK53" i="35" a="1"/>
  <c r="BL53" i="35" a="1"/>
  <c r="BM53" i="35" a="1"/>
  <c r="BN53" i="35" a="1"/>
  <c r="BO53" i="35" a="1"/>
  <c r="BP53" i="35" a="1"/>
  <c r="G53" i="35"/>
  <c r="H53" i="35"/>
  <c r="I53" i="35"/>
  <c r="J53" i="35"/>
  <c r="K53" i="35"/>
  <c r="L53" i="35"/>
  <c r="M53" i="35"/>
  <c r="N53" i="35"/>
  <c r="O53" i="35"/>
  <c r="P53" i="35"/>
  <c r="Q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AY53" i="35"/>
  <c r="AZ53" i="35"/>
  <c r="BA53" i="35"/>
  <c r="BB53" i="35"/>
  <c r="BC53" i="35"/>
  <c r="BD53" i="35"/>
  <c r="BE53" i="35"/>
  <c r="BF53" i="35"/>
  <c r="BG53" i="35"/>
  <c r="BH53" i="35"/>
  <c r="BI53" i="35"/>
  <c r="BJ53" i="35"/>
  <c r="BK53" i="35"/>
  <c r="BL53" i="35"/>
  <c r="BM53" i="35"/>
  <c r="BN53" i="35"/>
  <c r="BO53" i="35"/>
  <c r="BP53" i="35"/>
  <c r="AC18" i="35"/>
  <c r="W18" i="35"/>
  <c r="M19" i="35"/>
  <c r="N19" i="35" a="1"/>
  <c r="N19" i="35"/>
  <c r="O19" i="35"/>
  <c r="E32" i="35" a="1"/>
  <c r="E32" i="35"/>
  <c r="F32" i="35" a="1"/>
  <c r="F32" i="35"/>
  <c r="G32" i="35" a="1"/>
  <c r="H32" i="35" a="1"/>
  <c r="I32" i="35" a="1"/>
  <c r="J32" i="35" a="1"/>
  <c r="K32" i="35" a="1"/>
  <c r="L32" i="35" a="1"/>
  <c r="P19" i="35"/>
  <c r="M32" i="35" a="1"/>
  <c r="N32" i="35" a="1"/>
  <c r="O32" i="35" a="1"/>
  <c r="P32" i="35" a="1"/>
  <c r="Q32" i="35" a="1"/>
  <c r="R32" i="35" a="1"/>
  <c r="S32" i="35" a="1"/>
  <c r="T32" i="35" a="1"/>
  <c r="Q19" i="35"/>
  <c r="U32" i="35" a="1"/>
  <c r="V32" i="35" a="1"/>
  <c r="W32" i="35" a="1"/>
  <c r="X32" i="35" a="1"/>
  <c r="Y32" i="35" a="1"/>
  <c r="Z32" i="35" a="1"/>
  <c r="AA32" i="35" a="1"/>
  <c r="AB32" i="35" a="1"/>
  <c r="R19" i="35"/>
  <c r="AC32" i="35" a="1"/>
  <c r="AD32" i="35" a="1"/>
  <c r="AE32" i="35" a="1"/>
  <c r="AF32" i="35" a="1"/>
  <c r="AG32" i="35" a="1"/>
  <c r="AH32" i="35" a="1"/>
  <c r="AI32" i="35" a="1"/>
  <c r="AJ32" i="35" a="1"/>
  <c r="S19" i="35"/>
  <c r="AK32" i="35" a="1"/>
  <c r="AL32" i="35" a="1"/>
  <c r="AM32" i="35" a="1"/>
  <c r="AN32" i="35" a="1"/>
  <c r="AO32" i="35" a="1"/>
  <c r="AP32" i="35" a="1"/>
  <c r="AQ32" i="35" a="1"/>
  <c r="AR32" i="35" a="1"/>
  <c r="T19" i="35"/>
  <c r="AS32" i="35" a="1"/>
  <c r="AT32" i="35" a="1"/>
  <c r="AU32" i="35" a="1"/>
  <c r="AV32" i="35" a="1"/>
  <c r="AW32" i="35" a="1"/>
  <c r="AX32" i="35" a="1"/>
  <c r="AY32" i="35" a="1"/>
  <c r="AZ32" i="35" a="1"/>
  <c r="U19" i="35"/>
  <c r="BA32" i="35" a="1"/>
  <c r="BB32" i="35" a="1"/>
  <c r="BC32" i="35" a="1"/>
  <c r="BD32" i="35" a="1"/>
  <c r="BE32" i="35" a="1"/>
  <c r="BF32" i="35" a="1"/>
  <c r="BG32" i="35" a="1"/>
  <c r="BH32" i="35" a="1"/>
  <c r="V19" i="35"/>
  <c r="BI32" i="35" a="1"/>
  <c r="BJ32" i="35" a="1"/>
  <c r="BK32" i="35" a="1"/>
  <c r="BL32" i="35" a="1"/>
  <c r="BM32" i="35" a="1"/>
  <c r="BN32" i="35" a="1"/>
  <c r="BO32" i="35" a="1"/>
  <c r="BP32" i="35" a="1"/>
  <c r="G32" i="35"/>
  <c r="H32" i="35"/>
  <c r="I32" i="35"/>
  <c r="J32" i="35"/>
  <c r="K32" i="35"/>
  <c r="L32" i="35"/>
  <c r="M32" i="35"/>
  <c r="N32" i="35"/>
  <c r="O32" i="35"/>
  <c r="P32" i="35"/>
  <c r="Q32" i="35"/>
  <c r="R32" i="35"/>
  <c r="S32" i="35"/>
  <c r="T32" i="35"/>
  <c r="U32" i="35"/>
  <c r="V32" i="35"/>
  <c r="W32" i="35"/>
  <c r="X32" i="35"/>
  <c r="Y32" i="35"/>
  <c r="Z32" i="35"/>
  <c r="AA32" i="35"/>
  <c r="AB32" i="35"/>
  <c r="AC32" i="35"/>
  <c r="AD32" i="35"/>
  <c r="AE32" i="35"/>
  <c r="AF32" i="35"/>
  <c r="AG32" i="35"/>
  <c r="AH32" i="35"/>
  <c r="AI32" i="35"/>
  <c r="AJ32" i="35"/>
  <c r="AK32" i="35"/>
  <c r="AL32" i="35"/>
  <c r="AM32" i="35"/>
  <c r="AN32" i="35"/>
  <c r="AO32" i="35"/>
  <c r="AP32" i="35"/>
  <c r="AQ32" i="35"/>
  <c r="AR32" i="35"/>
  <c r="AS32" i="35"/>
  <c r="AT32" i="35"/>
  <c r="AU32" i="35"/>
  <c r="AV32" i="35"/>
  <c r="AW32" i="35"/>
  <c r="AX32" i="35"/>
  <c r="AY32" i="35"/>
  <c r="AZ32" i="35"/>
  <c r="BA32" i="35"/>
  <c r="BB32" i="35"/>
  <c r="BC32" i="35"/>
  <c r="BD32" i="35"/>
  <c r="BE32" i="35"/>
  <c r="BF32" i="35"/>
  <c r="BG32" i="35"/>
  <c r="BH32" i="35"/>
  <c r="BI32" i="35"/>
  <c r="BJ32" i="35"/>
  <c r="BK32" i="35"/>
  <c r="BL32" i="35"/>
  <c r="BM32" i="35"/>
  <c r="BN32" i="35"/>
  <c r="BO32" i="35"/>
  <c r="BP32" i="35"/>
  <c r="AA19" i="35"/>
  <c r="E43" i="35" a="1"/>
  <c r="E43" i="35"/>
  <c r="F43" i="35" a="1"/>
  <c r="F43" i="35"/>
  <c r="G43" i="35" a="1"/>
  <c r="H43" i="35" a="1"/>
  <c r="I43" i="35" a="1"/>
  <c r="J43" i="35" a="1"/>
  <c r="K43" i="35" a="1"/>
  <c r="L43" i="35" a="1"/>
  <c r="M43" i="35" a="1"/>
  <c r="N43" i="35" a="1"/>
  <c r="O43" i="35" a="1"/>
  <c r="P43" i="35" a="1"/>
  <c r="Q43" i="35" a="1"/>
  <c r="R43" i="35" a="1"/>
  <c r="S43" i="35" a="1"/>
  <c r="T43" i="35" a="1"/>
  <c r="U43" i="35" a="1"/>
  <c r="V43" i="35" a="1"/>
  <c r="W43" i="35" a="1"/>
  <c r="X43" i="35" a="1"/>
  <c r="Y43" i="35" a="1"/>
  <c r="Z43" i="35" a="1"/>
  <c r="AA43" i="35" a="1"/>
  <c r="AB43" i="35" a="1"/>
  <c r="AC43" i="35" a="1"/>
  <c r="AD43" i="35" a="1"/>
  <c r="AE43" i="35" a="1"/>
  <c r="AF43" i="35" a="1"/>
  <c r="AG43" i="35" a="1"/>
  <c r="AH43" i="35" a="1"/>
  <c r="AI43" i="35" a="1"/>
  <c r="AJ43" i="35" a="1"/>
  <c r="AK43" i="35" a="1"/>
  <c r="AL43" i="35" a="1"/>
  <c r="AM43" i="35" a="1"/>
  <c r="AN43" i="35" a="1"/>
  <c r="AO43" i="35" a="1"/>
  <c r="AP43" i="35" a="1"/>
  <c r="AQ43" i="35" a="1"/>
  <c r="AR43" i="35" a="1"/>
  <c r="AS43" i="35" a="1"/>
  <c r="AT43" i="35" a="1"/>
  <c r="AU43" i="35" a="1"/>
  <c r="AV43" i="35" a="1"/>
  <c r="AW43" i="35" a="1"/>
  <c r="AX43" i="35" a="1"/>
  <c r="AY43" i="35" a="1"/>
  <c r="AZ43" i="35" a="1"/>
  <c r="BA43" i="35" a="1"/>
  <c r="BB43" i="35" a="1"/>
  <c r="BC43" i="35" a="1"/>
  <c r="BD43" i="35" a="1"/>
  <c r="BE43" i="35" a="1"/>
  <c r="BF43" i="35" a="1"/>
  <c r="BG43" i="35" a="1"/>
  <c r="BH43" i="35" a="1"/>
  <c r="BI43" i="35" a="1"/>
  <c r="BJ43" i="35" a="1"/>
  <c r="BK43" i="35" a="1"/>
  <c r="BL43" i="35" a="1"/>
  <c r="BM43" i="35" a="1"/>
  <c r="BN43" i="35" a="1"/>
  <c r="BO43" i="35" a="1"/>
  <c r="BP43" i="35" a="1"/>
  <c r="G43" i="35"/>
  <c r="H43" i="35"/>
  <c r="I43" i="35"/>
  <c r="J43" i="35"/>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AB19" i="35"/>
  <c r="E54" i="35" a="1"/>
  <c r="E54" i="35"/>
  <c r="F54" i="35" a="1"/>
  <c r="F54" i="35"/>
  <c r="G54" i="35" a="1"/>
  <c r="H54" i="35" a="1"/>
  <c r="I54" i="35" a="1"/>
  <c r="J54" i="35" a="1"/>
  <c r="K54" i="35" a="1"/>
  <c r="L54" i="35" a="1"/>
  <c r="M54" i="35" a="1"/>
  <c r="N54" i="35" a="1"/>
  <c r="O54" i="35" a="1"/>
  <c r="P54" i="35" a="1"/>
  <c r="Q54" i="35" a="1"/>
  <c r="R54" i="35" a="1"/>
  <c r="S54" i="35" a="1"/>
  <c r="T54" i="35" a="1"/>
  <c r="U54" i="35" a="1"/>
  <c r="V54" i="35" a="1"/>
  <c r="W54" i="35" a="1"/>
  <c r="X54" i="35" a="1"/>
  <c r="Y54" i="35" a="1"/>
  <c r="Z54" i="35" a="1"/>
  <c r="AA54" i="35" a="1"/>
  <c r="AB54" i="35" a="1"/>
  <c r="AC54" i="35" a="1"/>
  <c r="AD54" i="35" a="1"/>
  <c r="AE54" i="35" a="1"/>
  <c r="AF54" i="35" a="1"/>
  <c r="AG54" i="35" a="1"/>
  <c r="AH54" i="35" a="1"/>
  <c r="AI54" i="35" a="1"/>
  <c r="AJ54" i="35" a="1"/>
  <c r="AK54" i="35" a="1"/>
  <c r="AL54" i="35" a="1"/>
  <c r="AM54" i="35" a="1"/>
  <c r="AN54" i="35" a="1"/>
  <c r="AO54" i="35" a="1"/>
  <c r="AP54" i="35" a="1"/>
  <c r="AQ54" i="35" a="1"/>
  <c r="AR54" i="35" a="1"/>
  <c r="AS54" i="35" a="1"/>
  <c r="AT54" i="35" a="1"/>
  <c r="AU54" i="35" a="1"/>
  <c r="AV54" i="35" a="1"/>
  <c r="AW54" i="35" a="1"/>
  <c r="AX54" i="35" a="1"/>
  <c r="AY54" i="35" a="1"/>
  <c r="AZ54" i="35" a="1"/>
  <c r="BA54" i="35" a="1"/>
  <c r="BB54" i="35" a="1"/>
  <c r="BC54" i="35" a="1"/>
  <c r="BD54" i="35" a="1"/>
  <c r="BE54" i="35" a="1"/>
  <c r="BF54" i="35" a="1"/>
  <c r="BG54" i="35" a="1"/>
  <c r="BH54" i="35" a="1"/>
  <c r="BI54" i="35" a="1"/>
  <c r="BJ54" i="35" a="1"/>
  <c r="BK54" i="35" a="1"/>
  <c r="BL54" i="35" a="1"/>
  <c r="BM54" i="35" a="1"/>
  <c r="BN54" i="35" a="1"/>
  <c r="BO54" i="35" a="1"/>
  <c r="BP54" i="35" a="1"/>
  <c r="G54" i="35"/>
  <c r="H54" i="35"/>
  <c r="I54" i="35"/>
  <c r="J54" i="35"/>
  <c r="K54" i="35"/>
  <c r="L54" i="35"/>
  <c r="M54" i="35"/>
  <c r="N54" i="35"/>
  <c r="O54" i="35"/>
  <c r="P54" i="35"/>
  <c r="Q54" i="35"/>
  <c r="R54" i="35"/>
  <c r="S54" i="35"/>
  <c r="T54" i="35"/>
  <c r="U54" i="35"/>
  <c r="V54" i="35"/>
  <c r="W54" i="35"/>
  <c r="X54" i="35"/>
  <c r="Y54" i="35"/>
  <c r="Z54" i="35"/>
  <c r="AA54" i="35"/>
  <c r="AB54" i="35"/>
  <c r="AC54" i="35"/>
  <c r="AD54" i="35"/>
  <c r="AE54" i="35"/>
  <c r="AF54" i="35"/>
  <c r="AG54" i="35"/>
  <c r="AH54" i="35"/>
  <c r="AI54" i="35"/>
  <c r="AJ54" i="35"/>
  <c r="AK54" i="35"/>
  <c r="AL54" i="35"/>
  <c r="AM54" i="35"/>
  <c r="AN54" i="35"/>
  <c r="AO54" i="35"/>
  <c r="AP54" i="35"/>
  <c r="AQ54" i="35"/>
  <c r="AR54" i="35"/>
  <c r="AS54" i="35"/>
  <c r="AT54" i="35"/>
  <c r="AU54" i="35"/>
  <c r="AV54" i="35"/>
  <c r="AW54" i="35"/>
  <c r="AX54" i="35"/>
  <c r="AY54" i="35"/>
  <c r="AZ54" i="35"/>
  <c r="BA54" i="35"/>
  <c r="BB54" i="35"/>
  <c r="BC54" i="35"/>
  <c r="BD54" i="35"/>
  <c r="BE54" i="35"/>
  <c r="BF54" i="35"/>
  <c r="BG54" i="35"/>
  <c r="BH54" i="35"/>
  <c r="BI54" i="35"/>
  <c r="BJ54" i="35"/>
  <c r="BK54" i="35"/>
  <c r="BL54" i="35"/>
  <c r="BM54" i="35"/>
  <c r="BN54" i="35"/>
  <c r="BO54" i="35"/>
  <c r="BP54" i="35"/>
  <c r="AC19" i="35"/>
  <c r="W19" i="35"/>
  <c r="M20" i="35"/>
  <c r="N20" i="35" a="1"/>
  <c r="N20" i="35"/>
  <c r="O20" i="35"/>
  <c r="E33" i="35" a="1"/>
  <c r="E33" i="35"/>
  <c r="F33" i="35" a="1"/>
  <c r="F33" i="35"/>
  <c r="G33" i="35" a="1"/>
  <c r="H33" i="35" a="1"/>
  <c r="I33" i="35" a="1"/>
  <c r="J33" i="35" a="1"/>
  <c r="K33" i="35" a="1"/>
  <c r="L33" i="35" a="1"/>
  <c r="P20" i="35"/>
  <c r="M33" i="35" a="1"/>
  <c r="N33" i="35" a="1"/>
  <c r="O33" i="35" a="1"/>
  <c r="P33" i="35" a="1"/>
  <c r="Q33" i="35" a="1"/>
  <c r="R33" i="35" a="1"/>
  <c r="S33" i="35" a="1"/>
  <c r="T33" i="35" a="1"/>
  <c r="Q20" i="35"/>
  <c r="U33" i="35" a="1"/>
  <c r="V33" i="35" a="1"/>
  <c r="W33" i="35" a="1"/>
  <c r="X33" i="35" a="1"/>
  <c r="Y33" i="35" a="1"/>
  <c r="Z33" i="35" a="1"/>
  <c r="AA33" i="35" a="1"/>
  <c r="AB33" i="35" a="1"/>
  <c r="R20" i="35"/>
  <c r="AC33" i="35" a="1"/>
  <c r="AD33" i="35" a="1"/>
  <c r="AE33" i="35" a="1"/>
  <c r="AF33" i="35" a="1"/>
  <c r="AG33" i="35" a="1"/>
  <c r="AH33" i="35" a="1"/>
  <c r="AI33" i="35" a="1"/>
  <c r="AJ33" i="35" a="1"/>
  <c r="S20" i="35"/>
  <c r="AK33" i="35" a="1"/>
  <c r="AL33" i="35" a="1"/>
  <c r="AM33" i="35" a="1"/>
  <c r="AN33" i="35" a="1"/>
  <c r="AO33" i="35" a="1"/>
  <c r="AP33" i="35" a="1"/>
  <c r="AQ33" i="35" a="1"/>
  <c r="AR33" i="35" a="1"/>
  <c r="T20" i="35"/>
  <c r="AS33" i="35" a="1"/>
  <c r="AT33" i="35" a="1"/>
  <c r="AU33" i="35" a="1"/>
  <c r="AV33" i="35" a="1"/>
  <c r="AW33" i="35" a="1"/>
  <c r="AX33" i="35" a="1"/>
  <c r="AY33" i="35" a="1"/>
  <c r="AZ33" i="35" a="1"/>
  <c r="U20" i="35"/>
  <c r="BA33" i="35" a="1"/>
  <c r="BB33" i="35" a="1"/>
  <c r="BC33" i="35" a="1"/>
  <c r="BD33" i="35" a="1"/>
  <c r="BE33" i="35" a="1"/>
  <c r="BF33" i="35" a="1"/>
  <c r="BG33" i="35" a="1"/>
  <c r="BH33" i="35" a="1"/>
  <c r="V20" i="35"/>
  <c r="BI33" i="35" a="1"/>
  <c r="BJ33" i="35" a="1"/>
  <c r="BK33" i="35" a="1"/>
  <c r="BL33" i="35" a="1"/>
  <c r="BM33" i="35" a="1"/>
  <c r="BN33" i="35" a="1"/>
  <c r="BO33" i="35" a="1"/>
  <c r="BP33" i="35" a="1"/>
  <c r="G33" i="35"/>
  <c r="H33" i="35"/>
  <c r="I33" i="35"/>
  <c r="J33" i="35"/>
  <c r="K33" i="35"/>
  <c r="L33" i="35"/>
  <c r="M33" i="35"/>
  <c r="N33" i="35"/>
  <c r="O33" i="35"/>
  <c r="P33" i="35"/>
  <c r="Q33" i="35"/>
  <c r="R33" i="35"/>
  <c r="S33" i="35"/>
  <c r="T33" i="35"/>
  <c r="U33" i="35"/>
  <c r="V33" i="35"/>
  <c r="W33" i="35"/>
  <c r="X33" i="35"/>
  <c r="Y33" i="35"/>
  <c r="Z33" i="35"/>
  <c r="AA33" i="35"/>
  <c r="AB33" i="35"/>
  <c r="AC33" i="35"/>
  <c r="AD33" i="35"/>
  <c r="AE33" i="35"/>
  <c r="AF33" i="35"/>
  <c r="AG33" i="35"/>
  <c r="AH33" i="35"/>
  <c r="AI33" i="35"/>
  <c r="AJ33" i="35"/>
  <c r="AK33" i="35"/>
  <c r="AL33" i="35"/>
  <c r="AM33" i="35"/>
  <c r="AN33" i="35"/>
  <c r="AO33" i="35"/>
  <c r="AP33" i="35"/>
  <c r="AQ33" i="35"/>
  <c r="AR33" i="35"/>
  <c r="AS33" i="35"/>
  <c r="AT33" i="35"/>
  <c r="AU33" i="35"/>
  <c r="AV33" i="35"/>
  <c r="AW33" i="35"/>
  <c r="AX33" i="35"/>
  <c r="AY33" i="35"/>
  <c r="AZ33" i="35"/>
  <c r="BA33" i="35"/>
  <c r="BB33" i="35"/>
  <c r="BC33" i="35"/>
  <c r="BD33" i="35"/>
  <c r="BE33" i="35"/>
  <c r="BF33" i="35"/>
  <c r="BG33" i="35"/>
  <c r="BH33" i="35"/>
  <c r="BI33" i="35"/>
  <c r="BJ33" i="35"/>
  <c r="BK33" i="35"/>
  <c r="BL33" i="35"/>
  <c r="BM33" i="35"/>
  <c r="BN33" i="35"/>
  <c r="BO33" i="35"/>
  <c r="BP33" i="35"/>
  <c r="AA20" i="35"/>
  <c r="E44" i="35" a="1"/>
  <c r="E44" i="35"/>
  <c r="F44" i="35" a="1"/>
  <c r="F44" i="35"/>
  <c r="G44" i="35" a="1"/>
  <c r="H44" i="35" a="1"/>
  <c r="I44" i="35" a="1"/>
  <c r="J44" i="35" a="1"/>
  <c r="K44" i="35" a="1"/>
  <c r="L44" i="35" a="1"/>
  <c r="M44" i="35" a="1"/>
  <c r="N44" i="35" a="1"/>
  <c r="O44" i="35" a="1"/>
  <c r="P44" i="35" a="1"/>
  <c r="Q44" i="35" a="1"/>
  <c r="R44" i="35" a="1"/>
  <c r="S44" i="35" a="1"/>
  <c r="T44" i="35" a="1"/>
  <c r="U44" i="35" a="1"/>
  <c r="V44" i="35" a="1"/>
  <c r="W44" i="35" a="1"/>
  <c r="X44" i="35" a="1"/>
  <c r="Y44" i="35" a="1"/>
  <c r="Z44" i="35" a="1"/>
  <c r="AA44" i="35" a="1"/>
  <c r="AB44" i="35" a="1"/>
  <c r="AC44" i="35" a="1"/>
  <c r="AD44" i="35" a="1"/>
  <c r="AE44" i="35" a="1"/>
  <c r="AF44" i="35" a="1"/>
  <c r="AG44" i="35" a="1"/>
  <c r="AH44" i="35" a="1"/>
  <c r="AI44" i="35" a="1"/>
  <c r="AJ44" i="35" a="1"/>
  <c r="AK44" i="35" a="1"/>
  <c r="AL44" i="35" a="1"/>
  <c r="AM44" i="35" a="1"/>
  <c r="AN44" i="35" a="1"/>
  <c r="AO44" i="35" a="1"/>
  <c r="AP44" i="35" a="1"/>
  <c r="AQ44" i="35" a="1"/>
  <c r="AR44" i="35" a="1"/>
  <c r="AS44" i="35" a="1"/>
  <c r="AT44" i="35" a="1"/>
  <c r="AU44" i="35" a="1"/>
  <c r="AV44" i="35" a="1"/>
  <c r="AW44" i="35" a="1"/>
  <c r="AX44" i="35" a="1"/>
  <c r="AY44" i="35" a="1"/>
  <c r="AZ44" i="35" a="1"/>
  <c r="BA44" i="35" a="1"/>
  <c r="BB44" i="35" a="1"/>
  <c r="BC44" i="35" a="1"/>
  <c r="BD44" i="35" a="1"/>
  <c r="BE44" i="35" a="1"/>
  <c r="BF44" i="35" a="1"/>
  <c r="BG44" i="35" a="1"/>
  <c r="BH44" i="35" a="1"/>
  <c r="BI44" i="35" a="1"/>
  <c r="BJ44" i="35" a="1"/>
  <c r="BK44" i="35" a="1"/>
  <c r="BL44" i="35" a="1"/>
  <c r="BM44" i="35" a="1"/>
  <c r="BN44" i="35" a="1"/>
  <c r="BO44" i="35" a="1"/>
  <c r="BP44" i="35" a="1"/>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AB20" i="35"/>
  <c r="E55" i="35" a="1"/>
  <c r="E55" i="35"/>
  <c r="F55" i="35" a="1"/>
  <c r="F55" i="35"/>
  <c r="G55" i="35" a="1"/>
  <c r="H55" i="35" a="1"/>
  <c r="I55" i="35" a="1"/>
  <c r="J55" i="35" a="1"/>
  <c r="K55" i="35" a="1"/>
  <c r="L55" i="35" a="1"/>
  <c r="M55" i="35" a="1"/>
  <c r="N55" i="35" a="1"/>
  <c r="O55" i="35" a="1"/>
  <c r="P55" i="35" a="1"/>
  <c r="Q55" i="35" a="1"/>
  <c r="R55" i="35" a="1"/>
  <c r="S55" i="35" a="1"/>
  <c r="T55" i="35" a="1"/>
  <c r="U55" i="35" a="1"/>
  <c r="V55" i="35" a="1"/>
  <c r="W55" i="35" a="1"/>
  <c r="X55" i="35" a="1"/>
  <c r="Y55" i="35" a="1"/>
  <c r="Z55" i="35" a="1"/>
  <c r="AA55" i="35" a="1"/>
  <c r="AB55" i="35" a="1"/>
  <c r="AC55" i="35" a="1"/>
  <c r="AD55" i="35" a="1"/>
  <c r="AE55" i="35" a="1"/>
  <c r="AF55" i="35" a="1"/>
  <c r="AG55" i="35" a="1"/>
  <c r="AH55" i="35" a="1"/>
  <c r="AI55" i="35" a="1"/>
  <c r="AJ55" i="35" a="1"/>
  <c r="AK55" i="35" a="1"/>
  <c r="AL55" i="35" a="1"/>
  <c r="AM55" i="35" a="1"/>
  <c r="AN55" i="35" a="1"/>
  <c r="AO55" i="35" a="1"/>
  <c r="AP55" i="35" a="1"/>
  <c r="AQ55" i="35" a="1"/>
  <c r="AR55" i="35" a="1"/>
  <c r="AS55" i="35" a="1"/>
  <c r="AT55" i="35" a="1"/>
  <c r="AU55" i="35" a="1"/>
  <c r="AV55" i="35" a="1"/>
  <c r="AW55" i="35" a="1"/>
  <c r="AX55" i="35" a="1"/>
  <c r="AY55" i="35" a="1"/>
  <c r="AZ55" i="35" a="1"/>
  <c r="BA55" i="35" a="1"/>
  <c r="BB55" i="35" a="1"/>
  <c r="BC55" i="35" a="1"/>
  <c r="BD55" i="35" a="1"/>
  <c r="BE55" i="35" a="1"/>
  <c r="BF55" i="35" a="1"/>
  <c r="BG55" i="35" a="1"/>
  <c r="BH55" i="35" a="1"/>
  <c r="BI55" i="35" a="1"/>
  <c r="BJ55" i="35" a="1"/>
  <c r="BK55" i="35" a="1"/>
  <c r="BL55" i="35" a="1"/>
  <c r="BM55" i="35" a="1"/>
  <c r="BN55" i="35" a="1"/>
  <c r="BO55" i="35" a="1"/>
  <c r="BP55" i="35" a="1"/>
  <c r="G55" i="35"/>
  <c r="H55" i="35"/>
  <c r="I55" i="35"/>
  <c r="J55" i="35"/>
  <c r="K55" i="35"/>
  <c r="L55" i="35"/>
  <c r="M55" i="35"/>
  <c r="N55" i="35"/>
  <c r="O55" i="35"/>
  <c r="P55" i="35"/>
  <c r="Q55" i="35"/>
  <c r="R55" i="35"/>
  <c r="S55" i="35"/>
  <c r="T55" i="35"/>
  <c r="U55" i="35"/>
  <c r="V55" i="35"/>
  <c r="W55" i="35"/>
  <c r="X55" i="35"/>
  <c r="Y55" i="35"/>
  <c r="Z55" i="35"/>
  <c r="AA55" i="35"/>
  <c r="AB55" i="35"/>
  <c r="AC55" i="35"/>
  <c r="AD55" i="35"/>
  <c r="AE55" i="35"/>
  <c r="AF55" i="35"/>
  <c r="AG55" i="35"/>
  <c r="AH55" i="35"/>
  <c r="AI55" i="35"/>
  <c r="AJ55" i="35"/>
  <c r="AK55" i="35"/>
  <c r="AL55" i="35"/>
  <c r="AM55" i="35"/>
  <c r="AN55" i="35"/>
  <c r="AO55" i="35"/>
  <c r="AP55" i="35"/>
  <c r="AQ55" i="35"/>
  <c r="AR55" i="35"/>
  <c r="AS55" i="35"/>
  <c r="AT55" i="35"/>
  <c r="AU55" i="35"/>
  <c r="AV55" i="35"/>
  <c r="AW55" i="35"/>
  <c r="AX55" i="35"/>
  <c r="AY55" i="35"/>
  <c r="AZ55" i="35"/>
  <c r="BA55" i="35"/>
  <c r="BB55" i="35"/>
  <c r="BC55" i="35"/>
  <c r="BD55" i="35"/>
  <c r="BE55" i="35"/>
  <c r="BF55" i="35"/>
  <c r="BG55" i="35"/>
  <c r="BH55" i="35"/>
  <c r="BI55" i="35"/>
  <c r="BJ55" i="35"/>
  <c r="BK55" i="35"/>
  <c r="BL55" i="35"/>
  <c r="BM55" i="35"/>
  <c r="BN55" i="35"/>
  <c r="BO55" i="35"/>
  <c r="BP55" i="35"/>
  <c r="AC20" i="35"/>
  <c r="W20" i="35"/>
  <c r="M21" i="35"/>
  <c r="N21" i="35" a="1"/>
  <c r="N21" i="35"/>
  <c r="O21" i="35"/>
  <c r="E34" i="35" a="1"/>
  <c r="E34" i="35"/>
  <c r="F34" i="35" a="1"/>
  <c r="F34" i="35"/>
  <c r="G34" i="35" a="1"/>
  <c r="H34" i="35" a="1"/>
  <c r="I34" i="35" a="1"/>
  <c r="J34" i="35" a="1"/>
  <c r="K34" i="35" a="1"/>
  <c r="L34" i="35" a="1"/>
  <c r="P21" i="35"/>
  <c r="M34" i="35" a="1"/>
  <c r="N34" i="35" a="1"/>
  <c r="O34" i="35" a="1"/>
  <c r="P34" i="35" a="1"/>
  <c r="Q34" i="35" a="1"/>
  <c r="R34" i="35" a="1"/>
  <c r="S34" i="35" a="1"/>
  <c r="T34" i="35" a="1"/>
  <c r="Q21" i="35"/>
  <c r="U34" i="35" a="1"/>
  <c r="V34" i="35" a="1"/>
  <c r="W34" i="35" a="1"/>
  <c r="X34" i="35" a="1"/>
  <c r="Y34" i="35" a="1"/>
  <c r="Z34" i="35" a="1"/>
  <c r="AA34" i="35" a="1"/>
  <c r="AB34" i="35" a="1"/>
  <c r="R21" i="35"/>
  <c r="AC34" i="35" a="1"/>
  <c r="AD34" i="35" a="1"/>
  <c r="AE34" i="35" a="1"/>
  <c r="AF34" i="35" a="1"/>
  <c r="AG34" i="35" a="1"/>
  <c r="AH34" i="35" a="1"/>
  <c r="AI34" i="35" a="1"/>
  <c r="AJ34" i="35" a="1"/>
  <c r="S21" i="35"/>
  <c r="AK34" i="35" a="1"/>
  <c r="AL34" i="35" a="1"/>
  <c r="AM34" i="35" a="1"/>
  <c r="AN34" i="35" a="1"/>
  <c r="AO34" i="35" a="1"/>
  <c r="AP34" i="35" a="1"/>
  <c r="AQ34" i="35" a="1"/>
  <c r="AR34" i="35" a="1"/>
  <c r="T21" i="35"/>
  <c r="AS34" i="35" a="1"/>
  <c r="AT34" i="35" a="1"/>
  <c r="AU34" i="35" a="1"/>
  <c r="AV34" i="35" a="1"/>
  <c r="AW34" i="35" a="1"/>
  <c r="AX34" i="35" a="1"/>
  <c r="AY34" i="35" a="1"/>
  <c r="AZ34" i="35" a="1"/>
  <c r="U21" i="35"/>
  <c r="BA34" i="35" a="1"/>
  <c r="BB34" i="35" a="1"/>
  <c r="BC34" i="35" a="1"/>
  <c r="BD34" i="35" a="1"/>
  <c r="BE34" i="35" a="1"/>
  <c r="BF34" i="35" a="1"/>
  <c r="BG34" i="35" a="1"/>
  <c r="BH34" i="35" a="1"/>
  <c r="V21" i="35"/>
  <c r="BI34" i="35" a="1"/>
  <c r="BJ34" i="35" a="1"/>
  <c r="BK34" i="35" a="1"/>
  <c r="BL34" i="35" a="1"/>
  <c r="BM34" i="35" a="1"/>
  <c r="BN34" i="35" a="1"/>
  <c r="BO34" i="35" a="1"/>
  <c r="BP34" i="35" a="1"/>
  <c r="G34" i="35"/>
  <c r="H34" i="35"/>
  <c r="I34" i="35"/>
  <c r="J34" i="35"/>
  <c r="K34" i="35"/>
  <c r="L34" i="35"/>
  <c r="M34" i="35"/>
  <c r="N34" i="35"/>
  <c r="O34" i="35"/>
  <c r="P34" i="35"/>
  <c r="Q34" i="35"/>
  <c r="R34" i="35"/>
  <c r="S34" i="35"/>
  <c r="T34" i="35"/>
  <c r="U34" i="35"/>
  <c r="V34" i="35"/>
  <c r="W34" i="35"/>
  <c r="X34" i="35"/>
  <c r="Y34" i="35"/>
  <c r="Z34" i="35"/>
  <c r="AA34" i="35"/>
  <c r="AB34" i="35"/>
  <c r="AC34" i="35"/>
  <c r="AD34" i="35"/>
  <c r="AE34" i="35"/>
  <c r="AF34" i="35"/>
  <c r="AG34" i="35"/>
  <c r="AH34" i="35"/>
  <c r="AI34" i="35"/>
  <c r="AJ34" i="35"/>
  <c r="AK34" i="35"/>
  <c r="AL34" i="35"/>
  <c r="AM34" i="35"/>
  <c r="AN34" i="35"/>
  <c r="AO34" i="35"/>
  <c r="AP34" i="35"/>
  <c r="AQ34" i="35"/>
  <c r="AR34" i="35"/>
  <c r="AS34" i="35"/>
  <c r="AT34" i="35"/>
  <c r="AU34" i="35"/>
  <c r="AV34" i="35"/>
  <c r="AW34" i="35"/>
  <c r="AX34" i="35"/>
  <c r="AY34" i="35"/>
  <c r="AZ34" i="35"/>
  <c r="BA34" i="35"/>
  <c r="BB34" i="35"/>
  <c r="BC34" i="35"/>
  <c r="BD34" i="35"/>
  <c r="BE34" i="35"/>
  <c r="BF34" i="35"/>
  <c r="BG34" i="35"/>
  <c r="BH34" i="35"/>
  <c r="BI34" i="35"/>
  <c r="BJ34" i="35"/>
  <c r="BK34" i="35"/>
  <c r="BL34" i="35"/>
  <c r="BM34" i="35"/>
  <c r="BN34" i="35"/>
  <c r="BO34" i="35"/>
  <c r="BP34" i="35"/>
  <c r="AA21" i="35"/>
  <c r="E45" i="35" a="1"/>
  <c r="E45" i="35"/>
  <c r="F45" i="35" a="1"/>
  <c r="F45" i="35"/>
  <c r="G45" i="35" a="1"/>
  <c r="H45" i="35" a="1"/>
  <c r="I45" i="35" a="1"/>
  <c r="J45" i="35" a="1"/>
  <c r="K45" i="35" a="1"/>
  <c r="L45" i="35" a="1"/>
  <c r="M45" i="35" a="1"/>
  <c r="N45" i="35" a="1"/>
  <c r="O45" i="35" a="1"/>
  <c r="P45" i="35" a="1"/>
  <c r="Q45" i="35" a="1"/>
  <c r="R45" i="35" a="1"/>
  <c r="S45" i="35" a="1"/>
  <c r="T45" i="35" a="1"/>
  <c r="U45" i="35" a="1"/>
  <c r="V45" i="35" a="1"/>
  <c r="W45" i="35" a="1"/>
  <c r="X45" i="35" a="1"/>
  <c r="Y45" i="35" a="1"/>
  <c r="Z45" i="35" a="1"/>
  <c r="AA45" i="35" a="1"/>
  <c r="AB45" i="35" a="1"/>
  <c r="AC45" i="35" a="1"/>
  <c r="AD45" i="35" a="1"/>
  <c r="AE45" i="35" a="1"/>
  <c r="AF45" i="35" a="1"/>
  <c r="AG45" i="35" a="1"/>
  <c r="AH45" i="35" a="1"/>
  <c r="AI45" i="35" a="1"/>
  <c r="AJ45" i="35" a="1"/>
  <c r="AK45" i="35" a="1"/>
  <c r="AL45" i="35" a="1"/>
  <c r="AM45" i="35" a="1"/>
  <c r="AN45" i="35" a="1"/>
  <c r="AO45" i="35" a="1"/>
  <c r="AP45" i="35" a="1"/>
  <c r="AQ45" i="35" a="1"/>
  <c r="AR45" i="35" a="1"/>
  <c r="AS45" i="35" a="1"/>
  <c r="AT45" i="35" a="1"/>
  <c r="AU45" i="35" a="1"/>
  <c r="AV45" i="35" a="1"/>
  <c r="AW45" i="35" a="1"/>
  <c r="AX45" i="35" a="1"/>
  <c r="AY45" i="35" a="1"/>
  <c r="AZ45" i="35" a="1"/>
  <c r="BA45" i="35" a="1"/>
  <c r="BB45" i="35" a="1"/>
  <c r="BC45" i="35" a="1"/>
  <c r="BD45" i="35" a="1"/>
  <c r="BE45" i="35" a="1"/>
  <c r="BF45" i="35" a="1"/>
  <c r="BG45" i="35" a="1"/>
  <c r="BH45" i="35" a="1"/>
  <c r="BI45" i="35" a="1"/>
  <c r="BJ45" i="35" a="1"/>
  <c r="BK45" i="35" a="1"/>
  <c r="BL45" i="35" a="1"/>
  <c r="BM45" i="35" a="1"/>
  <c r="BN45" i="35" a="1"/>
  <c r="BO45" i="35" a="1"/>
  <c r="BP45" i="35" a="1"/>
  <c r="G45" i="35"/>
  <c r="H45" i="35"/>
  <c r="I45" i="35"/>
  <c r="J45" i="35"/>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AB21" i="35"/>
  <c r="E56" i="35" a="1"/>
  <c r="E56" i="35"/>
  <c r="F56" i="35" a="1"/>
  <c r="F56" i="35"/>
  <c r="G56" i="35" a="1"/>
  <c r="H56" i="35" a="1"/>
  <c r="I56" i="35" a="1"/>
  <c r="J56" i="35" a="1"/>
  <c r="K56" i="35" a="1"/>
  <c r="L56" i="35" a="1"/>
  <c r="M56" i="35" a="1"/>
  <c r="N56" i="35" a="1"/>
  <c r="O56" i="35" a="1"/>
  <c r="P56" i="35" a="1"/>
  <c r="Q56" i="35" a="1"/>
  <c r="R56" i="35" a="1"/>
  <c r="S56" i="35" a="1"/>
  <c r="T56" i="35" a="1"/>
  <c r="U56" i="35" a="1"/>
  <c r="V56" i="35" a="1"/>
  <c r="W56" i="35" a="1"/>
  <c r="X56" i="35" a="1"/>
  <c r="Y56" i="35" a="1"/>
  <c r="Z56" i="35" a="1"/>
  <c r="AA56" i="35" a="1"/>
  <c r="AB56" i="35" a="1"/>
  <c r="AC56" i="35" a="1"/>
  <c r="AD56" i="35" a="1"/>
  <c r="AE56" i="35" a="1"/>
  <c r="AF56" i="35" a="1"/>
  <c r="AG56" i="35" a="1"/>
  <c r="AH56" i="35" a="1"/>
  <c r="AI56" i="35" a="1"/>
  <c r="AJ56" i="35" a="1"/>
  <c r="AK56" i="35" a="1"/>
  <c r="AL56" i="35" a="1"/>
  <c r="AM56" i="35" a="1"/>
  <c r="AN56" i="35" a="1"/>
  <c r="AO56" i="35" a="1"/>
  <c r="AP56" i="35" a="1"/>
  <c r="AQ56" i="35" a="1"/>
  <c r="AR56" i="35" a="1"/>
  <c r="AS56" i="35" a="1"/>
  <c r="AT56" i="35" a="1"/>
  <c r="AU56" i="35" a="1"/>
  <c r="AV56" i="35" a="1"/>
  <c r="AW56" i="35" a="1"/>
  <c r="AX56" i="35" a="1"/>
  <c r="AY56" i="35" a="1"/>
  <c r="AZ56" i="35" a="1"/>
  <c r="BA56" i="35" a="1"/>
  <c r="BB56" i="35" a="1"/>
  <c r="BC56" i="35" a="1"/>
  <c r="BD56" i="35" a="1"/>
  <c r="BE56" i="35" a="1"/>
  <c r="BF56" i="35" a="1"/>
  <c r="BG56" i="35" a="1"/>
  <c r="BH56" i="35" a="1"/>
  <c r="BI56" i="35" a="1"/>
  <c r="BJ56" i="35" a="1"/>
  <c r="BK56" i="35" a="1"/>
  <c r="BL56" i="35" a="1"/>
  <c r="BM56" i="35" a="1"/>
  <c r="BN56" i="35" a="1"/>
  <c r="BO56" i="35" a="1"/>
  <c r="BP56" i="35" a="1"/>
  <c r="G56" i="35"/>
  <c r="H56" i="35"/>
  <c r="I56" i="35"/>
  <c r="J56" i="35"/>
  <c r="K56" i="35"/>
  <c r="L56" i="35"/>
  <c r="M56" i="35"/>
  <c r="N56" i="35"/>
  <c r="O56" i="35"/>
  <c r="P56" i="35"/>
  <c r="Q56" i="35"/>
  <c r="R56" i="35"/>
  <c r="S56" i="35"/>
  <c r="T56" i="35"/>
  <c r="U56" i="35"/>
  <c r="V56" i="35"/>
  <c r="W56" i="35"/>
  <c r="X56" i="35"/>
  <c r="Y56" i="35"/>
  <c r="Z56" i="35"/>
  <c r="AA56" i="35"/>
  <c r="AB56" i="35"/>
  <c r="AC56" i="35"/>
  <c r="AD56" i="35"/>
  <c r="AE56" i="35"/>
  <c r="AF56" i="35"/>
  <c r="AG56" i="35"/>
  <c r="AH56" i="35"/>
  <c r="AI56" i="35"/>
  <c r="AJ56" i="35"/>
  <c r="AK56" i="35"/>
  <c r="AL56" i="35"/>
  <c r="AM56" i="35"/>
  <c r="AN56" i="35"/>
  <c r="AO56" i="35"/>
  <c r="AP56" i="35"/>
  <c r="AQ56" i="35"/>
  <c r="AR56" i="35"/>
  <c r="AS56" i="35"/>
  <c r="AT56" i="35"/>
  <c r="AU56" i="35"/>
  <c r="AV56" i="35"/>
  <c r="AW56" i="35"/>
  <c r="AX56" i="35"/>
  <c r="AY56" i="35"/>
  <c r="AZ56" i="35"/>
  <c r="BA56" i="35"/>
  <c r="BB56" i="35"/>
  <c r="BC56" i="35"/>
  <c r="BD56" i="35"/>
  <c r="BE56" i="35"/>
  <c r="BF56" i="35"/>
  <c r="BG56" i="35"/>
  <c r="BH56" i="35"/>
  <c r="BI56" i="35"/>
  <c r="BJ56" i="35"/>
  <c r="BK56" i="35"/>
  <c r="BL56" i="35"/>
  <c r="BM56" i="35"/>
  <c r="BN56" i="35"/>
  <c r="BO56" i="35"/>
  <c r="BP56" i="35"/>
  <c r="AC21" i="35"/>
  <c r="W21" i="35"/>
  <c r="M22" i="35"/>
  <c r="N22" i="35" a="1"/>
  <c r="N22" i="35"/>
  <c r="O22" i="35"/>
  <c r="BT52" i="35"/>
  <c r="BU52" i="35"/>
  <c r="BV52" i="35"/>
  <c r="BW52" i="35"/>
  <c r="BX51" i="35"/>
  <c r="BX52" i="35"/>
  <c r="BY52" i="35"/>
  <c r="BZ52" i="35"/>
  <c r="CA52" i="35"/>
  <c r="BS53" i="35"/>
  <c r="BU53" i="35"/>
  <c r="BV53" i="35"/>
  <c r="BW53" i="35"/>
  <c r="BX53" i="35"/>
  <c r="BY53" i="35"/>
  <c r="BZ53" i="35"/>
  <c r="CA53" i="35"/>
  <c r="BS54" i="35"/>
  <c r="BT54" i="35"/>
  <c r="BV54" i="35"/>
  <c r="BW54" i="35"/>
  <c r="BX54" i="35"/>
  <c r="BY54" i="35"/>
  <c r="BZ54" i="35"/>
  <c r="CA54" i="35"/>
  <c r="BS55" i="35"/>
  <c r="BT55" i="35"/>
  <c r="BU55" i="35"/>
  <c r="BW55" i="35"/>
  <c r="BX55" i="35"/>
  <c r="BY55" i="35"/>
  <c r="BZ55" i="35"/>
  <c r="CA55" i="35"/>
  <c r="BS56" i="35"/>
  <c r="BT56" i="35"/>
  <c r="BU56" i="35"/>
  <c r="BV56" i="35"/>
  <c r="BX56" i="35"/>
  <c r="BY56" i="35"/>
  <c r="BZ56" i="35"/>
  <c r="CA56" i="35"/>
  <c r="BR57" i="35"/>
  <c r="BS57" i="35"/>
  <c r="BT57" i="35"/>
  <c r="BU57" i="35"/>
  <c r="BV57" i="35"/>
  <c r="BW57" i="35"/>
  <c r="BY57" i="35"/>
  <c r="BZ57" i="35"/>
  <c r="CA57" i="35"/>
  <c r="BS58" i="35"/>
  <c r="BT58" i="35"/>
  <c r="BU58" i="35"/>
  <c r="BV58" i="35"/>
  <c r="BW58" i="35"/>
  <c r="BX58" i="35"/>
  <c r="BZ58" i="35"/>
  <c r="CA58" i="35"/>
  <c r="BS59" i="35"/>
  <c r="BT59" i="35"/>
  <c r="BU59" i="35"/>
  <c r="BV59" i="35"/>
  <c r="BW59" i="35"/>
  <c r="BX59" i="35"/>
  <c r="BY59" i="35"/>
  <c r="CA59" i="35"/>
  <c r="BS60" i="35"/>
  <c r="BT60" i="35"/>
  <c r="BU60" i="35"/>
  <c r="BV60" i="35"/>
  <c r="BW60" i="35"/>
  <c r="BX60" i="35"/>
  <c r="BY60" i="35"/>
  <c r="BZ60" i="35"/>
  <c r="C22" i="35"/>
  <c r="E35" i="35" a="1"/>
  <c r="E35" i="35"/>
  <c r="F35" i="35" a="1"/>
  <c r="F35" i="35"/>
  <c r="G35" i="35" a="1"/>
  <c r="H35" i="35" a="1"/>
  <c r="I35" i="35" a="1"/>
  <c r="M23" i="35"/>
  <c r="N23" i="35" a="1"/>
  <c r="N23" i="35"/>
  <c r="O23" i="35"/>
  <c r="J35" i="35" a="1"/>
  <c r="M24" i="35"/>
  <c r="N24" i="35" a="1"/>
  <c r="N24" i="35"/>
  <c r="O24" i="35"/>
  <c r="K35" i="35" a="1"/>
  <c r="M25" i="35"/>
  <c r="N25" i="35" a="1"/>
  <c r="N25" i="35"/>
  <c r="O25" i="35"/>
  <c r="L35" i="35" a="1"/>
  <c r="P22" i="35"/>
  <c r="M35" i="35" a="1"/>
  <c r="N35" i="35" a="1"/>
  <c r="O35" i="35" a="1"/>
  <c r="P35" i="35" a="1"/>
  <c r="Q35" i="35" a="1"/>
  <c r="P23" i="35"/>
  <c r="R35" i="35" a="1"/>
  <c r="P24" i="35"/>
  <c r="S35" i="35" a="1"/>
  <c r="P25" i="35"/>
  <c r="T35" i="35" a="1"/>
  <c r="Q22" i="35"/>
  <c r="U35" i="35" a="1"/>
  <c r="V35" i="35" a="1"/>
  <c r="W35" i="35" a="1"/>
  <c r="X35" i="35" a="1"/>
  <c r="Y35" i="35" a="1"/>
  <c r="Q23" i="35"/>
  <c r="Z35" i="35" a="1"/>
  <c r="Q24" i="35"/>
  <c r="AA35" i="35" a="1"/>
  <c r="Q25" i="35"/>
  <c r="AB35" i="35" a="1"/>
  <c r="R22" i="35"/>
  <c r="AC35" i="35" a="1"/>
  <c r="AD35" i="35" a="1"/>
  <c r="AE35" i="35" a="1"/>
  <c r="AF35" i="35" a="1"/>
  <c r="AG35" i="35" a="1"/>
  <c r="R23" i="35"/>
  <c r="AH35" i="35" a="1"/>
  <c r="R24" i="35"/>
  <c r="AI35" i="35" a="1"/>
  <c r="R25" i="35"/>
  <c r="AJ35" i="35" a="1"/>
  <c r="S22" i="35"/>
  <c r="AK35" i="35" a="1"/>
  <c r="AL35" i="35" a="1"/>
  <c r="AM35" i="35" a="1"/>
  <c r="AN35" i="35" a="1"/>
  <c r="AO35" i="35" a="1"/>
  <c r="S23" i="35"/>
  <c r="AP35" i="35" a="1"/>
  <c r="S24" i="35"/>
  <c r="AQ35" i="35" a="1"/>
  <c r="S25" i="35"/>
  <c r="AR35" i="35" a="1"/>
  <c r="T22" i="35"/>
  <c r="AS35" i="35" a="1"/>
  <c r="AT35" i="35" a="1"/>
  <c r="AU35" i="35" a="1"/>
  <c r="AV35" i="35" a="1"/>
  <c r="AW35" i="35" a="1"/>
  <c r="T23" i="35"/>
  <c r="AX35" i="35" a="1"/>
  <c r="T24" i="35"/>
  <c r="AY35" i="35" a="1"/>
  <c r="T25" i="35"/>
  <c r="AZ35" i="35" a="1"/>
  <c r="U22" i="35"/>
  <c r="BA35" i="35" a="1"/>
  <c r="BB35" i="35" a="1"/>
  <c r="BC35" i="35" a="1"/>
  <c r="BD35" i="35" a="1"/>
  <c r="BE35" i="35" a="1"/>
  <c r="U23" i="35"/>
  <c r="BF35" i="35" a="1"/>
  <c r="U24" i="35"/>
  <c r="BG35" i="35" a="1"/>
  <c r="U25" i="35"/>
  <c r="BH35" i="35" a="1"/>
  <c r="V22" i="35"/>
  <c r="BI35" i="35" a="1"/>
  <c r="BJ35" i="35" a="1"/>
  <c r="BK35" i="35" a="1"/>
  <c r="BL35" i="35" a="1"/>
  <c r="BM35" i="35" a="1"/>
  <c r="V23" i="35"/>
  <c r="BN35" i="35" a="1"/>
  <c r="V24" i="35"/>
  <c r="BO35" i="35" a="1"/>
  <c r="V25" i="35"/>
  <c r="BP35" i="35" a="1"/>
  <c r="G35" i="35"/>
  <c r="H35" i="35"/>
  <c r="I35" i="35"/>
  <c r="J35" i="35"/>
  <c r="K35" i="35"/>
  <c r="L35" i="35"/>
  <c r="M35" i="35"/>
  <c r="N35" i="35"/>
  <c r="O35" i="35"/>
  <c r="P35" i="35"/>
  <c r="Q35" i="35"/>
  <c r="R35" i="35"/>
  <c r="S35" i="35"/>
  <c r="T35" i="35"/>
  <c r="U35" i="35"/>
  <c r="V35" i="35"/>
  <c r="W35" i="35"/>
  <c r="X35" i="35"/>
  <c r="Y35" i="35"/>
  <c r="Z35" i="35"/>
  <c r="AA35" i="35"/>
  <c r="AB35" i="35"/>
  <c r="AC35" i="35"/>
  <c r="AD35" i="35"/>
  <c r="AE35" i="35"/>
  <c r="AF35" i="35"/>
  <c r="AG35" i="35"/>
  <c r="AH35" i="35"/>
  <c r="AI35" i="35"/>
  <c r="AJ35" i="35"/>
  <c r="AK35" i="35"/>
  <c r="AL35" i="35"/>
  <c r="AM35" i="35"/>
  <c r="AN35" i="35"/>
  <c r="AO35" i="35"/>
  <c r="AP35" i="35"/>
  <c r="AQ35" i="35"/>
  <c r="AR35" i="35"/>
  <c r="AS35" i="35"/>
  <c r="AT35" i="35"/>
  <c r="AU35" i="35"/>
  <c r="AV35" i="35"/>
  <c r="AW35" i="35"/>
  <c r="AX35" i="35"/>
  <c r="AY35" i="35"/>
  <c r="AZ35" i="35"/>
  <c r="BA35" i="35"/>
  <c r="BB35" i="35"/>
  <c r="BC35" i="35"/>
  <c r="BD35" i="35"/>
  <c r="BE35" i="35"/>
  <c r="BF35" i="35"/>
  <c r="BG35" i="35"/>
  <c r="BH35" i="35"/>
  <c r="BI35" i="35"/>
  <c r="BJ35" i="35"/>
  <c r="BK35" i="35"/>
  <c r="BL35" i="35"/>
  <c r="BM35" i="35"/>
  <c r="BN35" i="35"/>
  <c r="BO35" i="35"/>
  <c r="BP35" i="35"/>
  <c r="AA22" i="35"/>
  <c r="BT30" i="35"/>
  <c r="BS31" i="35"/>
  <c r="BT41" i="35"/>
  <c r="BU30" i="35"/>
  <c r="BS32" i="35"/>
  <c r="BU41" i="35"/>
  <c r="BV30" i="35"/>
  <c r="BS33" i="35"/>
  <c r="BV41" i="35"/>
  <c r="BW30" i="35"/>
  <c r="BS34" i="35"/>
  <c r="BW41" i="35"/>
  <c r="BX29" i="35"/>
  <c r="BX30" i="35"/>
  <c r="BR35" i="35"/>
  <c r="BS35" i="35"/>
  <c r="BX41" i="35"/>
  <c r="BY30" i="35"/>
  <c r="BS36" i="35"/>
  <c r="BY41" i="35"/>
  <c r="BZ30" i="35"/>
  <c r="BS37" i="35"/>
  <c r="BZ41" i="35"/>
  <c r="CA30" i="35"/>
  <c r="BS38" i="35"/>
  <c r="CA41" i="35"/>
  <c r="BS42" i="35"/>
  <c r="BU31" i="35"/>
  <c r="BT32" i="35"/>
  <c r="BU42" i="35"/>
  <c r="BV31" i="35"/>
  <c r="BT33" i="35"/>
  <c r="BV42" i="35"/>
  <c r="BW31" i="35"/>
  <c r="BT34" i="35"/>
  <c r="BW42" i="35"/>
  <c r="BX31" i="35"/>
  <c r="BT35" i="35"/>
  <c r="BX42" i="35"/>
  <c r="BY31" i="35"/>
  <c r="BT36" i="35"/>
  <c r="BY42" i="35"/>
  <c r="BZ31" i="35"/>
  <c r="BT37" i="35"/>
  <c r="BZ42" i="35"/>
  <c r="CA31" i="35"/>
  <c r="BT38" i="35"/>
  <c r="CA42" i="35"/>
  <c r="BS43" i="35"/>
  <c r="BT43" i="35"/>
  <c r="BV32" i="35"/>
  <c r="BU33" i="35"/>
  <c r="BV43" i="35"/>
  <c r="BW32" i="35"/>
  <c r="BU34" i="35"/>
  <c r="BW43" i="35"/>
  <c r="BX32" i="35"/>
  <c r="BU35" i="35"/>
  <c r="BX43" i="35"/>
  <c r="BY32" i="35"/>
  <c r="BU36" i="35"/>
  <c r="BY43" i="35"/>
  <c r="BZ32" i="35"/>
  <c r="BU37" i="35"/>
  <c r="BZ43" i="35"/>
  <c r="CA32" i="35"/>
  <c r="BU38" i="35"/>
  <c r="CA43" i="35"/>
  <c r="BS44" i="35"/>
  <c r="BT44" i="35"/>
  <c r="BU44" i="35"/>
  <c r="BW33" i="35"/>
  <c r="BV34" i="35"/>
  <c r="BW44" i="35"/>
  <c r="BX33" i="35"/>
  <c r="BV35" i="35"/>
  <c r="BX44" i="35"/>
  <c r="BY33" i="35"/>
  <c r="BV36" i="35"/>
  <c r="BY44" i="35"/>
  <c r="BZ33" i="35"/>
  <c r="BV37" i="35"/>
  <c r="BZ44" i="35"/>
  <c r="CA33" i="35"/>
  <c r="BV38" i="35"/>
  <c r="CA44" i="35"/>
  <c r="BS45" i="35"/>
  <c r="BT45" i="35"/>
  <c r="BU45" i="35"/>
  <c r="BV45" i="35"/>
  <c r="BX34" i="35"/>
  <c r="BW35" i="35"/>
  <c r="BX45" i="35"/>
  <c r="BY34" i="35"/>
  <c r="BW36" i="35"/>
  <c r="BY45" i="35"/>
  <c r="BZ34" i="35"/>
  <c r="BW37" i="35"/>
  <c r="BZ45" i="35"/>
  <c r="CA34" i="35"/>
  <c r="BW38" i="35"/>
  <c r="CA45" i="35"/>
  <c r="BS46" i="35"/>
  <c r="BT46" i="35"/>
  <c r="BU46" i="35"/>
  <c r="BV46" i="35"/>
  <c r="BW46" i="35"/>
  <c r="BY35" i="35"/>
  <c r="BX36" i="35"/>
  <c r="BY46" i="35"/>
  <c r="BZ35" i="35"/>
  <c r="BX37" i="35"/>
  <c r="BZ46" i="35"/>
  <c r="CA35" i="35"/>
  <c r="BX38" i="35"/>
  <c r="CA46" i="35"/>
  <c r="BS47" i="35"/>
  <c r="BT47" i="35"/>
  <c r="BU47" i="35"/>
  <c r="BV47" i="35"/>
  <c r="BW47" i="35"/>
  <c r="BX47" i="35"/>
  <c r="BZ36" i="35"/>
  <c r="BY37" i="35"/>
  <c r="BZ47" i="35"/>
  <c r="CA36" i="35"/>
  <c r="BY38" i="35"/>
  <c r="CA47" i="35"/>
  <c r="BS48" i="35"/>
  <c r="BT48" i="35"/>
  <c r="BU48" i="35"/>
  <c r="BV48" i="35"/>
  <c r="BW48" i="35"/>
  <c r="BX48" i="35"/>
  <c r="BY48" i="35"/>
  <c r="CA37" i="35"/>
  <c r="BZ38" i="35"/>
  <c r="CA48" i="35"/>
  <c r="BS49" i="35"/>
  <c r="BT49" i="35"/>
  <c r="BU49" i="35"/>
  <c r="BV49" i="35"/>
  <c r="BW49" i="35"/>
  <c r="BX49" i="35"/>
  <c r="BY49" i="35"/>
  <c r="BZ49" i="35"/>
  <c r="BX40" i="35"/>
  <c r="BR46" i="35"/>
  <c r="E46" i="35" a="1"/>
  <c r="E46" i="35"/>
  <c r="F46" i="35" a="1"/>
  <c r="F46" i="35"/>
  <c r="G46" i="35" a="1"/>
  <c r="H46" i="35" a="1"/>
  <c r="I46" i="35" a="1"/>
  <c r="J46" i="35" a="1"/>
  <c r="K46" i="35" a="1"/>
  <c r="L46" i="35" a="1"/>
  <c r="M46" i="35" a="1"/>
  <c r="N46" i="35" a="1"/>
  <c r="O46" i="35" a="1"/>
  <c r="P46" i="35" a="1"/>
  <c r="Q46" i="35" a="1"/>
  <c r="R46" i="35" a="1"/>
  <c r="S46" i="35" a="1"/>
  <c r="T46" i="35" a="1"/>
  <c r="U46" i="35" a="1"/>
  <c r="V46" i="35" a="1"/>
  <c r="W46" i="35" a="1"/>
  <c r="X46" i="35" a="1"/>
  <c r="Y46" i="35" a="1"/>
  <c r="Z46" i="35" a="1"/>
  <c r="AA46" i="35" a="1"/>
  <c r="AB46" i="35" a="1"/>
  <c r="AC46" i="35" a="1"/>
  <c r="AD46" i="35" a="1"/>
  <c r="AE46" i="35" a="1"/>
  <c r="AF46" i="35" a="1"/>
  <c r="AG46" i="35" a="1"/>
  <c r="AH46" i="35" a="1"/>
  <c r="AI46" i="35" a="1"/>
  <c r="AJ46" i="35" a="1"/>
  <c r="AK46" i="35" a="1"/>
  <c r="AL46" i="35" a="1"/>
  <c r="AM46" i="35" a="1"/>
  <c r="AN46" i="35" a="1"/>
  <c r="AO46" i="35" a="1"/>
  <c r="AP46" i="35" a="1"/>
  <c r="AQ46" i="35" a="1"/>
  <c r="AR46" i="35" a="1"/>
  <c r="AS46" i="35" a="1"/>
  <c r="AT46" i="35" a="1"/>
  <c r="AU46" i="35" a="1"/>
  <c r="AV46" i="35" a="1"/>
  <c r="AW46" i="35" a="1"/>
  <c r="AX46" i="35" a="1"/>
  <c r="AY46" i="35" a="1"/>
  <c r="AZ46" i="35" a="1"/>
  <c r="BA46" i="35" a="1"/>
  <c r="BB46" i="35" a="1"/>
  <c r="BC46" i="35" a="1"/>
  <c r="BD46" i="35" a="1"/>
  <c r="BE46" i="35" a="1"/>
  <c r="BF46" i="35" a="1"/>
  <c r="BG46" i="35" a="1"/>
  <c r="BH46" i="35" a="1"/>
  <c r="BI46" i="35" a="1"/>
  <c r="BJ46" i="35" a="1"/>
  <c r="BK46" i="35" a="1"/>
  <c r="BL46" i="35" a="1"/>
  <c r="BM46" i="35" a="1"/>
  <c r="BN46" i="35" a="1"/>
  <c r="BO46" i="35" a="1"/>
  <c r="BP46" i="35" a="1"/>
  <c r="G46" i="35"/>
  <c r="H46" i="35"/>
  <c r="I46" i="35"/>
  <c r="J46" i="35"/>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AB22" i="35"/>
  <c r="E57" i="35" a="1"/>
  <c r="E57" i="35"/>
  <c r="F57" i="35" a="1"/>
  <c r="F57" i="35"/>
  <c r="G57" i="35" a="1"/>
  <c r="H57" i="35" a="1"/>
  <c r="I57" i="35" a="1"/>
  <c r="J57" i="35" a="1"/>
  <c r="K57" i="35" a="1"/>
  <c r="L57" i="35" a="1"/>
  <c r="M57" i="35" a="1"/>
  <c r="N57" i="35" a="1"/>
  <c r="O57" i="35" a="1"/>
  <c r="P57" i="35" a="1"/>
  <c r="Q57" i="35" a="1"/>
  <c r="R57" i="35" a="1"/>
  <c r="S57" i="35" a="1"/>
  <c r="T57" i="35" a="1"/>
  <c r="U57" i="35" a="1"/>
  <c r="V57" i="35" a="1"/>
  <c r="W57" i="35" a="1"/>
  <c r="X57" i="35" a="1"/>
  <c r="Y57" i="35" a="1"/>
  <c r="Z57" i="35" a="1"/>
  <c r="AA57" i="35" a="1"/>
  <c r="AB57" i="35" a="1"/>
  <c r="AC57" i="35" a="1"/>
  <c r="AD57" i="35" a="1"/>
  <c r="AE57" i="35" a="1"/>
  <c r="AF57" i="35" a="1"/>
  <c r="AG57" i="35" a="1"/>
  <c r="AH57" i="35" a="1"/>
  <c r="AI57" i="35" a="1"/>
  <c r="AJ57" i="35" a="1"/>
  <c r="AK57" i="35" a="1"/>
  <c r="AL57" i="35" a="1"/>
  <c r="AM57" i="35" a="1"/>
  <c r="AN57" i="35" a="1"/>
  <c r="AO57" i="35" a="1"/>
  <c r="AP57" i="35" a="1"/>
  <c r="AQ57" i="35" a="1"/>
  <c r="AR57" i="35" a="1"/>
  <c r="AS57" i="35" a="1"/>
  <c r="AT57" i="35" a="1"/>
  <c r="AU57" i="35" a="1"/>
  <c r="AV57" i="35" a="1"/>
  <c r="AW57" i="35" a="1"/>
  <c r="AX57" i="35" a="1"/>
  <c r="AY57" i="35" a="1"/>
  <c r="AZ57" i="35" a="1"/>
  <c r="BA57" i="35" a="1"/>
  <c r="BB57" i="35" a="1"/>
  <c r="BC57" i="35" a="1"/>
  <c r="BD57" i="35" a="1"/>
  <c r="BE57" i="35" a="1"/>
  <c r="BF57" i="35" a="1"/>
  <c r="BG57" i="35" a="1"/>
  <c r="BH57" i="35" a="1"/>
  <c r="BI57" i="35" a="1"/>
  <c r="BJ57" i="35" a="1"/>
  <c r="BK57" i="35" a="1"/>
  <c r="BL57" i="35" a="1"/>
  <c r="BM57" i="35" a="1"/>
  <c r="BN57" i="35" a="1"/>
  <c r="BO57" i="35" a="1"/>
  <c r="BP57" i="35" a="1"/>
  <c r="G57" i="35"/>
  <c r="H57" i="35"/>
  <c r="I57" i="35"/>
  <c r="J57" i="35"/>
  <c r="K57" i="35"/>
  <c r="L57" i="35"/>
  <c r="M57" i="35"/>
  <c r="N57" i="35"/>
  <c r="O57" i="35"/>
  <c r="P57" i="35"/>
  <c r="Q57" i="35"/>
  <c r="R57" i="35"/>
  <c r="S57" i="35"/>
  <c r="T57" i="35"/>
  <c r="U57" i="35"/>
  <c r="V57" i="35"/>
  <c r="W57" i="35"/>
  <c r="X57" i="35"/>
  <c r="Y57" i="35"/>
  <c r="Z57" i="35"/>
  <c r="AA57" i="35"/>
  <c r="AB57" i="35"/>
  <c r="AC57" i="35"/>
  <c r="AD57" i="35"/>
  <c r="AE57" i="35"/>
  <c r="AF57" i="35"/>
  <c r="AG57" i="35"/>
  <c r="AH57" i="35"/>
  <c r="AI57" i="35"/>
  <c r="AJ57" i="35"/>
  <c r="AK57" i="35"/>
  <c r="AL57" i="35"/>
  <c r="AM57" i="35"/>
  <c r="AN57" i="35"/>
  <c r="AO57" i="35"/>
  <c r="AP57" i="35"/>
  <c r="AQ57" i="35"/>
  <c r="AR57" i="35"/>
  <c r="AS57" i="35"/>
  <c r="AT57" i="35"/>
  <c r="AU57" i="35"/>
  <c r="AV57" i="35"/>
  <c r="AW57" i="35"/>
  <c r="AX57" i="35"/>
  <c r="AY57" i="35"/>
  <c r="AZ57" i="35"/>
  <c r="BA57" i="35"/>
  <c r="BB57" i="35"/>
  <c r="BC57" i="35"/>
  <c r="BD57" i="35"/>
  <c r="BE57" i="35"/>
  <c r="BF57" i="35"/>
  <c r="BG57" i="35"/>
  <c r="BH57" i="35"/>
  <c r="BI57" i="35"/>
  <c r="BJ57" i="35"/>
  <c r="BK57" i="35"/>
  <c r="BL57" i="35"/>
  <c r="BM57" i="35"/>
  <c r="BN57" i="35"/>
  <c r="BO57" i="35"/>
  <c r="BP57" i="35"/>
  <c r="AC22" i="35"/>
  <c r="W22" i="35"/>
  <c r="X17" i="35"/>
  <c r="X18" i="35"/>
  <c r="X19" i="35"/>
  <c r="X20" i="35"/>
  <c r="X21" i="35"/>
  <c r="X22" i="35"/>
  <c r="X23" i="35"/>
  <c r="X24" i="35"/>
  <c r="X25" i="35"/>
  <c r="E4" i="35"/>
  <c r="D4" i="35"/>
  <c r="E5" i="35"/>
  <c r="D5" i="35"/>
  <c r="E6" i="35"/>
  <c r="D6" i="35"/>
  <c r="E7" i="35"/>
  <c r="D7" i="35"/>
  <c r="E8" i="35"/>
  <c r="D8" i="35"/>
  <c r="E9" i="35"/>
  <c r="D9" i="35"/>
  <c r="E10" i="35"/>
  <c r="D10" i="35"/>
  <c r="E11" i="35"/>
  <c r="D11" i="35"/>
  <c r="E12" i="35"/>
  <c r="D12" i="35"/>
  <c r="C4" i="35"/>
  <c r="C5" i="35"/>
  <c r="C6" i="35"/>
  <c r="L4" i="35"/>
  <c r="M4" i="35"/>
  <c r="N4" i="35"/>
  <c r="L5" i="35"/>
  <c r="M5" i="35"/>
  <c r="N5" i="35"/>
  <c r="L6" i="35"/>
  <c r="M6" i="35"/>
  <c r="N6" i="35"/>
  <c r="C7" i="35"/>
  <c r="L7" i="35"/>
  <c r="M7" i="35"/>
  <c r="N7" i="35"/>
  <c r="C8" i="35"/>
  <c r="L8" i="35"/>
  <c r="M8" i="35"/>
  <c r="N8" i="35"/>
  <c r="C9" i="35"/>
  <c r="L9" i="35"/>
  <c r="M9" i="35"/>
  <c r="N9" i="35"/>
  <c r="C10" i="35"/>
  <c r="L10" i="35"/>
  <c r="M10" i="35"/>
  <c r="N10" i="35"/>
  <c r="C11" i="35"/>
  <c r="L11" i="35"/>
  <c r="M11" i="35"/>
  <c r="N11" i="35"/>
  <c r="C12" i="35"/>
  <c r="L12" i="35"/>
  <c r="M12" i="35"/>
  <c r="N12" i="35"/>
  <c r="N47" i="6"/>
  <c r="N46" i="6"/>
  <c r="C7" i="17"/>
  <c r="C8" i="17"/>
  <c r="C9" i="17"/>
  <c r="N27" i="6"/>
  <c r="F25" i="43"/>
  <c r="T12" i="43"/>
  <c r="T19" i="43"/>
  <c r="N14" i="6"/>
  <c r="U21" i="43"/>
  <c r="I13" i="43"/>
  <c r="N35" i="6"/>
  <c r="U16" i="43"/>
  <c r="K13" i="43"/>
  <c r="X13" i="43"/>
  <c r="Z13" i="43"/>
  <c r="I25" i="43"/>
  <c r="H25" i="43"/>
  <c r="N34" i="6"/>
  <c r="U23" i="43"/>
  <c r="I15" i="43"/>
  <c r="N15" i="6"/>
  <c r="U14" i="43"/>
  <c r="K15" i="43"/>
  <c r="X15" i="43"/>
  <c r="Z15" i="43"/>
  <c r="K25" i="43"/>
  <c r="X25" i="43"/>
  <c r="Z25" i="43"/>
  <c r="I39" i="43"/>
  <c r="F26" i="43"/>
  <c r="N24" i="6"/>
  <c r="U22" i="43"/>
  <c r="I14" i="43"/>
  <c r="N45" i="6"/>
  <c r="U17" i="43"/>
  <c r="K14" i="43"/>
  <c r="X14" i="43"/>
  <c r="Z14" i="43"/>
  <c r="I26" i="43"/>
  <c r="H26" i="43"/>
  <c r="N44" i="6"/>
  <c r="U24" i="43"/>
  <c r="I16" i="43"/>
  <c r="N25" i="6"/>
  <c r="U15" i="43"/>
  <c r="K16" i="43"/>
  <c r="X16" i="43"/>
  <c r="Z16" i="43"/>
  <c r="K26" i="43"/>
  <c r="X26" i="43"/>
  <c r="Z26" i="43"/>
  <c r="K39" i="43"/>
  <c r="X39" i="43"/>
  <c r="Z39" i="43"/>
  <c r="I69" i="43"/>
  <c r="Y39" i="43"/>
  <c r="I68" i="43"/>
  <c r="Y25" i="43"/>
  <c r="I40" i="43"/>
  <c r="Y26" i="43"/>
  <c r="K40" i="43"/>
  <c r="X40" i="43"/>
  <c r="Z40" i="43"/>
  <c r="I67" i="43"/>
  <c r="Y40" i="43"/>
  <c r="I66" i="43"/>
  <c r="F28" i="43"/>
  <c r="Y13" i="43"/>
  <c r="I28" i="43"/>
  <c r="H28" i="43"/>
  <c r="Y15" i="43"/>
  <c r="K28" i="43"/>
  <c r="X28" i="43"/>
  <c r="Z28" i="43"/>
  <c r="I42" i="43"/>
  <c r="F29" i="43"/>
  <c r="Y14" i="43"/>
  <c r="I29" i="43"/>
  <c r="H29" i="43"/>
  <c r="Y16" i="43"/>
  <c r="K29" i="43"/>
  <c r="X29" i="43"/>
  <c r="Z29" i="43"/>
  <c r="K42" i="43"/>
  <c r="X42" i="43"/>
  <c r="Z42" i="43"/>
  <c r="I65" i="43"/>
  <c r="Y42" i="43"/>
  <c r="I64" i="43"/>
  <c r="Y28" i="43"/>
  <c r="I43" i="43"/>
  <c r="Y29" i="43"/>
  <c r="K43" i="43"/>
  <c r="X43" i="43"/>
  <c r="Z43" i="43"/>
  <c r="I63" i="43"/>
  <c r="Y43" i="43"/>
  <c r="I62" i="43"/>
  <c r="F31" i="43"/>
  <c r="T26" i="43"/>
  <c r="T33" i="43"/>
  <c r="N12" i="6"/>
  <c r="U35" i="43"/>
  <c r="I18" i="43"/>
  <c r="N33" i="6"/>
  <c r="U30" i="43"/>
  <c r="K18" i="43"/>
  <c r="X18" i="43"/>
  <c r="Z18" i="43"/>
  <c r="I31" i="43"/>
  <c r="H31" i="43"/>
  <c r="N32" i="6"/>
  <c r="U37" i="43"/>
  <c r="I20" i="43"/>
  <c r="N13" i="6"/>
  <c r="U28" i="43"/>
  <c r="K20" i="43"/>
  <c r="X20" i="43"/>
  <c r="Z20" i="43"/>
  <c r="K31" i="43"/>
  <c r="X31" i="43"/>
  <c r="Z31" i="43"/>
  <c r="I45" i="43"/>
  <c r="F32" i="43"/>
  <c r="N22" i="6"/>
  <c r="U36" i="43"/>
  <c r="I19" i="43"/>
  <c r="N43" i="6"/>
  <c r="U31" i="43"/>
  <c r="K19" i="43"/>
  <c r="X19" i="43"/>
  <c r="Z19" i="43"/>
  <c r="I32" i="43"/>
  <c r="H32" i="43"/>
  <c r="N42" i="6"/>
  <c r="U38" i="43"/>
  <c r="I21" i="43"/>
  <c r="N23" i="6"/>
  <c r="U29" i="43"/>
  <c r="K21" i="43"/>
  <c r="X21" i="43"/>
  <c r="Z21" i="43"/>
  <c r="K32" i="43"/>
  <c r="X32" i="43"/>
  <c r="Z32" i="43"/>
  <c r="K45" i="43"/>
  <c r="X45" i="43"/>
  <c r="Z45" i="43"/>
  <c r="I61" i="43"/>
  <c r="Y45" i="43"/>
  <c r="I60" i="43"/>
  <c r="Y31" i="43"/>
  <c r="I46" i="43"/>
  <c r="Y32" i="43"/>
  <c r="K46" i="43"/>
  <c r="X46" i="43"/>
  <c r="Z46" i="43"/>
  <c r="I59" i="43"/>
  <c r="Y46" i="43"/>
  <c r="I58" i="43"/>
  <c r="F34" i="43"/>
  <c r="Y18" i="43"/>
  <c r="I34" i="43"/>
  <c r="H34" i="43"/>
  <c r="Y20" i="43"/>
  <c r="K34" i="43"/>
  <c r="X34" i="43"/>
  <c r="Z34" i="43"/>
  <c r="I48" i="43"/>
  <c r="F35" i="43"/>
  <c r="Y19" i="43"/>
  <c r="I35" i="43"/>
  <c r="H35" i="43"/>
  <c r="Y21" i="43"/>
  <c r="K35" i="43"/>
  <c r="X35" i="43"/>
  <c r="Z35" i="43"/>
  <c r="K48" i="43"/>
  <c r="X48" i="43"/>
  <c r="Z48" i="43"/>
  <c r="I57" i="43"/>
  <c r="Y48" i="43"/>
  <c r="I56" i="43"/>
  <c r="Y34" i="43"/>
  <c r="I49" i="43"/>
  <c r="Y35" i="43"/>
  <c r="K49" i="43"/>
  <c r="X49" i="43"/>
  <c r="Z49" i="43"/>
  <c r="I55" i="43"/>
  <c r="Y49" i="43"/>
  <c r="I54" i="43"/>
  <c r="I53" i="43"/>
  <c r="F53" i="43"/>
  <c r="U10" i="22"/>
  <c r="U11" i="22"/>
  <c r="B13" i="3"/>
  <c r="B13" i="17"/>
  <c r="B13" i="25"/>
  <c r="B13" i="35"/>
  <c r="B14" i="3"/>
  <c r="P65" i="22"/>
  <c r="I51" i="43"/>
  <c r="AA49" i="43"/>
  <c r="P49" i="43"/>
  <c r="M49" i="43"/>
  <c r="F49" i="43"/>
  <c r="E49" i="43"/>
  <c r="AA48" i="43"/>
  <c r="P48" i="43"/>
  <c r="M48" i="43"/>
  <c r="F48" i="43"/>
  <c r="C47" i="43"/>
  <c r="AA46" i="43"/>
  <c r="U34" i="43"/>
  <c r="P46" i="43"/>
  <c r="M46" i="43"/>
  <c r="F46" i="43"/>
  <c r="AA45" i="43"/>
  <c r="P45" i="43"/>
  <c r="M45" i="43"/>
  <c r="F45" i="43"/>
  <c r="C44" i="43"/>
  <c r="AA43" i="43"/>
  <c r="P43" i="43"/>
  <c r="M43" i="43"/>
  <c r="F43" i="43"/>
  <c r="AA42" i="43"/>
  <c r="P42" i="43"/>
  <c r="M42" i="43"/>
  <c r="F42" i="43"/>
  <c r="C41" i="43"/>
  <c r="AA40" i="43"/>
  <c r="P40" i="43"/>
  <c r="M40" i="43"/>
  <c r="F40" i="43"/>
  <c r="AA39" i="43"/>
  <c r="U27" i="43"/>
  <c r="P39" i="43"/>
  <c r="M39" i="43"/>
  <c r="F39" i="43"/>
  <c r="C37" i="43"/>
  <c r="AA35" i="43"/>
  <c r="P35" i="43"/>
  <c r="M35" i="43"/>
  <c r="AA34" i="43"/>
  <c r="P34" i="43"/>
  <c r="M34" i="43"/>
  <c r="C33" i="43"/>
  <c r="AA32" i="43"/>
  <c r="U20" i="43"/>
  <c r="P32" i="43"/>
  <c r="M32" i="43"/>
  <c r="AA31" i="43"/>
  <c r="P31" i="43"/>
  <c r="M31" i="43"/>
  <c r="C30" i="43"/>
  <c r="AA29" i="43"/>
  <c r="P29" i="43"/>
  <c r="M29" i="43"/>
  <c r="AA28" i="43"/>
  <c r="P28" i="43"/>
  <c r="M28" i="43"/>
  <c r="C27" i="43"/>
  <c r="AA26" i="43"/>
  <c r="P26" i="43"/>
  <c r="M26" i="43"/>
  <c r="AA25" i="43"/>
  <c r="U13" i="43"/>
  <c r="P25" i="43"/>
  <c r="M25" i="43"/>
  <c r="C23" i="43"/>
  <c r="AA21" i="43"/>
  <c r="P21" i="43"/>
  <c r="M21" i="43"/>
  <c r="AA20" i="43"/>
  <c r="P20" i="43"/>
  <c r="M20" i="43"/>
  <c r="AA19" i="43"/>
  <c r="P19" i="43"/>
  <c r="M19" i="43"/>
  <c r="AA18" i="43"/>
  <c r="P18" i="43"/>
  <c r="M18" i="43"/>
  <c r="C17" i="43"/>
  <c r="AA16" i="43"/>
  <c r="P16" i="43"/>
  <c r="M16" i="43"/>
  <c r="AA15" i="43"/>
  <c r="P15" i="43"/>
  <c r="M15" i="43"/>
  <c r="AA14" i="43"/>
  <c r="P14" i="43"/>
  <c r="M14" i="43"/>
  <c r="AA13" i="43"/>
  <c r="P13" i="43"/>
  <c r="M13" i="43"/>
  <c r="C11" i="43"/>
  <c r="J7" i="43"/>
  <c r="H5" i="43"/>
  <c r="H4" i="43"/>
  <c r="H3" i="43"/>
  <c r="H2" i="43"/>
  <c r="Q68" i="35"/>
  <c r="F8" i="35"/>
  <c r="Q67" i="35"/>
  <c r="F7" i="35"/>
  <c r="U13" i="42"/>
  <c r="U14" i="42"/>
  <c r="U15" i="42"/>
  <c r="C20" i="35"/>
  <c r="BV51" i="35"/>
  <c r="BW51" i="35"/>
  <c r="BR55" i="35"/>
  <c r="BR56" i="35"/>
  <c r="C21" i="35"/>
  <c r="BV40" i="35"/>
  <c r="BV29" i="35"/>
  <c r="BR33" i="35"/>
  <c r="BW29" i="35"/>
  <c r="BR34" i="35"/>
  <c r="BR44" i="35"/>
  <c r="BW40" i="35"/>
  <c r="BR45" i="35"/>
  <c r="U16" i="42"/>
  <c r="U20" i="42"/>
  <c r="U21" i="42"/>
  <c r="U22" i="42"/>
  <c r="U23" i="42"/>
  <c r="I13" i="42"/>
  <c r="K13" i="42"/>
  <c r="X13" i="42"/>
  <c r="AA13" i="42"/>
  <c r="U57" i="42"/>
  <c r="T18" i="42"/>
  <c r="T41" i="42"/>
  <c r="T34" i="42"/>
  <c r="T54" i="42"/>
  <c r="K26" i="42"/>
  <c r="U66" i="42"/>
  <c r="T61" i="42"/>
  <c r="I26" i="42"/>
  <c r="U56" i="42"/>
  <c r="K25" i="42"/>
  <c r="U65" i="42"/>
  <c r="I25" i="42"/>
  <c r="U59" i="42"/>
  <c r="K24" i="42"/>
  <c r="U64" i="42"/>
  <c r="I24" i="42"/>
  <c r="U58" i="42"/>
  <c r="K23" i="42"/>
  <c r="U63" i="42"/>
  <c r="I23" i="42"/>
  <c r="U37" i="42"/>
  <c r="K21" i="42"/>
  <c r="U46" i="42"/>
  <c r="I21" i="42"/>
  <c r="U36" i="42"/>
  <c r="K20" i="42"/>
  <c r="U45" i="42"/>
  <c r="I20" i="42"/>
  <c r="U39" i="42"/>
  <c r="K19" i="42"/>
  <c r="U44" i="42"/>
  <c r="I19" i="42"/>
  <c r="U38" i="42"/>
  <c r="K18" i="42"/>
  <c r="U43" i="42"/>
  <c r="I18" i="42"/>
  <c r="K16" i="42"/>
  <c r="I16" i="42"/>
  <c r="K15" i="42"/>
  <c r="I15" i="42"/>
  <c r="K14" i="42"/>
  <c r="I14" i="42"/>
  <c r="Z13" i="42"/>
  <c r="B13" i="42"/>
  <c r="F29" i="42"/>
  <c r="I29" i="42"/>
  <c r="X15" i="42"/>
  <c r="Z15" i="42"/>
  <c r="B15" i="42"/>
  <c r="H29" i="42"/>
  <c r="B14" i="42"/>
  <c r="K29" i="42"/>
  <c r="X29" i="42"/>
  <c r="Z29" i="42"/>
  <c r="I49" i="42"/>
  <c r="X14" i="42"/>
  <c r="Z14" i="42"/>
  <c r="F30" i="42"/>
  <c r="I30" i="42"/>
  <c r="X16" i="42"/>
  <c r="Z16" i="42"/>
  <c r="B16" i="42"/>
  <c r="H30" i="42"/>
  <c r="K30" i="42"/>
  <c r="X30" i="42"/>
  <c r="Z30" i="42"/>
  <c r="K49" i="42"/>
  <c r="X49" i="42"/>
  <c r="Z49" i="42"/>
  <c r="I93" i="42"/>
  <c r="Y49" i="42"/>
  <c r="I92" i="42"/>
  <c r="Y29" i="42"/>
  <c r="I50" i="42"/>
  <c r="Y30" i="42"/>
  <c r="K50" i="42"/>
  <c r="X50" i="42"/>
  <c r="Z50" i="42"/>
  <c r="I91" i="42"/>
  <c r="Y50" i="42"/>
  <c r="I90" i="42"/>
  <c r="Y13" i="42"/>
  <c r="F32" i="42"/>
  <c r="I32" i="42"/>
  <c r="Y15" i="42"/>
  <c r="H32" i="42"/>
  <c r="K32" i="42"/>
  <c r="X32" i="42"/>
  <c r="Z32" i="42"/>
  <c r="I52" i="42"/>
  <c r="Y14" i="42"/>
  <c r="F33" i="42"/>
  <c r="I33" i="42"/>
  <c r="Y16" i="42"/>
  <c r="H33" i="42"/>
  <c r="K33" i="42"/>
  <c r="X33" i="42"/>
  <c r="Z33" i="42"/>
  <c r="K52" i="42"/>
  <c r="X52" i="42"/>
  <c r="Z52" i="42"/>
  <c r="I89" i="42"/>
  <c r="Y52" i="42"/>
  <c r="I88" i="42"/>
  <c r="Y32" i="42"/>
  <c r="I53" i="42"/>
  <c r="Y33" i="42"/>
  <c r="K53" i="42"/>
  <c r="X53" i="42"/>
  <c r="Z53" i="42"/>
  <c r="I87" i="42"/>
  <c r="Y53" i="42"/>
  <c r="I86" i="42"/>
  <c r="X18" i="42"/>
  <c r="Z18" i="42"/>
  <c r="B18" i="42"/>
  <c r="F35" i="42"/>
  <c r="I35" i="42"/>
  <c r="X20" i="42"/>
  <c r="Z20" i="42"/>
  <c r="B20" i="42"/>
  <c r="H35" i="42"/>
  <c r="B19" i="42"/>
  <c r="K35" i="42"/>
  <c r="X35" i="42"/>
  <c r="Z35" i="42"/>
  <c r="I55" i="42"/>
  <c r="L4" i="17"/>
  <c r="M4" i="17"/>
  <c r="N4" i="17"/>
  <c r="L5" i="17"/>
  <c r="M5" i="17"/>
  <c r="N5" i="17"/>
  <c r="L6" i="17"/>
  <c r="M6" i="17"/>
  <c r="N6" i="17"/>
  <c r="L7" i="17"/>
  <c r="M7" i="17"/>
  <c r="N7" i="17"/>
  <c r="L8" i="17"/>
  <c r="M8" i="17"/>
  <c r="N8" i="17"/>
  <c r="L9" i="17"/>
  <c r="M9" i="17"/>
  <c r="N9" i="17"/>
  <c r="C10" i="17"/>
  <c r="L10" i="17"/>
  <c r="M10" i="17"/>
  <c r="N10" i="17"/>
  <c r="C11" i="17"/>
  <c r="L11" i="17"/>
  <c r="M11" i="17"/>
  <c r="N11" i="17"/>
  <c r="C12" i="17"/>
  <c r="L12" i="17"/>
  <c r="M12" i="17"/>
  <c r="N12" i="17"/>
  <c r="X19" i="42"/>
  <c r="Z19" i="42"/>
  <c r="F36" i="42"/>
  <c r="I36" i="42"/>
  <c r="X21" i="42"/>
  <c r="Z21" i="42"/>
  <c r="B21" i="42"/>
  <c r="H36" i="42"/>
  <c r="K36" i="42"/>
  <c r="X36" i="42"/>
  <c r="Z36" i="42"/>
  <c r="K55" i="42"/>
  <c r="X55" i="42"/>
  <c r="Z55" i="42"/>
  <c r="I85" i="42"/>
  <c r="Y55" i="42"/>
  <c r="I84" i="42"/>
  <c r="Y35" i="42"/>
  <c r="I56" i="42"/>
  <c r="Y36" i="42"/>
  <c r="K56" i="42"/>
  <c r="X56" i="42"/>
  <c r="Z56" i="42"/>
  <c r="I83" i="42"/>
  <c r="Y56" i="42"/>
  <c r="I82" i="42"/>
  <c r="Y18" i="42"/>
  <c r="F38" i="42"/>
  <c r="I38" i="42"/>
  <c r="Y20" i="42"/>
  <c r="H38" i="42"/>
  <c r="K38" i="42"/>
  <c r="X38" i="42"/>
  <c r="Z38" i="42"/>
  <c r="I58" i="42"/>
  <c r="Y19" i="42"/>
  <c r="F39" i="42"/>
  <c r="I39" i="42"/>
  <c r="Y21" i="42"/>
  <c r="H39" i="42"/>
  <c r="K39" i="42"/>
  <c r="X39" i="42"/>
  <c r="Z39" i="42"/>
  <c r="K58" i="42"/>
  <c r="X58" i="42"/>
  <c r="Z58" i="42"/>
  <c r="I81" i="42"/>
  <c r="Y58" i="42"/>
  <c r="I80" i="42"/>
  <c r="Y38" i="42"/>
  <c r="I59" i="42"/>
  <c r="Y39" i="42"/>
  <c r="K59" i="42"/>
  <c r="X59" i="42"/>
  <c r="Z59" i="42"/>
  <c r="I79" i="42"/>
  <c r="Y59" i="42"/>
  <c r="I78" i="42"/>
  <c r="X23" i="42"/>
  <c r="Z23" i="42"/>
  <c r="B23" i="42"/>
  <c r="F41" i="42"/>
  <c r="I41" i="42"/>
  <c r="X25" i="42"/>
  <c r="Z25" i="42"/>
  <c r="B25" i="42"/>
  <c r="H41" i="42"/>
  <c r="B24" i="42"/>
  <c r="K41" i="42"/>
  <c r="X41" i="42"/>
  <c r="Y41" i="42"/>
  <c r="I62" i="42"/>
  <c r="X24" i="42"/>
  <c r="Z24" i="42"/>
  <c r="F42" i="42"/>
  <c r="I42" i="42"/>
  <c r="X26" i="42"/>
  <c r="Z26" i="42"/>
  <c r="B26" i="42"/>
  <c r="H42" i="42"/>
  <c r="K42" i="42"/>
  <c r="X42" i="42"/>
  <c r="Y42" i="42"/>
  <c r="K62" i="42"/>
  <c r="X62" i="42"/>
  <c r="Y62" i="42"/>
  <c r="Z62" i="42"/>
  <c r="Y23" i="42"/>
  <c r="F44" i="42"/>
  <c r="I44" i="42"/>
  <c r="Y25" i="42"/>
  <c r="H44" i="42"/>
  <c r="K44" i="42"/>
  <c r="X44" i="42"/>
  <c r="Y44" i="42"/>
  <c r="I65" i="42"/>
  <c r="Y24" i="42"/>
  <c r="F45" i="42"/>
  <c r="I45" i="42"/>
  <c r="Y26" i="42"/>
  <c r="H45" i="42"/>
  <c r="K45" i="42"/>
  <c r="X45" i="42"/>
  <c r="Y45" i="42"/>
  <c r="K65" i="42"/>
  <c r="X65" i="42"/>
  <c r="Z65" i="42"/>
  <c r="Y65" i="42"/>
  <c r="Z41" i="42"/>
  <c r="I61" i="42"/>
  <c r="Z42" i="42"/>
  <c r="K61" i="42"/>
  <c r="X61" i="42"/>
  <c r="Z61" i="42"/>
  <c r="Z44" i="42"/>
  <c r="I64" i="42"/>
  <c r="Z45" i="42"/>
  <c r="K64" i="42"/>
  <c r="X64" i="42"/>
  <c r="Z64" i="42"/>
  <c r="Y64" i="42"/>
  <c r="I77" i="42"/>
  <c r="Y61" i="42"/>
  <c r="I76" i="42"/>
  <c r="I75" i="42"/>
  <c r="I74" i="42"/>
  <c r="O48" i="42"/>
  <c r="L48" i="42"/>
  <c r="I48" i="42"/>
  <c r="E48" i="42"/>
  <c r="D48" i="42"/>
  <c r="C48" i="42"/>
  <c r="O28" i="42"/>
  <c r="L28" i="42"/>
  <c r="I28" i="42"/>
  <c r="E28" i="42"/>
  <c r="D28" i="42"/>
  <c r="C28" i="42"/>
  <c r="U19" i="42"/>
  <c r="U35" i="42"/>
  <c r="U42" i="42"/>
  <c r="U55" i="42"/>
  <c r="U62" i="42"/>
  <c r="E13" i="42"/>
  <c r="M13" i="42"/>
  <c r="P13" i="42"/>
  <c r="M14" i="42"/>
  <c r="P14" i="42"/>
  <c r="M15" i="42"/>
  <c r="P15" i="42"/>
  <c r="M16" i="42"/>
  <c r="P16" i="42"/>
  <c r="C17" i="42"/>
  <c r="M18" i="42"/>
  <c r="P18" i="42"/>
  <c r="M19" i="42"/>
  <c r="P19" i="42"/>
  <c r="M20" i="42"/>
  <c r="P20" i="42"/>
  <c r="M21" i="42"/>
  <c r="P21" i="42"/>
  <c r="C22" i="42"/>
  <c r="M23" i="42"/>
  <c r="P23" i="42"/>
  <c r="M24" i="42"/>
  <c r="P24" i="42"/>
  <c r="M25" i="42"/>
  <c r="P25" i="42"/>
  <c r="M26" i="42"/>
  <c r="P26" i="42"/>
  <c r="U23" i="41"/>
  <c r="I15" i="41"/>
  <c r="U14" i="41"/>
  <c r="K15" i="41"/>
  <c r="X15" i="41"/>
  <c r="Y15" i="41"/>
  <c r="K21" i="41"/>
  <c r="U22" i="41"/>
  <c r="I14" i="41"/>
  <c r="U13" i="41"/>
  <c r="K14" i="41"/>
  <c r="X14" i="41"/>
  <c r="Y14" i="41"/>
  <c r="K20" i="41"/>
  <c r="U21" i="41"/>
  <c r="I13" i="41"/>
  <c r="U16" i="41"/>
  <c r="K13" i="41"/>
  <c r="X13" i="41"/>
  <c r="Y13" i="41"/>
  <c r="I21" i="41"/>
  <c r="U20" i="41"/>
  <c r="I12" i="41"/>
  <c r="U15" i="41"/>
  <c r="K12" i="41"/>
  <c r="X12" i="41"/>
  <c r="Y12" i="41"/>
  <c r="I20" i="41"/>
  <c r="Z15" i="41"/>
  <c r="K18" i="41"/>
  <c r="Z14" i="41"/>
  <c r="K17" i="41"/>
  <c r="Z13" i="41"/>
  <c r="I18" i="41"/>
  <c r="Z12" i="41"/>
  <c r="I17" i="41"/>
  <c r="C22" i="41"/>
  <c r="C25" i="41"/>
  <c r="C19" i="41"/>
  <c r="C16" i="41"/>
  <c r="F49" i="42"/>
  <c r="F50" i="42"/>
  <c r="F52" i="42"/>
  <c r="F53" i="42"/>
  <c r="F55" i="42"/>
  <c r="F56" i="42"/>
  <c r="F58" i="42"/>
  <c r="F59" i="42"/>
  <c r="F61" i="42"/>
  <c r="F62" i="42"/>
  <c r="F23" i="41"/>
  <c r="F24" i="41"/>
  <c r="E96" i="9"/>
  <c r="E97" i="9"/>
  <c r="C3" i="9"/>
  <c r="C4" i="9"/>
  <c r="E90" i="9"/>
  <c r="E91" i="9"/>
  <c r="E92" i="9"/>
  <c r="E93" i="9"/>
  <c r="E94" i="9"/>
  <c r="E95" i="9"/>
  <c r="E98" i="9"/>
  <c r="E99" i="9"/>
  <c r="E100" i="9"/>
  <c r="E83" i="9"/>
  <c r="C63" i="42"/>
  <c r="E84" i="9"/>
  <c r="C60" i="42"/>
  <c r="E85" i="9"/>
  <c r="C57" i="42"/>
  <c r="E86" i="9"/>
  <c r="C54" i="42"/>
  <c r="E87" i="9"/>
  <c r="C51" i="42"/>
  <c r="E88" i="9"/>
  <c r="C47" i="42"/>
  <c r="E77" i="9"/>
  <c r="C43" i="42"/>
  <c r="E78" i="9"/>
  <c r="C40" i="42"/>
  <c r="E79" i="9"/>
  <c r="C37" i="42"/>
  <c r="E80" i="9"/>
  <c r="C34" i="42"/>
  <c r="E81" i="9"/>
  <c r="C31" i="42"/>
  <c r="E82" i="9"/>
  <c r="C27" i="42"/>
  <c r="E76" i="9"/>
  <c r="C11" i="42"/>
  <c r="E75" i="9"/>
  <c r="E74" i="9"/>
  <c r="E89" i="9"/>
  <c r="E116" i="9"/>
  <c r="AI15" i="17"/>
  <c r="E63" i="9"/>
  <c r="E62" i="9"/>
  <c r="E61" i="9"/>
  <c r="E60" i="9"/>
  <c r="AI15" i="35"/>
  <c r="E59" i="9"/>
  <c r="AI15" i="3"/>
  <c r="AI15" i="25"/>
  <c r="E70" i="9"/>
  <c r="AA62" i="42"/>
  <c r="E111" i="9"/>
  <c r="P62" i="42"/>
  <c r="M62" i="42"/>
  <c r="E121" i="9"/>
  <c r="AA61" i="42"/>
  <c r="P61" i="42"/>
  <c r="M61" i="42"/>
  <c r="E120" i="9"/>
  <c r="AA59" i="42"/>
  <c r="P59" i="42"/>
  <c r="M59" i="42"/>
  <c r="AA58" i="42"/>
  <c r="P58" i="42"/>
  <c r="M58" i="42"/>
  <c r="AA56" i="42"/>
  <c r="P56" i="42"/>
  <c r="M56" i="42"/>
  <c r="E137" i="9"/>
  <c r="AA55" i="42"/>
  <c r="P55" i="42"/>
  <c r="M55" i="42"/>
  <c r="E138" i="9"/>
  <c r="E73" i="9"/>
  <c r="AA53" i="42"/>
  <c r="P53" i="42"/>
  <c r="M53" i="42"/>
  <c r="AA52" i="42"/>
  <c r="P52" i="42"/>
  <c r="M52" i="42"/>
  <c r="AA45" i="42"/>
  <c r="P45" i="42"/>
  <c r="M45" i="42"/>
  <c r="AA44" i="42"/>
  <c r="P44" i="42"/>
  <c r="M44" i="42"/>
  <c r="AA42" i="42"/>
  <c r="P42" i="42"/>
  <c r="M42" i="42"/>
  <c r="AA41" i="42"/>
  <c r="P41" i="42"/>
  <c r="M41" i="42"/>
  <c r="AA36" i="42"/>
  <c r="P36" i="42"/>
  <c r="M36" i="42"/>
  <c r="AA35" i="42"/>
  <c r="P35" i="42"/>
  <c r="M35" i="42"/>
  <c r="E72" i="9"/>
  <c r="AA33" i="42"/>
  <c r="P33" i="42"/>
  <c r="M33" i="42"/>
  <c r="AA32" i="42"/>
  <c r="P32" i="42"/>
  <c r="M32" i="42"/>
  <c r="AA26" i="42"/>
  <c r="AA25" i="42"/>
  <c r="AA24" i="42"/>
  <c r="AA23" i="42"/>
  <c r="AA21" i="42"/>
  <c r="AA20" i="42"/>
  <c r="AA19" i="42"/>
  <c r="AA18" i="42"/>
  <c r="E64" i="9"/>
  <c r="T11" i="42"/>
  <c r="E10" i="9"/>
  <c r="U12" i="42"/>
  <c r="E129" i="9"/>
  <c r="Q18" i="22"/>
  <c r="E128" i="9"/>
  <c r="Q17" i="22"/>
  <c r="E127" i="9"/>
  <c r="Q20" i="22"/>
  <c r="E126" i="9"/>
  <c r="Q19" i="22"/>
  <c r="I73" i="42"/>
  <c r="I72" i="42"/>
  <c r="I71" i="42"/>
  <c r="I70" i="42"/>
  <c r="I69" i="42"/>
  <c r="E119" i="9"/>
  <c r="F69" i="42"/>
  <c r="E29" i="9"/>
  <c r="I67" i="42"/>
  <c r="AA65" i="42"/>
  <c r="P65" i="42"/>
  <c r="M65" i="42"/>
  <c r="F65" i="42"/>
  <c r="E65" i="42"/>
  <c r="AA64" i="42"/>
  <c r="P64" i="42"/>
  <c r="M64" i="42"/>
  <c r="F64" i="42"/>
  <c r="AA50" i="42"/>
  <c r="P50" i="42"/>
  <c r="M50" i="42"/>
  <c r="AA49" i="42"/>
  <c r="P49" i="42"/>
  <c r="M49" i="42"/>
  <c r="AA39" i="42"/>
  <c r="P39" i="42"/>
  <c r="M39" i="42"/>
  <c r="AA38" i="42"/>
  <c r="P38" i="42"/>
  <c r="M38" i="42"/>
  <c r="AA30" i="42"/>
  <c r="P30" i="42"/>
  <c r="M30" i="42"/>
  <c r="AA29" i="42"/>
  <c r="P29" i="42"/>
  <c r="M29" i="42"/>
  <c r="AA16" i="42"/>
  <c r="AA15" i="42"/>
  <c r="AA14" i="42"/>
  <c r="E101" i="9"/>
  <c r="O12" i="42"/>
  <c r="E15" i="9"/>
  <c r="L12" i="42"/>
  <c r="E14" i="9"/>
  <c r="I12" i="42"/>
  <c r="E48" i="9"/>
  <c r="E12" i="42"/>
  <c r="E39" i="9"/>
  <c r="D12" i="42"/>
  <c r="E9" i="9"/>
  <c r="C12" i="42"/>
  <c r="E20" i="9"/>
  <c r="R10" i="42"/>
  <c r="E19" i="9"/>
  <c r="J7" i="42"/>
  <c r="H5" i="42"/>
  <c r="H4" i="42"/>
  <c r="H3" i="42"/>
  <c r="H2" i="42"/>
  <c r="U13" i="39"/>
  <c r="T11" i="39"/>
  <c r="I12" i="39"/>
  <c r="U15" i="39"/>
  <c r="K12" i="39"/>
  <c r="X12" i="39"/>
  <c r="Z12" i="39"/>
  <c r="I15" i="39"/>
  <c r="U14" i="39"/>
  <c r="I13" i="39"/>
  <c r="U16" i="39"/>
  <c r="K13" i="39"/>
  <c r="X13" i="39"/>
  <c r="Z13" i="39"/>
  <c r="K15" i="39"/>
  <c r="X15" i="39"/>
  <c r="Z15" i="39"/>
  <c r="I24" i="39"/>
  <c r="Y15" i="39"/>
  <c r="I23" i="39"/>
  <c r="Y12" i="39"/>
  <c r="I16" i="39"/>
  <c r="Y13" i="39"/>
  <c r="K16" i="39"/>
  <c r="X16" i="39"/>
  <c r="Z16" i="39"/>
  <c r="I22" i="39"/>
  <c r="Y16" i="39"/>
  <c r="I21" i="39"/>
  <c r="AA13" i="39"/>
  <c r="AA15" i="39"/>
  <c r="AA16" i="39"/>
  <c r="AA12" i="39"/>
  <c r="T18" i="41"/>
  <c r="B12" i="41"/>
  <c r="F20" i="41"/>
  <c r="B14" i="41"/>
  <c r="H20" i="41"/>
  <c r="X17" i="41"/>
  <c r="Z17" i="41"/>
  <c r="I23" i="41"/>
  <c r="B13" i="41"/>
  <c r="F21" i="41"/>
  <c r="B15" i="41"/>
  <c r="H21" i="41"/>
  <c r="X18" i="41"/>
  <c r="Z18" i="41"/>
  <c r="K23" i="41"/>
  <c r="X23" i="41"/>
  <c r="Z23" i="41"/>
  <c r="I39" i="41"/>
  <c r="Y23" i="41"/>
  <c r="I38" i="41"/>
  <c r="Y17" i="41"/>
  <c r="I24" i="41"/>
  <c r="Y18" i="41"/>
  <c r="K24" i="41"/>
  <c r="X24" i="41"/>
  <c r="Z24" i="41"/>
  <c r="I37" i="41"/>
  <c r="Y24" i="41"/>
  <c r="I36" i="41"/>
  <c r="X20" i="41"/>
  <c r="Z20" i="41"/>
  <c r="I26" i="41"/>
  <c r="X21" i="41"/>
  <c r="Z21" i="41"/>
  <c r="K26" i="41"/>
  <c r="X26" i="41"/>
  <c r="Z26" i="41"/>
  <c r="I35" i="41"/>
  <c r="Y26" i="41"/>
  <c r="I34" i="41"/>
  <c r="Y20" i="41"/>
  <c r="I27" i="41"/>
  <c r="Y21" i="41"/>
  <c r="K27" i="41"/>
  <c r="X27" i="41"/>
  <c r="Z27" i="41"/>
  <c r="I33" i="41"/>
  <c r="Y27" i="41"/>
  <c r="I32" i="41"/>
  <c r="AA27" i="41"/>
  <c r="AA26" i="41"/>
  <c r="AA24" i="41"/>
  <c r="AA23" i="41"/>
  <c r="AA21" i="41"/>
  <c r="AA20" i="41"/>
  <c r="AA18" i="41"/>
  <c r="AA17" i="41"/>
  <c r="U20" i="24"/>
  <c r="T18" i="24"/>
  <c r="I12" i="24"/>
  <c r="U15" i="24"/>
  <c r="K12" i="24"/>
  <c r="X12" i="24"/>
  <c r="Y12" i="24"/>
  <c r="B12" i="24"/>
  <c r="F17" i="24"/>
  <c r="I17" i="24"/>
  <c r="U22" i="24"/>
  <c r="I14" i="24"/>
  <c r="U13" i="24"/>
  <c r="K14" i="24"/>
  <c r="X14" i="24"/>
  <c r="Y14" i="24"/>
  <c r="B14" i="24"/>
  <c r="H17" i="24"/>
  <c r="K17" i="24"/>
  <c r="X17" i="24"/>
  <c r="Z17" i="24"/>
  <c r="I20" i="24"/>
  <c r="U21" i="24"/>
  <c r="I13" i="24"/>
  <c r="U16" i="24"/>
  <c r="K13" i="24"/>
  <c r="X13" i="24"/>
  <c r="Y13" i="24"/>
  <c r="B13" i="24"/>
  <c r="F18" i="24"/>
  <c r="I18" i="24"/>
  <c r="U23" i="24"/>
  <c r="I15" i="24"/>
  <c r="U14" i="24"/>
  <c r="K15" i="24"/>
  <c r="X15" i="24"/>
  <c r="Y15" i="24"/>
  <c r="B15" i="24"/>
  <c r="H18" i="24"/>
  <c r="K18" i="24"/>
  <c r="X18" i="24"/>
  <c r="Z18" i="24"/>
  <c r="K20" i="24"/>
  <c r="X20" i="24"/>
  <c r="Z20" i="24"/>
  <c r="I29" i="24"/>
  <c r="Y20" i="24"/>
  <c r="I28" i="24"/>
  <c r="Y17" i="24"/>
  <c r="I21" i="24"/>
  <c r="Y18" i="24"/>
  <c r="K21" i="24"/>
  <c r="X21" i="24"/>
  <c r="Z21" i="24"/>
  <c r="I27" i="24"/>
  <c r="Y21" i="24"/>
  <c r="I26" i="24"/>
  <c r="AA15" i="41"/>
  <c r="AA14" i="41"/>
  <c r="AA13" i="41"/>
  <c r="AA12" i="41"/>
  <c r="AA17" i="24"/>
  <c r="AA18" i="24"/>
  <c r="AA20" i="24"/>
  <c r="AA21" i="24"/>
  <c r="AA13" i="24"/>
  <c r="AA14" i="24"/>
  <c r="AA15" i="24"/>
  <c r="AA12" i="24"/>
  <c r="U13" i="21"/>
  <c r="I12" i="21"/>
  <c r="U15" i="21"/>
  <c r="K12" i="21"/>
  <c r="X12" i="21"/>
  <c r="Z12" i="21"/>
  <c r="E71" i="9"/>
  <c r="B12" i="21"/>
  <c r="F27" i="21"/>
  <c r="I27" i="21"/>
  <c r="U14" i="21"/>
  <c r="I13" i="21"/>
  <c r="U16" i="21"/>
  <c r="K13" i="21"/>
  <c r="X13" i="21"/>
  <c r="Z13" i="21"/>
  <c r="B13" i="21"/>
  <c r="H27" i="21"/>
  <c r="K27" i="21"/>
  <c r="X27" i="21"/>
  <c r="Z27" i="21"/>
  <c r="I78" i="21"/>
  <c r="Y27" i="21"/>
  <c r="I77" i="21"/>
  <c r="Y12" i="21"/>
  <c r="F28" i="21"/>
  <c r="I28" i="21"/>
  <c r="Y13" i="21"/>
  <c r="H28" i="21"/>
  <c r="K28" i="21"/>
  <c r="X28" i="21"/>
  <c r="Z28" i="21"/>
  <c r="I76" i="21"/>
  <c r="U20" i="21"/>
  <c r="T18" i="21"/>
  <c r="I14" i="21"/>
  <c r="U22" i="21"/>
  <c r="K14" i="21"/>
  <c r="X14" i="21"/>
  <c r="Z14" i="21"/>
  <c r="B14" i="21"/>
  <c r="F31" i="21"/>
  <c r="I31" i="21"/>
  <c r="U21" i="21"/>
  <c r="I15" i="21"/>
  <c r="U23" i="21"/>
  <c r="K15" i="21"/>
  <c r="X15" i="21"/>
  <c r="Z15" i="21"/>
  <c r="B15" i="21"/>
  <c r="H31" i="21"/>
  <c r="K31" i="21"/>
  <c r="X31" i="21"/>
  <c r="Z31" i="21"/>
  <c r="I74" i="21"/>
  <c r="Y31" i="21"/>
  <c r="I73" i="21"/>
  <c r="Y14" i="21"/>
  <c r="F32" i="21"/>
  <c r="I32" i="21"/>
  <c r="Y15" i="21"/>
  <c r="H32" i="21"/>
  <c r="K32" i="21"/>
  <c r="X32" i="21"/>
  <c r="Z32" i="21"/>
  <c r="I72" i="21"/>
  <c r="U27" i="21"/>
  <c r="T25" i="21"/>
  <c r="I16" i="21"/>
  <c r="U29" i="21"/>
  <c r="K16" i="21"/>
  <c r="X16" i="21"/>
  <c r="Z16" i="21"/>
  <c r="B16" i="21"/>
  <c r="F35" i="21"/>
  <c r="I35" i="21"/>
  <c r="U28" i="21"/>
  <c r="I17" i="21"/>
  <c r="U30" i="21"/>
  <c r="K17" i="21"/>
  <c r="X17" i="21"/>
  <c r="Z17" i="21"/>
  <c r="B17" i="21"/>
  <c r="H35" i="21"/>
  <c r="K35" i="21"/>
  <c r="X35" i="21"/>
  <c r="Z35" i="21"/>
  <c r="I70" i="21"/>
  <c r="Y35" i="21"/>
  <c r="I69" i="21"/>
  <c r="Y16" i="21"/>
  <c r="F36" i="21"/>
  <c r="I36" i="21"/>
  <c r="Y17" i="21"/>
  <c r="H36" i="21"/>
  <c r="K36" i="21"/>
  <c r="X36" i="21"/>
  <c r="Z36" i="21"/>
  <c r="I68" i="21"/>
  <c r="U34" i="21"/>
  <c r="T32" i="21"/>
  <c r="I18" i="21"/>
  <c r="U36" i="21"/>
  <c r="K18" i="21"/>
  <c r="X18" i="21"/>
  <c r="Z18" i="21"/>
  <c r="B18" i="21"/>
  <c r="F39" i="21"/>
  <c r="I39" i="21"/>
  <c r="U35" i="21"/>
  <c r="I19" i="21"/>
  <c r="U37" i="21"/>
  <c r="K19" i="21"/>
  <c r="X19" i="21"/>
  <c r="Z19" i="21"/>
  <c r="B19" i="21"/>
  <c r="H39" i="21"/>
  <c r="K39" i="21"/>
  <c r="X39" i="21"/>
  <c r="Z39" i="21"/>
  <c r="I66" i="21"/>
  <c r="Y39" i="21"/>
  <c r="I65" i="21"/>
  <c r="Y18" i="21"/>
  <c r="F40" i="21"/>
  <c r="I40" i="21"/>
  <c r="Y19" i="21"/>
  <c r="H40" i="21"/>
  <c r="K40" i="21"/>
  <c r="X40" i="21"/>
  <c r="Z40" i="21"/>
  <c r="I64" i="21"/>
  <c r="U41" i="21"/>
  <c r="T39" i="21"/>
  <c r="I20" i="21"/>
  <c r="U43" i="21"/>
  <c r="K20" i="21"/>
  <c r="X20" i="21"/>
  <c r="Z20" i="21"/>
  <c r="B20" i="21"/>
  <c r="F43" i="21"/>
  <c r="I43" i="21"/>
  <c r="U42" i="21"/>
  <c r="I21" i="21"/>
  <c r="U44" i="21"/>
  <c r="K21" i="21"/>
  <c r="X21" i="21"/>
  <c r="Z21" i="21"/>
  <c r="B21" i="21"/>
  <c r="H43" i="21"/>
  <c r="K43" i="21"/>
  <c r="X43" i="21"/>
  <c r="Z43" i="21"/>
  <c r="I62" i="21"/>
  <c r="Y43" i="21"/>
  <c r="I61" i="21"/>
  <c r="Y20" i="21"/>
  <c r="F44" i="21"/>
  <c r="I44" i="21"/>
  <c r="Y21" i="21"/>
  <c r="H44" i="21"/>
  <c r="K44" i="21"/>
  <c r="X44" i="21"/>
  <c r="Z44" i="21"/>
  <c r="I60" i="21"/>
  <c r="U48" i="21"/>
  <c r="T46" i="21"/>
  <c r="I22" i="21"/>
  <c r="U50" i="21"/>
  <c r="K22" i="21"/>
  <c r="X22" i="21"/>
  <c r="Z22" i="21"/>
  <c r="B22" i="21"/>
  <c r="F47" i="21"/>
  <c r="I47" i="21"/>
  <c r="U49" i="21"/>
  <c r="I23" i="21"/>
  <c r="U51" i="21"/>
  <c r="K23" i="21"/>
  <c r="X23" i="21"/>
  <c r="Z23" i="21"/>
  <c r="B23" i="21"/>
  <c r="H47" i="21"/>
  <c r="K47" i="21"/>
  <c r="X47" i="21"/>
  <c r="Z47" i="21"/>
  <c r="I58" i="21"/>
  <c r="Y47" i="21"/>
  <c r="I57" i="21"/>
  <c r="Y22" i="21"/>
  <c r="F50" i="21"/>
  <c r="I50" i="21"/>
  <c r="Y23" i="21"/>
  <c r="H50" i="21"/>
  <c r="K50" i="21"/>
  <c r="X50" i="21"/>
  <c r="Z50" i="21"/>
  <c r="I56" i="21"/>
  <c r="AA50" i="21"/>
  <c r="Y50" i="21"/>
  <c r="AA47" i="21"/>
  <c r="AA44" i="21"/>
  <c r="Y44" i="21"/>
  <c r="AA43" i="21"/>
  <c r="AA40" i="21"/>
  <c r="Y40" i="21"/>
  <c r="AA39" i="21"/>
  <c r="AA36" i="21"/>
  <c r="Y36" i="21"/>
  <c r="AA35" i="21"/>
  <c r="AA32" i="21"/>
  <c r="Y32" i="21"/>
  <c r="AA31" i="21"/>
  <c r="AA28" i="21"/>
  <c r="Y28" i="21"/>
  <c r="AA27" i="21"/>
  <c r="AA23" i="21"/>
  <c r="AA22" i="21"/>
  <c r="AA21" i="21"/>
  <c r="AA20" i="21"/>
  <c r="AA19" i="21"/>
  <c r="AA18" i="21"/>
  <c r="AA16" i="21"/>
  <c r="AA15" i="21"/>
  <c r="AA14" i="21"/>
  <c r="AA13" i="21"/>
  <c r="AA12" i="21"/>
  <c r="AA17" i="21"/>
  <c r="E23" i="41"/>
  <c r="E17" i="41"/>
  <c r="E12" i="41"/>
  <c r="E12" i="24"/>
  <c r="E24" i="41"/>
  <c r="P24" i="41"/>
  <c r="P23" i="41"/>
  <c r="P18" i="41"/>
  <c r="P17" i="41"/>
  <c r="M24" i="41"/>
  <c r="M23" i="41"/>
  <c r="M18" i="41"/>
  <c r="M17" i="41"/>
  <c r="H18" i="41"/>
  <c r="H17" i="41"/>
  <c r="F18" i="41"/>
  <c r="F17" i="41"/>
  <c r="I31" i="41"/>
  <c r="F31" i="41"/>
  <c r="I29" i="41"/>
  <c r="P27" i="41"/>
  <c r="M27" i="41"/>
  <c r="F27" i="41"/>
  <c r="E27" i="41"/>
  <c r="P26" i="41"/>
  <c r="M26" i="41"/>
  <c r="F26" i="41"/>
  <c r="U19" i="41"/>
  <c r="E54" i="9"/>
  <c r="P21" i="41"/>
  <c r="M21" i="41"/>
  <c r="P20" i="41"/>
  <c r="M20" i="41"/>
  <c r="E53" i="9"/>
  <c r="P15" i="41"/>
  <c r="M15" i="41"/>
  <c r="P14" i="41"/>
  <c r="M14" i="41"/>
  <c r="P13" i="41"/>
  <c r="M13" i="41"/>
  <c r="U12" i="41"/>
  <c r="P12" i="41"/>
  <c r="M12" i="41"/>
  <c r="T11" i="41"/>
  <c r="O11" i="41"/>
  <c r="L11" i="41"/>
  <c r="I11" i="41"/>
  <c r="E11" i="41"/>
  <c r="D11" i="41"/>
  <c r="C11" i="41"/>
  <c r="E58" i="9"/>
  <c r="C10" i="41"/>
  <c r="R9" i="41"/>
  <c r="J7" i="41"/>
  <c r="H5" i="41"/>
  <c r="H4" i="41"/>
  <c r="H3" i="41"/>
  <c r="H2" i="41"/>
  <c r="O3" i="3"/>
  <c r="P3" i="3"/>
  <c r="Q3" i="3"/>
  <c r="R3" i="3"/>
  <c r="S3" i="3"/>
  <c r="T3" i="3"/>
  <c r="U3" i="3"/>
  <c r="V3" i="3"/>
  <c r="R4" i="3"/>
  <c r="AL3" i="3"/>
  <c r="AL12" i="3"/>
  <c r="AN12" i="3"/>
  <c r="AL4" i="3"/>
  <c r="AN4" i="3"/>
  <c r="AL5" i="3"/>
  <c r="AN5" i="3"/>
  <c r="AL6" i="3"/>
  <c r="AN6" i="3"/>
  <c r="AL7" i="3"/>
  <c r="AN7" i="3"/>
  <c r="AL8" i="3"/>
  <c r="AN8" i="3"/>
  <c r="AL9" i="3"/>
  <c r="AN9" i="3"/>
  <c r="AL10" i="3"/>
  <c r="AN10" i="3"/>
  <c r="AL11" i="3"/>
  <c r="AN11" i="3"/>
  <c r="AO12" i="3"/>
  <c r="AO4" i="3"/>
  <c r="AO5" i="3"/>
  <c r="AO6" i="3"/>
  <c r="AO7" i="3"/>
  <c r="AO8" i="3"/>
  <c r="AO9" i="3"/>
  <c r="AO10" i="3"/>
  <c r="AO11" i="3"/>
  <c r="AP12" i="3"/>
  <c r="AP4" i="3"/>
  <c r="AP5" i="3"/>
  <c r="AP6" i="3"/>
  <c r="AP7" i="3"/>
  <c r="AP8" i="3"/>
  <c r="AP9" i="3"/>
  <c r="AP10" i="3"/>
  <c r="AP11" i="3"/>
  <c r="AM12" i="3"/>
  <c r="Q4" i="3"/>
  <c r="AG3" i="3"/>
  <c r="AG12" i="3"/>
  <c r="AI12" i="3"/>
  <c r="AG4" i="3"/>
  <c r="AI4" i="3"/>
  <c r="AG5" i="3"/>
  <c r="AI5" i="3"/>
  <c r="AG6" i="3"/>
  <c r="AI6" i="3"/>
  <c r="AG7" i="3"/>
  <c r="AI7" i="3"/>
  <c r="AG8" i="3"/>
  <c r="AI8" i="3"/>
  <c r="AG9" i="3"/>
  <c r="AI9" i="3"/>
  <c r="AG10" i="3"/>
  <c r="AI10" i="3"/>
  <c r="AG11" i="3"/>
  <c r="AI11" i="3"/>
  <c r="AJ12" i="3"/>
  <c r="AJ4" i="3"/>
  <c r="AJ5" i="3"/>
  <c r="AJ6" i="3"/>
  <c r="AJ7" i="3"/>
  <c r="AJ8" i="3"/>
  <c r="AJ9" i="3"/>
  <c r="AJ10" i="3"/>
  <c r="AJ11" i="3"/>
  <c r="AK12" i="3"/>
  <c r="AK4" i="3"/>
  <c r="AK5" i="3"/>
  <c r="AK6" i="3"/>
  <c r="AK7" i="3"/>
  <c r="AK8" i="3"/>
  <c r="AK9" i="3"/>
  <c r="AK10" i="3"/>
  <c r="AK11" i="3"/>
  <c r="AH12" i="3"/>
  <c r="P4" i="3"/>
  <c r="AB3" i="3"/>
  <c r="AB12" i="3"/>
  <c r="AD12" i="3"/>
  <c r="AB4" i="3"/>
  <c r="AD4" i="3"/>
  <c r="AB5" i="3"/>
  <c r="AD5" i="3"/>
  <c r="AB6" i="3"/>
  <c r="AD6" i="3"/>
  <c r="AB7" i="3"/>
  <c r="AD7" i="3"/>
  <c r="AB8" i="3"/>
  <c r="AD8" i="3"/>
  <c r="AB9" i="3"/>
  <c r="AD9" i="3"/>
  <c r="AB10" i="3"/>
  <c r="AD10" i="3"/>
  <c r="AB11" i="3"/>
  <c r="AD11" i="3"/>
  <c r="AE12" i="3"/>
  <c r="AE4" i="3"/>
  <c r="AE5" i="3"/>
  <c r="AE6" i="3"/>
  <c r="AE7" i="3"/>
  <c r="AE8" i="3"/>
  <c r="AE9" i="3"/>
  <c r="AE10" i="3"/>
  <c r="AE11" i="3"/>
  <c r="AF12" i="3"/>
  <c r="AF4" i="3"/>
  <c r="AF5" i="3"/>
  <c r="AF6" i="3"/>
  <c r="AF7" i="3"/>
  <c r="AF8" i="3"/>
  <c r="AF9" i="3"/>
  <c r="AF10" i="3"/>
  <c r="AF11" i="3"/>
  <c r="AC12" i="3"/>
  <c r="O4" i="3"/>
  <c r="W3" i="3"/>
  <c r="W12" i="3"/>
  <c r="Y12" i="3"/>
  <c r="W4" i="3"/>
  <c r="Y4" i="3"/>
  <c r="W5" i="3"/>
  <c r="Y5" i="3"/>
  <c r="W6" i="3"/>
  <c r="Y6" i="3"/>
  <c r="W7" i="3"/>
  <c r="Y7" i="3"/>
  <c r="W8" i="3"/>
  <c r="Y8" i="3"/>
  <c r="W9" i="3"/>
  <c r="Y9" i="3"/>
  <c r="W10" i="3"/>
  <c r="Y10" i="3"/>
  <c r="W11" i="3"/>
  <c r="Y11" i="3"/>
  <c r="Z12" i="3"/>
  <c r="Z4" i="3"/>
  <c r="Z5" i="3"/>
  <c r="Z6" i="3"/>
  <c r="Z7" i="3"/>
  <c r="Z8" i="3"/>
  <c r="Z9" i="3"/>
  <c r="Z10" i="3"/>
  <c r="Z11" i="3"/>
  <c r="AA12" i="3"/>
  <c r="AA4" i="3"/>
  <c r="AA5" i="3"/>
  <c r="AA6" i="3"/>
  <c r="AA7" i="3"/>
  <c r="AA8" i="3"/>
  <c r="AA9" i="3"/>
  <c r="AA10" i="3"/>
  <c r="AA11" i="3"/>
  <c r="X12" i="3"/>
  <c r="AM11" i="3"/>
  <c r="AH11" i="3"/>
  <c r="AC11" i="3"/>
  <c r="X11" i="3"/>
  <c r="AM10" i="3"/>
  <c r="AH10" i="3"/>
  <c r="AC10" i="3"/>
  <c r="X10" i="3"/>
  <c r="AM9" i="3"/>
  <c r="AH9" i="3"/>
  <c r="AC9" i="3"/>
  <c r="X9" i="3"/>
  <c r="AM8" i="3"/>
  <c r="AH8" i="3"/>
  <c r="AC8" i="3"/>
  <c r="X8" i="3"/>
  <c r="AM7" i="3"/>
  <c r="AH7" i="3"/>
  <c r="AC7" i="3"/>
  <c r="X7" i="3"/>
  <c r="AM6" i="3"/>
  <c r="AH6" i="3"/>
  <c r="AC6" i="3"/>
  <c r="X6" i="3"/>
  <c r="AM5" i="3"/>
  <c r="AH5" i="3"/>
  <c r="AC5" i="3"/>
  <c r="X5" i="3"/>
  <c r="AM4" i="3"/>
  <c r="AH4" i="3"/>
  <c r="AC4" i="3"/>
  <c r="X4" i="3"/>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O12" i="17"/>
  <c r="AO4" i="17"/>
  <c r="AO5" i="17"/>
  <c r="AO6" i="17"/>
  <c r="AO7" i="17"/>
  <c r="AO8" i="17"/>
  <c r="AO9" i="17"/>
  <c r="AO10" i="17"/>
  <c r="AO11" i="17"/>
  <c r="AP12" i="17"/>
  <c r="AP4" i="17"/>
  <c r="AP5" i="17"/>
  <c r="AP6" i="17"/>
  <c r="AP7" i="17"/>
  <c r="AP8" i="17"/>
  <c r="AP9" i="17"/>
  <c r="AP10" i="17"/>
  <c r="AP11" i="17"/>
  <c r="AM12" i="17"/>
  <c r="Q4" i="17"/>
  <c r="AG3" i="17"/>
  <c r="AG12" i="17"/>
  <c r="AI12" i="17"/>
  <c r="AG4" i="17"/>
  <c r="AI4" i="17"/>
  <c r="AG5" i="17"/>
  <c r="AI5" i="17"/>
  <c r="AG6" i="17"/>
  <c r="AI6" i="17"/>
  <c r="AG7" i="17"/>
  <c r="AI7" i="17"/>
  <c r="AG8" i="17"/>
  <c r="AI8" i="17"/>
  <c r="AG9" i="17"/>
  <c r="AI9" i="17"/>
  <c r="AG10" i="17"/>
  <c r="AI10" i="17"/>
  <c r="AG11" i="17"/>
  <c r="AI11" i="17"/>
  <c r="AJ12" i="17"/>
  <c r="AJ4" i="17"/>
  <c r="AJ5" i="17"/>
  <c r="AJ6" i="17"/>
  <c r="AJ7" i="17"/>
  <c r="AJ8" i="17"/>
  <c r="AJ9" i="17"/>
  <c r="AJ10" i="17"/>
  <c r="AJ11" i="17"/>
  <c r="AK12" i="17"/>
  <c r="AK4" i="17"/>
  <c r="AK5" i="17"/>
  <c r="AK6" i="17"/>
  <c r="AK7" i="17"/>
  <c r="AK8" i="17"/>
  <c r="AK9" i="17"/>
  <c r="AK10" i="17"/>
  <c r="AK11" i="17"/>
  <c r="AH12" i="17"/>
  <c r="P4" i="17"/>
  <c r="AB3" i="17"/>
  <c r="AB12" i="17"/>
  <c r="AD12" i="17"/>
  <c r="AB4" i="17"/>
  <c r="AD4" i="17"/>
  <c r="AB5" i="17"/>
  <c r="AD5" i="17"/>
  <c r="AB6" i="17"/>
  <c r="AD6" i="17"/>
  <c r="AB7" i="17"/>
  <c r="AD7" i="17"/>
  <c r="AB8" i="17"/>
  <c r="AD8" i="17"/>
  <c r="AB9" i="17"/>
  <c r="AD9" i="17"/>
  <c r="AB10" i="17"/>
  <c r="AD10" i="17"/>
  <c r="AB11" i="17"/>
  <c r="AD11" i="17"/>
  <c r="AE12" i="17"/>
  <c r="AE4" i="17"/>
  <c r="AE5" i="17"/>
  <c r="AE6" i="17"/>
  <c r="AE7" i="17"/>
  <c r="AE8" i="17"/>
  <c r="AE9" i="17"/>
  <c r="AE10" i="17"/>
  <c r="AE11" i="17"/>
  <c r="AF12" i="17"/>
  <c r="AF4" i="17"/>
  <c r="AF5" i="17"/>
  <c r="AF6" i="17"/>
  <c r="AF7" i="17"/>
  <c r="AF8" i="17"/>
  <c r="AF9" i="17"/>
  <c r="AF10" i="17"/>
  <c r="AF11" i="17"/>
  <c r="AC12" i="17"/>
  <c r="O4" i="17"/>
  <c r="W3" i="17"/>
  <c r="W12" i="17"/>
  <c r="Y12" i="17"/>
  <c r="W4" i="17"/>
  <c r="Y4" i="17"/>
  <c r="W5" i="17"/>
  <c r="Y5" i="17"/>
  <c r="W6" i="17"/>
  <c r="Y6" i="17"/>
  <c r="W7" i="17"/>
  <c r="Y7" i="17"/>
  <c r="W8"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25"/>
  <c r="P3" i="25"/>
  <c r="Q3" i="25"/>
  <c r="R3" i="25"/>
  <c r="S3" i="25"/>
  <c r="T3" i="25"/>
  <c r="U3" i="25"/>
  <c r="V3" i="25"/>
  <c r="R4" i="25"/>
  <c r="AL3" i="25"/>
  <c r="AL12" i="25"/>
  <c r="AN12" i="25"/>
  <c r="AL4" i="25"/>
  <c r="AN4" i="25"/>
  <c r="AL5" i="25"/>
  <c r="AN5" i="25"/>
  <c r="AL6" i="25"/>
  <c r="AN6" i="25"/>
  <c r="AL7" i="25"/>
  <c r="AN7" i="25"/>
  <c r="AL8" i="25"/>
  <c r="AN8" i="25"/>
  <c r="AL9" i="25"/>
  <c r="AN9" i="25"/>
  <c r="AL10" i="25"/>
  <c r="AN10" i="25"/>
  <c r="AL11" i="25"/>
  <c r="AN11" i="25"/>
  <c r="AO12" i="25"/>
  <c r="AO4" i="25"/>
  <c r="AO5" i="25"/>
  <c r="AO6" i="25"/>
  <c r="AO7" i="25"/>
  <c r="AO8" i="25"/>
  <c r="AO9" i="25"/>
  <c r="AO10" i="25"/>
  <c r="AO11" i="25"/>
  <c r="AP12" i="25"/>
  <c r="AP4" i="25"/>
  <c r="AP5" i="25"/>
  <c r="AP6" i="25"/>
  <c r="AP7" i="25"/>
  <c r="AP8" i="25"/>
  <c r="AP9" i="25"/>
  <c r="AP10" i="25"/>
  <c r="AP11" i="25"/>
  <c r="AM12" i="25"/>
  <c r="Q4" i="25"/>
  <c r="AG3" i="25"/>
  <c r="AG12" i="25"/>
  <c r="AI12" i="25"/>
  <c r="AG4" i="25"/>
  <c r="AI4" i="25"/>
  <c r="AG5" i="25"/>
  <c r="AI5" i="25"/>
  <c r="AG6" i="25"/>
  <c r="AI6" i="25"/>
  <c r="AG7" i="25"/>
  <c r="AI7" i="25"/>
  <c r="AG8" i="25"/>
  <c r="AI8" i="25"/>
  <c r="AG9" i="25"/>
  <c r="AI9" i="25"/>
  <c r="AG10" i="25"/>
  <c r="AI10" i="25"/>
  <c r="AG11" i="25"/>
  <c r="AI11" i="25"/>
  <c r="AJ12" i="25"/>
  <c r="AJ4" i="25"/>
  <c r="AJ5" i="25"/>
  <c r="AJ6" i="25"/>
  <c r="AJ7" i="25"/>
  <c r="AJ8" i="25"/>
  <c r="AJ9" i="25"/>
  <c r="AJ10" i="25"/>
  <c r="AJ11" i="25"/>
  <c r="AK12" i="25"/>
  <c r="AK4" i="25"/>
  <c r="AK5" i="25"/>
  <c r="AK6" i="25"/>
  <c r="AK7" i="25"/>
  <c r="AK8" i="25"/>
  <c r="AK9" i="25"/>
  <c r="AK10" i="25"/>
  <c r="AK11" i="25"/>
  <c r="AH12" i="25"/>
  <c r="P4" i="25"/>
  <c r="AB3" i="25"/>
  <c r="AB12" i="25"/>
  <c r="AD12" i="25"/>
  <c r="AB4" i="25"/>
  <c r="AD4" i="25"/>
  <c r="AB5" i="25"/>
  <c r="AD5" i="25"/>
  <c r="AB6" i="25"/>
  <c r="AD6" i="25"/>
  <c r="AB7" i="25"/>
  <c r="AD7" i="25"/>
  <c r="AB8" i="25"/>
  <c r="AD8" i="25"/>
  <c r="AB9" i="25"/>
  <c r="AD9" i="25"/>
  <c r="AB10" i="25"/>
  <c r="AD10" i="25"/>
  <c r="AB11" i="25"/>
  <c r="AD11" i="25"/>
  <c r="AE12" i="25"/>
  <c r="AE4" i="25"/>
  <c r="AE5" i="25"/>
  <c r="AE6" i="25"/>
  <c r="AE7" i="25"/>
  <c r="AE8" i="25"/>
  <c r="AE9" i="25"/>
  <c r="AE10" i="25"/>
  <c r="AE11" i="25"/>
  <c r="AF12" i="25"/>
  <c r="AF4" i="25"/>
  <c r="AF5" i="25"/>
  <c r="AF6" i="25"/>
  <c r="AF7" i="25"/>
  <c r="AF8" i="25"/>
  <c r="AF9" i="25"/>
  <c r="AF10" i="25"/>
  <c r="AF11" i="25"/>
  <c r="AC12" i="25"/>
  <c r="O4" i="25"/>
  <c r="W3" i="25"/>
  <c r="W12" i="25"/>
  <c r="Y12" i="25"/>
  <c r="W4" i="25"/>
  <c r="Y4" i="25"/>
  <c r="W5" i="25"/>
  <c r="Y5" i="25"/>
  <c r="W6" i="25"/>
  <c r="Y6" i="25"/>
  <c r="W7" i="25"/>
  <c r="Y7" i="25"/>
  <c r="W8" i="25"/>
  <c r="Y8" i="25"/>
  <c r="W9" i="25"/>
  <c r="Y9" i="25"/>
  <c r="W10" i="25"/>
  <c r="Y10" i="25"/>
  <c r="W11" i="25"/>
  <c r="Y11" i="25"/>
  <c r="Z12" i="25"/>
  <c r="Z4" i="25"/>
  <c r="Z5" i="25"/>
  <c r="Z6" i="25"/>
  <c r="Z7" i="25"/>
  <c r="Z8" i="25"/>
  <c r="Z9" i="25"/>
  <c r="Z10" i="25"/>
  <c r="Z11" i="25"/>
  <c r="AA12" i="25"/>
  <c r="AA4" i="25"/>
  <c r="AA5" i="25"/>
  <c r="AA6" i="25"/>
  <c r="AA7" i="25"/>
  <c r="AA8" i="25"/>
  <c r="AA9" i="25"/>
  <c r="AA10" i="25"/>
  <c r="AA11" i="25"/>
  <c r="X12" i="25"/>
  <c r="AM11" i="25"/>
  <c r="AH11" i="25"/>
  <c r="AC11" i="25"/>
  <c r="X11" i="25"/>
  <c r="AM10" i="25"/>
  <c r="AH10" i="25"/>
  <c r="AC10" i="25"/>
  <c r="X10" i="25"/>
  <c r="AM9" i="25"/>
  <c r="AH9" i="25"/>
  <c r="AC9" i="25"/>
  <c r="X9" i="25"/>
  <c r="AM8" i="25"/>
  <c r="AH8" i="25"/>
  <c r="AC8" i="25"/>
  <c r="X8" i="25"/>
  <c r="AM7" i="25"/>
  <c r="AH7" i="25"/>
  <c r="AC7" i="25"/>
  <c r="X7" i="25"/>
  <c r="AM6" i="25"/>
  <c r="AH6" i="25"/>
  <c r="AC6" i="25"/>
  <c r="X6" i="25"/>
  <c r="AM5" i="25"/>
  <c r="AH5" i="25"/>
  <c r="AC5" i="25"/>
  <c r="X5" i="25"/>
  <c r="AM4" i="25"/>
  <c r="AH4" i="25"/>
  <c r="AC4" i="25"/>
  <c r="X4" i="25"/>
  <c r="O3" i="35"/>
  <c r="P3" i="35"/>
  <c r="Q3" i="35"/>
  <c r="R3" i="35"/>
  <c r="S3" i="35"/>
  <c r="T3" i="35"/>
  <c r="U3" i="35"/>
  <c r="V3" i="35"/>
  <c r="R4" i="35"/>
  <c r="AL3" i="35"/>
  <c r="AL12" i="35"/>
  <c r="AN12" i="35"/>
  <c r="AL4" i="35"/>
  <c r="AN4" i="35"/>
  <c r="AL5" i="35"/>
  <c r="AN5" i="35"/>
  <c r="AL6" i="35"/>
  <c r="AN6" i="35"/>
  <c r="AL7" i="35"/>
  <c r="AN7" i="35"/>
  <c r="AL8" i="35"/>
  <c r="AN8" i="35"/>
  <c r="AL9" i="35"/>
  <c r="AN9" i="35"/>
  <c r="AL10" i="35"/>
  <c r="AN10" i="35"/>
  <c r="AL11" i="35"/>
  <c r="AN11" i="35"/>
  <c r="AO12" i="35"/>
  <c r="AO4" i="35"/>
  <c r="AO5" i="35"/>
  <c r="AO6" i="35"/>
  <c r="AO7" i="35"/>
  <c r="AO8" i="35"/>
  <c r="AO9" i="35"/>
  <c r="AO10" i="35"/>
  <c r="AO11" i="35"/>
  <c r="AP12" i="35"/>
  <c r="AP4" i="35"/>
  <c r="AP5" i="35"/>
  <c r="AP6" i="35"/>
  <c r="AP7" i="35"/>
  <c r="AP8" i="35"/>
  <c r="AP9" i="35"/>
  <c r="AP10" i="35"/>
  <c r="AP11" i="35"/>
  <c r="AM12" i="35"/>
  <c r="Q4" i="35"/>
  <c r="AG3" i="35"/>
  <c r="AG12" i="35"/>
  <c r="AI12" i="35"/>
  <c r="AG4" i="35"/>
  <c r="AI4" i="35"/>
  <c r="AG5" i="35"/>
  <c r="AI5" i="35"/>
  <c r="AG6" i="35"/>
  <c r="AI6" i="35"/>
  <c r="AG7" i="35"/>
  <c r="AI7" i="35"/>
  <c r="AG8" i="35"/>
  <c r="AI8" i="35"/>
  <c r="AG9" i="35"/>
  <c r="AI9" i="35"/>
  <c r="AG10" i="35"/>
  <c r="AI10" i="35"/>
  <c r="AG11" i="35"/>
  <c r="AI11" i="35"/>
  <c r="AJ12" i="35"/>
  <c r="AJ4" i="35"/>
  <c r="AJ5" i="35"/>
  <c r="AJ6" i="35"/>
  <c r="AJ7" i="35"/>
  <c r="AJ8" i="35"/>
  <c r="AJ9" i="35"/>
  <c r="AJ10" i="35"/>
  <c r="AJ11" i="35"/>
  <c r="AK12" i="35"/>
  <c r="AK4" i="35"/>
  <c r="AK5" i="35"/>
  <c r="AK6" i="35"/>
  <c r="AK7" i="35"/>
  <c r="AK8" i="35"/>
  <c r="AK9" i="35"/>
  <c r="AK10" i="35"/>
  <c r="AK11" i="35"/>
  <c r="AH12" i="35"/>
  <c r="P4" i="35"/>
  <c r="AB3" i="35"/>
  <c r="AB12" i="35"/>
  <c r="AD12" i="35"/>
  <c r="AB4" i="35"/>
  <c r="AD4" i="35"/>
  <c r="AB5" i="35"/>
  <c r="AD5" i="35"/>
  <c r="AB6" i="35"/>
  <c r="AD6" i="35"/>
  <c r="AB7" i="35"/>
  <c r="AD7" i="35"/>
  <c r="AB8" i="35"/>
  <c r="AD8" i="35"/>
  <c r="AB9" i="35"/>
  <c r="AD9" i="35"/>
  <c r="AB10" i="35"/>
  <c r="AD10" i="35"/>
  <c r="AB11" i="35"/>
  <c r="AD11" i="35"/>
  <c r="AE12" i="35"/>
  <c r="AE4" i="35"/>
  <c r="AE5" i="35"/>
  <c r="AE6" i="35"/>
  <c r="AE7" i="35"/>
  <c r="AE8" i="35"/>
  <c r="AE9" i="35"/>
  <c r="AE10" i="35"/>
  <c r="AE11" i="35"/>
  <c r="AF12" i="35"/>
  <c r="AF4" i="35"/>
  <c r="AF5" i="35"/>
  <c r="AF6" i="35"/>
  <c r="AF7" i="35"/>
  <c r="AF8" i="35"/>
  <c r="AF9" i="35"/>
  <c r="AF10" i="35"/>
  <c r="AF11" i="35"/>
  <c r="AC12" i="35"/>
  <c r="O4" i="35"/>
  <c r="W3" i="35"/>
  <c r="W12" i="35"/>
  <c r="Y12" i="35"/>
  <c r="W4" i="35"/>
  <c r="Y4" i="35"/>
  <c r="W5" i="35"/>
  <c r="Y5" i="35"/>
  <c r="W6" i="35"/>
  <c r="Y6" i="35"/>
  <c r="W7" i="35"/>
  <c r="Y7" i="35"/>
  <c r="W8" i="35"/>
  <c r="Y8" i="35"/>
  <c r="W9" i="35"/>
  <c r="Y9" i="35"/>
  <c r="W10" i="35"/>
  <c r="Y10" i="35"/>
  <c r="W11" i="35"/>
  <c r="Y11" i="35"/>
  <c r="Z12" i="35"/>
  <c r="Z4" i="35"/>
  <c r="Z5" i="35"/>
  <c r="Z6" i="35"/>
  <c r="Z7" i="35"/>
  <c r="Z8" i="35"/>
  <c r="Z9" i="35"/>
  <c r="Z10" i="35"/>
  <c r="Z11" i="35"/>
  <c r="AA12" i="35"/>
  <c r="AA4" i="35"/>
  <c r="AA5" i="35"/>
  <c r="AA6" i="35"/>
  <c r="AA7" i="35"/>
  <c r="AA8" i="35"/>
  <c r="AA9" i="35"/>
  <c r="AA10" i="35"/>
  <c r="AA11" i="35"/>
  <c r="X12" i="35"/>
  <c r="AM11" i="35"/>
  <c r="AH11" i="35"/>
  <c r="AC11" i="35"/>
  <c r="X11" i="35"/>
  <c r="AM10" i="35"/>
  <c r="AH10" i="35"/>
  <c r="AC10" i="35"/>
  <c r="X10" i="35"/>
  <c r="AM9" i="35"/>
  <c r="AH9" i="35"/>
  <c r="AC9" i="35"/>
  <c r="X9" i="35"/>
  <c r="AM8" i="35"/>
  <c r="AH8" i="35"/>
  <c r="AC8" i="35"/>
  <c r="X8" i="35"/>
  <c r="AM7" i="35"/>
  <c r="AH7" i="35"/>
  <c r="AC7" i="35"/>
  <c r="X7" i="35"/>
  <c r="AM6" i="35"/>
  <c r="AH6" i="35"/>
  <c r="AC6" i="35"/>
  <c r="X6" i="35"/>
  <c r="AM5" i="35"/>
  <c r="AH5" i="35"/>
  <c r="AC5" i="35"/>
  <c r="X5" i="35"/>
  <c r="AM4" i="35"/>
  <c r="AH4" i="35"/>
  <c r="AC4" i="35"/>
  <c r="X4" i="35"/>
  <c r="AE47" i="40"/>
  <c r="Q64" i="26"/>
  <c r="F4" i="26"/>
  <c r="AE12" i="40"/>
  <c r="I12" i="40"/>
  <c r="V64" i="26"/>
  <c r="AE19" i="40"/>
  <c r="AD17" i="40"/>
  <c r="I13" i="40"/>
  <c r="V65" i="26"/>
  <c r="AE26" i="40"/>
  <c r="AD24" i="40"/>
  <c r="I14" i="40"/>
  <c r="V66" i="26"/>
  <c r="AE33" i="40"/>
  <c r="AD31" i="40"/>
  <c r="I15" i="40"/>
  <c r="V67" i="26"/>
  <c r="AE40" i="40"/>
  <c r="AD38" i="40"/>
  <c r="I16" i="40"/>
  <c r="V68" i="26"/>
  <c r="AD45" i="40"/>
  <c r="I17" i="40"/>
  <c r="V69" i="26"/>
  <c r="AE14" i="40"/>
  <c r="I18" i="40"/>
  <c r="V70" i="26"/>
  <c r="AE21" i="40"/>
  <c r="I19" i="40"/>
  <c r="V71" i="26"/>
  <c r="AE28" i="40"/>
  <c r="I20" i="40"/>
  <c r="V72" i="26"/>
  <c r="AE35" i="40"/>
  <c r="I21" i="40"/>
  <c r="V73" i="26"/>
  <c r="AE42" i="40"/>
  <c r="I22" i="40"/>
  <c r="V74" i="26"/>
  <c r="AE49" i="40"/>
  <c r="I23" i="40"/>
  <c r="V75" i="26"/>
  <c r="I24" i="40"/>
  <c r="V76" i="26"/>
  <c r="I25" i="40"/>
  <c r="V77" i="26"/>
  <c r="I26" i="40"/>
  <c r="V78" i="26"/>
  <c r="I27" i="40"/>
  <c r="V79" i="26"/>
  <c r="I28" i="40"/>
  <c r="V80" i="26"/>
  <c r="I29" i="40"/>
  <c r="V81" i="26"/>
  <c r="AE15" i="40"/>
  <c r="I30" i="40"/>
  <c r="V82" i="26"/>
  <c r="AE22" i="40"/>
  <c r="I31" i="40"/>
  <c r="V83" i="26"/>
  <c r="AE29" i="40"/>
  <c r="I32" i="40"/>
  <c r="V84" i="26"/>
  <c r="AE36" i="40"/>
  <c r="I33" i="40"/>
  <c r="V85" i="26"/>
  <c r="AE43" i="40"/>
  <c r="I34" i="40"/>
  <c r="V86" i="26"/>
  <c r="AE50" i="40"/>
  <c r="I35" i="40"/>
  <c r="V87" i="26"/>
  <c r="I36" i="40"/>
  <c r="V88" i="26"/>
  <c r="I37" i="40"/>
  <c r="V89" i="26"/>
  <c r="I38" i="40"/>
  <c r="V90" i="26"/>
  <c r="I39" i="40"/>
  <c r="V91" i="26"/>
  <c r="I40" i="40"/>
  <c r="V92" i="26"/>
  <c r="I41" i="40"/>
  <c r="V93" i="26"/>
  <c r="AE13" i="40"/>
  <c r="I42" i="40"/>
  <c r="V94" i="26"/>
  <c r="AE20" i="40"/>
  <c r="I43" i="40"/>
  <c r="V95" i="26"/>
  <c r="AE27" i="40"/>
  <c r="I44" i="40"/>
  <c r="V96" i="26"/>
  <c r="AE34" i="40"/>
  <c r="I45" i="40"/>
  <c r="V97" i="26"/>
  <c r="AE41" i="40"/>
  <c r="I46" i="40"/>
  <c r="V98" i="26"/>
  <c r="AE48" i="40"/>
  <c r="I47" i="40"/>
  <c r="V99" i="26"/>
  <c r="K12" i="40"/>
  <c r="W64" i="26"/>
  <c r="X64" i="26"/>
  <c r="Y64" i="26"/>
  <c r="AA64" i="26"/>
  <c r="AE64" i="26"/>
  <c r="K13" i="40"/>
  <c r="W65" i="26"/>
  <c r="X65" i="26"/>
  <c r="Y65" i="26"/>
  <c r="AA65" i="26"/>
  <c r="AE65" i="26"/>
  <c r="K14" i="40"/>
  <c r="W66" i="26"/>
  <c r="X66" i="26"/>
  <c r="Y66" i="26"/>
  <c r="AA66" i="26"/>
  <c r="AE66" i="26"/>
  <c r="K15" i="40"/>
  <c r="W67" i="26"/>
  <c r="X67" i="26"/>
  <c r="Y67" i="26"/>
  <c r="AA67" i="26"/>
  <c r="AE67" i="26"/>
  <c r="K16" i="40"/>
  <c r="W68" i="26"/>
  <c r="X68" i="26"/>
  <c r="Y68" i="26"/>
  <c r="AA68" i="26"/>
  <c r="AE68" i="26"/>
  <c r="K17" i="40"/>
  <c r="W69" i="26"/>
  <c r="X69" i="26"/>
  <c r="Y69" i="26"/>
  <c r="AA69" i="26"/>
  <c r="AE69" i="26"/>
  <c r="K18" i="40"/>
  <c r="W70" i="26"/>
  <c r="X70" i="26"/>
  <c r="Y70" i="26"/>
  <c r="AA70" i="26"/>
  <c r="AE70" i="26"/>
  <c r="K19" i="40"/>
  <c r="W71" i="26"/>
  <c r="X71" i="26"/>
  <c r="Y71" i="26"/>
  <c r="AA71" i="26"/>
  <c r="AE71" i="26"/>
  <c r="K20" i="40"/>
  <c r="W72" i="26"/>
  <c r="X72" i="26"/>
  <c r="Y72" i="26"/>
  <c r="AA72" i="26"/>
  <c r="AE72" i="26"/>
  <c r="K21" i="40"/>
  <c r="W73" i="26"/>
  <c r="X73" i="26"/>
  <c r="Y73" i="26"/>
  <c r="AA73" i="26"/>
  <c r="AE73" i="26"/>
  <c r="K22" i="40"/>
  <c r="W74" i="26"/>
  <c r="X74" i="26"/>
  <c r="Y74" i="26"/>
  <c r="AA74" i="26"/>
  <c r="AE74" i="26"/>
  <c r="K23" i="40"/>
  <c r="W75" i="26"/>
  <c r="X75" i="26"/>
  <c r="Y75" i="26"/>
  <c r="AA75" i="26"/>
  <c r="AE75" i="26"/>
  <c r="K24" i="40"/>
  <c r="W76" i="26"/>
  <c r="X76" i="26"/>
  <c r="Y76" i="26"/>
  <c r="AA76" i="26"/>
  <c r="AE76" i="26"/>
  <c r="K25" i="40"/>
  <c r="W77" i="26"/>
  <c r="X77" i="26"/>
  <c r="Y77" i="26"/>
  <c r="AA77" i="26"/>
  <c r="AE77" i="26"/>
  <c r="K26" i="40"/>
  <c r="W78" i="26"/>
  <c r="X78" i="26"/>
  <c r="Y78" i="26"/>
  <c r="AA78" i="26"/>
  <c r="AE78" i="26"/>
  <c r="K27" i="40"/>
  <c r="W79" i="26"/>
  <c r="X79" i="26"/>
  <c r="Y79" i="26"/>
  <c r="AA79" i="26"/>
  <c r="AE79" i="26"/>
  <c r="K28" i="40"/>
  <c r="W80" i="26"/>
  <c r="X80" i="26"/>
  <c r="Y80" i="26"/>
  <c r="AA80" i="26"/>
  <c r="AE80" i="26"/>
  <c r="K29" i="40"/>
  <c r="W81" i="26"/>
  <c r="X81" i="26"/>
  <c r="Y81" i="26"/>
  <c r="AA81" i="26"/>
  <c r="AE81" i="26"/>
  <c r="K30" i="40"/>
  <c r="W82" i="26"/>
  <c r="X82" i="26"/>
  <c r="Y82" i="26"/>
  <c r="AA82" i="26"/>
  <c r="AE82" i="26"/>
  <c r="K31" i="40"/>
  <c r="W83" i="26"/>
  <c r="X83" i="26"/>
  <c r="Y83" i="26"/>
  <c r="AA83" i="26"/>
  <c r="AE83" i="26"/>
  <c r="K32" i="40"/>
  <c r="W84" i="26"/>
  <c r="X84" i="26"/>
  <c r="Y84" i="26"/>
  <c r="AA84" i="26"/>
  <c r="AE84" i="26"/>
  <c r="K33" i="40"/>
  <c r="W85" i="26"/>
  <c r="X85" i="26"/>
  <c r="Y85" i="26"/>
  <c r="AA85" i="26"/>
  <c r="AE85" i="26"/>
  <c r="K34" i="40"/>
  <c r="W86" i="26"/>
  <c r="X86" i="26"/>
  <c r="Y86" i="26"/>
  <c r="AA86" i="26"/>
  <c r="AE86" i="26"/>
  <c r="K35" i="40"/>
  <c r="W87" i="26"/>
  <c r="X87" i="26"/>
  <c r="Y87" i="26"/>
  <c r="AA87" i="26"/>
  <c r="AE87" i="26"/>
  <c r="K36" i="40"/>
  <c r="W88" i="26"/>
  <c r="X88" i="26"/>
  <c r="Y88" i="26"/>
  <c r="AA88" i="26"/>
  <c r="AE88" i="26"/>
  <c r="K37" i="40"/>
  <c r="W89" i="26"/>
  <c r="X89" i="26"/>
  <c r="Y89" i="26"/>
  <c r="AA89" i="26"/>
  <c r="AE89" i="26"/>
  <c r="K38" i="40"/>
  <c r="W90" i="26"/>
  <c r="X90" i="26"/>
  <c r="Y90" i="26"/>
  <c r="AA90" i="26"/>
  <c r="AE90" i="26"/>
  <c r="K39" i="40"/>
  <c r="W91" i="26"/>
  <c r="X91" i="26"/>
  <c r="Y91" i="26"/>
  <c r="AA91" i="26"/>
  <c r="AE91" i="26"/>
  <c r="K40" i="40"/>
  <c r="W92" i="26"/>
  <c r="X92" i="26"/>
  <c r="Y92" i="26"/>
  <c r="AA92" i="26"/>
  <c r="AE92" i="26"/>
  <c r="K41" i="40"/>
  <c r="W93" i="26"/>
  <c r="X93" i="26"/>
  <c r="Y93" i="26"/>
  <c r="AA93" i="26"/>
  <c r="AE93" i="26"/>
  <c r="K42" i="40"/>
  <c r="W94" i="26"/>
  <c r="X94" i="26"/>
  <c r="Y94" i="26"/>
  <c r="AA94" i="26"/>
  <c r="AE94" i="26"/>
  <c r="K43" i="40"/>
  <c r="W95" i="26"/>
  <c r="X95" i="26"/>
  <c r="Y95" i="26"/>
  <c r="AA95" i="26"/>
  <c r="AE95" i="26"/>
  <c r="K44" i="40"/>
  <c r="W96" i="26"/>
  <c r="X96" i="26"/>
  <c r="Y96" i="26"/>
  <c r="AA96" i="26"/>
  <c r="AE96" i="26"/>
  <c r="K45" i="40"/>
  <c r="W97" i="26"/>
  <c r="X97" i="26"/>
  <c r="Y97" i="26"/>
  <c r="AA97" i="26"/>
  <c r="AE97" i="26"/>
  <c r="K46" i="40"/>
  <c r="W98" i="26"/>
  <c r="X98" i="26"/>
  <c r="Y98" i="26"/>
  <c r="AA98" i="26"/>
  <c r="AE98" i="26"/>
  <c r="K47" i="40"/>
  <c r="W99" i="26"/>
  <c r="X99" i="26"/>
  <c r="Y99" i="26"/>
  <c r="AA99" i="26"/>
  <c r="AE99" i="26"/>
  <c r="AF64" i="26"/>
  <c r="AF65" i="26"/>
  <c r="AF66" i="26"/>
  <c r="AF67"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J4" i="26"/>
  <c r="K17" i="26"/>
  <c r="G4" i="26"/>
  <c r="H4" i="26"/>
  <c r="I4" i="26"/>
  <c r="J17" i="26"/>
  <c r="H17" i="26"/>
  <c r="L17" i="26"/>
  <c r="Q65" i="26"/>
  <c r="F5" i="26"/>
  <c r="J5" i="26"/>
  <c r="K18" i="26"/>
  <c r="G5" i="26"/>
  <c r="H5" i="26"/>
  <c r="I5" i="26"/>
  <c r="J18" i="26"/>
  <c r="H18" i="26"/>
  <c r="L18" i="26"/>
  <c r="Q66" i="26"/>
  <c r="F6" i="26"/>
  <c r="J6" i="26"/>
  <c r="K19" i="26"/>
  <c r="G6" i="26"/>
  <c r="H6" i="26"/>
  <c r="I6" i="26"/>
  <c r="J19" i="26"/>
  <c r="H19" i="26"/>
  <c r="L19" i="26"/>
  <c r="Q67" i="26"/>
  <c r="F7" i="26"/>
  <c r="J7" i="26"/>
  <c r="K20" i="26"/>
  <c r="G7" i="26"/>
  <c r="H7" i="26"/>
  <c r="I7" i="26"/>
  <c r="J20" i="26"/>
  <c r="H20" i="26"/>
  <c r="L20" i="26"/>
  <c r="J8" i="26"/>
  <c r="K21" i="26"/>
  <c r="G8" i="26"/>
  <c r="H8" i="26"/>
  <c r="I8" i="26"/>
  <c r="J21" i="26"/>
  <c r="H21" i="26"/>
  <c r="L21" i="26"/>
  <c r="J9" i="26"/>
  <c r="K22" i="26"/>
  <c r="G9" i="26"/>
  <c r="H9" i="26"/>
  <c r="I9" i="26"/>
  <c r="J22" i="26"/>
  <c r="H22" i="26"/>
  <c r="L22" i="26"/>
  <c r="J10" i="26"/>
  <c r="K23" i="26"/>
  <c r="G10" i="26"/>
  <c r="H10" i="26"/>
  <c r="I10" i="26"/>
  <c r="J23" i="26"/>
  <c r="H23" i="26"/>
  <c r="L23" i="26"/>
  <c r="J11" i="26"/>
  <c r="K24" i="26"/>
  <c r="G11" i="26"/>
  <c r="H11" i="26"/>
  <c r="I11" i="26"/>
  <c r="J24" i="26"/>
  <c r="H24" i="26"/>
  <c r="L24" i="26"/>
  <c r="J12" i="26"/>
  <c r="K25" i="26"/>
  <c r="G12" i="26"/>
  <c r="H12" i="26"/>
  <c r="I12" i="26"/>
  <c r="J25" i="26"/>
  <c r="H25" i="26"/>
  <c r="L25" i="26"/>
  <c r="AI15" i="26"/>
  <c r="M17" i="26"/>
  <c r="N17" i="26" a="1"/>
  <c r="N17" i="26"/>
  <c r="O17" i="26"/>
  <c r="M18" i="26"/>
  <c r="N18" i="26" a="1"/>
  <c r="N18" i="26"/>
  <c r="O18" i="26"/>
  <c r="M19" i="26"/>
  <c r="N19" i="26" a="1"/>
  <c r="N19" i="26"/>
  <c r="O19" i="26"/>
  <c r="M20" i="26"/>
  <c r="N20" i="26" a="1"/>
  <c r="N20" i="26"/>
  <c r="O20" i="26"/>
  <c r="M21" i="26"/>
  <c r="N21" i="26" a="1"/>
  <c r="N21" i="26"/>
  <c r="O21" i="26"/>
  <c r="M22" i="26"/>
  <c r="N22" i="26" a="1"/>
  <c r="N22" i="26"/>
  <c r="O22" i="26"/>
  <c r="M23" i="26"/>
  <c r="N23" i="26" a="1"/>
  <c r="N23" i="26"/>
  <c r="O23" i="26"/>
  <c r="M24" i="26"/>
  <c r="N24" i="26" a="1"/>
  <c r="N24" i="26"/>
  <c r="O24" i="26"/>
  <c r="M25" i="26"/>
  <c r="N25" i="26" a="1"/>
  <c r="N25" i="26"/>
  <c r="O25" i="26"/>
  <c r="O3" i="26"/>
  <c r="P17" i="26"/>
  <c r="P18" i="26"/>
  <c r="P19" i="26"/>
  <c r="P20" i="26"/>
  <c r="P21" i="26"/>
  <c r="P22" i="26"/>
  <c r="P23" i="26"/>
  <c r="P24" i="26"/>
  <c r="P25" i="26"/>
  <c r="P3" i="26"/>
  <c r="Q17" i="26"/>
  <c r="Q18" i="26"/>
  <c r="Q19" i="26"/>
  <c r="Q20" i="26"/>
  <c r="Q21" i="26"/>
  <c r="Q22" i="26"/>
  <c r="Q23" i="26"/>
  <c r="Q24" i="26"/>
  <c r="Q25" i="26"/>
  <c r="Q3" i="26"/>
  <c r="R17" i="26"/>
  <c r="R18" i="26"/>
  <c r="R19" i="26"/>
  <c r="R20" i="26"/>
  <c r="R21" i="26"/>
  <c r="R22" i="26"/>
  <c r="R23" i="26"/>
  <c r="R24" i="26"/>
  <c r="R25" i="26"/>
  <c r="R3" i="26"/>
  <c r="S17" i="26"/>
  <c r="S18" i="26"/>
  <c r="S19" i="26"/>
  <c r="S20" i="26"/>
  <c r="S21" i="26"/>
  <c r="S22" i="26"/>
  <c r="S23" i="26"/>
  <c r="S24" i="26"/>
  <c r="S25" i="26"/>
  <c r="S3" i="26"/>
  <c r="T17" i="26"/>
  <c r="T18" i="26"/>
  <c r="T19" i="26"/>
  <c r="T20" i="26"/>
  <c r="T21" i="26"/>
  <c r="T22" i="26"/>
  <c r="T23" i="26"/>
  <c r="T24" i="26"/>
  <c r="T25" i="26"/>
  <c r="T3" i="26"/>
  <c r="U17" i="26"/>
  <c r="U18" i="26"/>
  <c r="U19" i="26"/>
  <c r="U20" i="26"/>
  <c r="U21" i="26"/>
  <c r="U22" i="26"/>
  <c r="U23" i="26"/>
  <c r="U24" i="26"/>
  <c r="U25" i="26"/>
  <c r="U3" i="26"/>
  <c r="V17" i="26"/>
  <c r="V18" i="26"/>
  <c r="V19" i="26"/>
  <c r="V20" i="26"/>
  <c r="V21" i="26"/>
  <c r="V22" i="26"/>
  <c r="V23" i="26"/>
  <c r="V24" i="26"/>
  <c r="V25" i="26"/>
  <c r="V3" i="26"/>
  <c r="R4" i="26"/>
  <c r="C17" i="26"/>
  <c r="E30" i="26" a="1"/>
  <c r="E30" i="26"/>
  <c r="F30" i="26" a="1"/>
  <c r="F30" i="26"/>
  <c r="G30" i="26" a="1"/>
  <c r="H30" i="26" a="1"/>
  <c r="I30" i="26" a="1"/>
  <c r="J30" i="26" a="1"/>
  <c r="K30" i="26" a="1"/>
  <c r="L30" i="26" a="1"/>
  <c r="M30" i="26" a="1"/>
  <c r="N30" i="26" a="1"/>
  <c r="O30" i="26" a="1"/>
  <c r="P30" i="26" a="1"/>
  <c r="Q30" i="26" a="1"/>
  <c r="R30" i="26" a="1"/>
  <c r="S30" i="26" a="1"/>
  <c r="T30" i="26" a="1"/>
  <c r="U30" i="26" a="1"/>
  <c r="V30" i="26" a="1"/>
  <c r="W30" i="26" a="1"/>
  <c r="X30" i="26" a="1"/>
  <c r="Y30" i="26" a="1"/>
  <c r="Z30" i="26" a="1"/>
  <c r="AA30" i="26" a="1"/>
  <c r="AB30" i="26" a="1"/>
  <c r="AC30" i="26" a="1"/>
  <c r="AD30" i="26" a="1"/>
  <c r="AE30" i="26" a="1"/>
  <c r="AF30" i="26" a="1"/>
  <c r="AG30" i="26" a="1"/>
  <c r="AH30" i="26" a="1"/>
  <c r="AI30" i="26" a="1"/>
  <c r="AJ30" i="26" a="1"/>
  <c r="AK30" i="26" a="1"/>
  <c r="AL30" i="26" a="1"/>
  <c r="AM30" i="26" a="1"/>
  <c r="AN30" i="26" a="1"/>
  <c r="AO30" i="26" a="1"/>
  <c r="AP30" i="26" a="1"/>
  <c r="AQ30" i="26" a="1"/>
  <c r="AR30" i="26" a="1"/>
  <c r="AS30" i="26" a="1"/>
  <c r="AT30" i="26" a="1"/>
  <c r="AU30" i="26" a="1"/>
  <c r="AV30" i="26" a="1"/>
  <c r="AW30" i="26" a="1"/>
  <c r="AX30" i="26" a="1"/>
  <c r="AY30" i="26" a="1"/>
  <c r="AZ30" i="26" a="1"/>
  <c r="BA30" i="26" a="1"/>
  <c r="BB30" i="26" a="1"/>
  <c r="BC30" i="26" a="1"/>
  <c r="BD30" i="26" a="1"/>
  <c r="BE30" i="26" a="1"/>
  <c r="BF30" i="26" a="1"/>
  <c r="BG30" i="26" a="1"/>
  <c r="BH30" i="26" a="1"/>
  <c r="BI30" i="26" a="1"/>
  <c r="BJ30" i="26" a="1"/>
  <c r="BK30" i="26" a="1"/>
  <c r="BL30" i="26" a="1"/>
  <c r="BM30" i="26" a="1"/>
  <c r="BN30" i="26" a="1"/>
  <c r="BO30" i="26" a="1"/>
  <c r="BP30" i="26" a="1"/>
  <c r="G30" i="26"/>
  <c r="H30" i="26"/>
  <c r="I30" i="26"/>
  <c r="J30" i="26"/>
  <c r="K30" i="26"/>
  <c r="L30" i="26"/>
  <c r="M30" i="26"/>
  <c r="N30" i="26"/>
  <c r="O30" i="26"/>
  <c r="P30" i="26"/>
  <c r="Q30" i="26"/>
  <c r="R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AX30" i="26"/>
  <c r="AY30" i="26"/>
  <c r="AZ30" i="26"/>
  <c r="BA30" i="26"/>
  <c r="BB30" i="26"/>
  <c r="BC30" i="26"/>
  <c r="BD30" i="26"/>
  <c r="BE30" i="26"/>
  <c r="BF30" i="26"/>
  <c r="BG30" i="26"/>
  <c r="BH30" i="26"/>
  <c r="BI30" i="26"/>
  <c r="BJ30" i="26"/>
  <c r="BK30" i="26"/>
  <c r="BL30" i="26"/>
  <c r="BM30" i="26"/>
  <c r="BN30" i="26"/>
  <c r="BO30" i="26"/>
  <c r="BP30" i="26"/>
  <c r="AA17" i="26"/>
  <c r="E41" i="26" a="1"/>
  <c r="E41" i="26"/>
  <c r="F41" i="26" a="1"/>
  <c r="F41" i="26"/>
  <c r="G41" i="26" a="1"/>
  <c r="H41" i="26" a="1"/>
  <c r="I41" i="26" a="1"/>
  <c r="J41" i="26" a="1"/>
  <c r="K41" i="26" a="1"/>
  <c r="L41" i="26" a="1"/>
  <c r="M41" i="26" a="1"/>
  <c r="N41" i="26" a="1"/>
  <c r="O41" i="26" a="1"/>
  <c r="P41" i="26" a="1"/>
  <c r="Q41" i="26" a="1"/>
  <c r="R41" i="26" a="1"/>
  <c r="S41" i="26" a="1"/>
  <c r="T41" i="26" a="1"/>
  <c r="U41" i="26" a="1"/>
  <c r="V41" i="26" a="1"/>
  <c r="W41" i="26" a="1"/>
  <c r="X41" i="26" a="1"/>
  <c r="Y41" i="26" a="1"/>
  <c r="Z41" i="26" a="1"/>
  <c r="AA41" i="26" a="1"/>
  <c r="AB41" i="26" a="1"/>
  <c r="AC41" i="26" a="1"/>
  <c r="AD41" i="26" a="1"/>
  <c r="AE41" i="26" a="1"/>
  <c r="AF41" i="26" a="1"/>
  <c r="AG41" i="26" a="1"/>
  <c r="AH41" i="26" a="1"/>
  <c r="AI41" i="26" a="1"/>
  <c r="AJ41" i="26" a="1"/>
  <c r="AK41" i="26" a="1"/>
  <c r="AL41" i="26" a="1"/>
  <c r="AM41" i="26" a="1"/>
  <c r="AN41" i="26" a="1"/>
  <c r="AO41" i="26" a="1"/>
  <c r="AP41" i="26" a="1"/>
  <c r="AQ41" i="26" a="1"/>
  <c r="AR41" i="26" a="1"/>
  <c r="AS41" i="26" a="1"/>
  <c r="AT41" i="26" a="1"/>
  <c r="AU41" i="26" a="1"/>
  <c r="AV41" i="26" a="1"/>
  <c r="AW41" i="26" a="1"/>
  <c r="AX41" i="26" a="1"/>
  <c r="AY41" i="26" a="1"/>
  <c r="AZ41" i="26" a="1"/>
  <c r="BA41" i="26" a="1"/>
  <c r="BB41" i="26" a="1"/>
  <c r="BC41" i="26" a="1"/>
  <c r="BD41" i="26" a="1"/>
  <c r="BE41" i="26" a="1"/>
  <c r="BF41" i="26" a="1"/>
  <c r="BG41" i="26" a="1"/>
  <c r="BH41" i="26" a="1"/>
  <c r="BI41" i="26" a="1"/>
  <c r="BJ41" i="26" a="1"/>
  <c r="BK41" i="26" a="1"/>
  <c r="BL41" i="26" a="1"/>
  <c r="BM41" i="26" a="1"/>
  <c r="BN41" i="26" a="1"/>
  <c r="BO41" i="26" a="1"/>
  <c r="BP41" i="26" a="1"/>
  <c r="G41" i="26"/>
  <c r="H41" i="26"/>
  <c r="I41" i="26"/>
  <c r="J41" i="26"/>
  <c r="K41" i="26"/>
  <c r="L41" i="26"/>
  <c r="M41" i="26"/>
  <c r="N41" i="26"/>
  <c r="O41" i="26"/>
  <c r="P41" i="26"/>
  <c r="Q41" i="26"/>
  <c r="R41" i="26"/>
  <c r="S41" i="26"/>
  <c r="T41" i="26"/>
  <c r="U41" i="26"/>
  <c r="V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AT41" i="26"/>
  <c r="AU41" i="26"/>
  <c r="AV41" i="26"/>
  <c r="AW41" i="26"/>
  <c r="AX41" i="26"/>
  <c r="AY41" i="26"/>
  <c r="AZ41" i="26"/>
  <c r="BA41" i="26"/>
  <c r="BB41" i="26"/>
  <c r="BC41" i="26"/>
  <c r="BD41" i="26"/>
  <c r="BE41" i="26"/>
  <c r="BF41" i="26"/>
  <c r="BG41" i="26"/>
  <c r="BH41" i="26"/>
  <c r="BI41" i="26"/>
  <c r="BJ41" i="26"/>
  <c r="BK41" i="26"/>
  <c r="BL41" i="26"/>
  <c r="BM41" i="26"/>
  <c r="BN41" i="26"/>
  <c r="BO41" i="26"/>
  <c r="BP41" i="26"/>
  <c r="AB17" i="26"/>
  <c r="E52" i="26" a="1"/>
  <c r="E52" i="26"/>
  <c r="F52" i="26" a="1"/>
  <c r="F52" i="26"/>
  <c r="G52" i="26" a="1"/>
  <c r="H52" i="26" a="1"/>
  <c r="I52" i="26" a="1"/>
  <c r="J52" i="26" a="1"/>
  <c r="K52" i="26" a="1"/>
  <c r="L52" i="26" a="1"/>
  <c r="M52" i="26" a="1"/>
  <c r="N52" i="26" a="1"/>
  <c r="O52" i="26" a="1"/>
  <c r="P52" i="26" a="1"/>
  <c r="Q52" i="26" a="1"/>
  <c r="R52" i="26" a="1"/>
  <c r="S52" i="26" a="1"/>
  <c r="T52" i="26" a="1"/>
  <c r="U52" i="26" a="1"/>
  <c r="V52" i="26" a="1"/>
  <c r="W52" i="26" a="1"/>
  <c r="X52" i="26" a="1"/>
  <c r="Y52" i="26" a="1"/>
  <c r="Z52" i="26" a="1"/>
  <c r="AA52" i="26" a="1"/>
  <c r="AB52" i="26" a="1"/>
  <c r="AC52" i="26" a="1"/>
  <c r="AD52" i="26" a="1"/>
  <c r="AE52" i="26" a="1"/>
  <c r="AF52" i="26" a="1"/>
  <c r="AG52" i="26" a="1"/>
  <c r="AH52" i="26" a="1"/>
  <c r="AI52" i="26" a="1"/>
  <c r="AJ52" i="26" a="1"/>
  <c r="AK52" i="26" a="1"/>
  <c r="AL52" i="26" a="1"/>
  <c r="AM52" i="26" a="1"/>
  <c r="AN52" i="26" a="1"/>
  <c r="AO52" i="26" a="1"/>
  <c r="AP52" i="26" a="1"/>
  <c r="AQ52" i="26" a="1"/>
  <c r="AR52" i="26" a="1"/>
  <c r="AS52" i="26" a="1"/>
  <c r="AT52" i="26" a="1"/>
  <c r="AU52" i="26" a="1"/>
  <c r="AV52" i="26" a="1"/>
  <c r="AW52" i="26" a="1"/>
  <c r="AX52" i="26" a="1"/>
  <c r="AY52" i="26" a="1"/>
  <c r="AZ52" i="26" a="1"/>
  <c r="BA52" i="26" a="1"/>
  <c r="BB52" i="26" a="1"/>
  <c r="BC52" i="26" a="1"/>
  <c r="BD52" i="26" a="1"/>
  <c r="BE52" i="26" a="1"/>
  <c r="BF52" i="26" a="1"/>
  <c r="BG52" i="26" a="1"/>
  <c r="BH52" i="26" a="1"/>
  <c r="BI52" i="26" a="1"/>
  <c r="BJ52" i="26" a="1"/>
  <c r="BK52" i="26" a="1"/>
  <c r="BL52" i="26" a="1"/>
  <c r="BM52" i="26" a="1"/>
  <c r="BN52" i="26" a="1"/>
  <c r="BO52" i="26" a="1"/>
  <c r="BP52" i="26" a="1"/>
  <c r="G52" i="26"/>
  <c r="H52" i="26"/>
  <c r="I52" i="26"/>
  <c r="J52" i="26"/>
  <c r="K52" i="26"/>
  <c r="L52" i="26"/>
  <c r="M52" i="26"/>
  <c r="N52" i="26"/>
  <c r="O52" i="26"/>
  <c r="P52" i="26"/>
  <c r="Q52" i="26"/>
  <c r="R52" i="26"/>
  <c r="S52" i="26"/>
  <c r="T52" i="26"/>
  <c r="U52" i="26"/>
  <c r="V52" i="26"/>
  <c r="W52" i="26"/>
  <c r="X52" i="26"/>
  <c r="Y52" i="26"/>
  <c r="Z52" i="26"/>
  <c r="AA52" i="26"/>
  <c r="AB52" i="26"/>
  <c r="AC52" i="26"/>
  <c r="AD52" i="26"/>
  <c r="AE52" i="26"/>
  <c r="AF52" i="26"/>
  <c r="AG52" i="26"/>
  <c r="AH52" i="26"/>
  <c r="AI52" i="26"/>
  <c r="AJ52" i="26"/>
  <c r="AK52" i="26"/>
  <c r="AL52" i="26"/>
  <c r="AM52" i="26"/>
  <c r="AN52" i="26"/>
  <c r="AO52" i="26"/>
  <c r="AP52" i="26"/>
  <c r="AQ52" i="26"/>
  <c r="AR52" i="26"/>
  <c r="AS52" i="26"/>
  <c r="AT52" i="26"/>
  <c r="AU52" i="26"/>
  <c r="AV52" i="26"/>
  <c r="AW52" i="26"/>
  <c r="AX52" i="26"/>
  <c r="AY52" i="26"/>
  <c r="AZ52" i="26"/>
  <c r="BA52" i="26"/>
  <c r="BB52" i="26"/>
  <c r="BC52" i="26"/>
  <c r="BD52" i="26"/>
  <c r="BE52" i="26"/>
  <c r="BF52" i="26"/>
  <c r="BG52" i="26"/>
  <c r="BH52" i="26"/>
  <c r="BI52" i="26"/>
  <c r="BJ52" i="26"/>
  <c r="BK52" i="26"/>
  <c r="BL52" i="26"/>
  <c r="BM52" i="26"/>
  <c r="BN52" i="26"/>
  <c r="BO52" i="26"/>
  <c r="BP52" i="26"/>
  <c r="AC17" i="26"/>
  <c r="W17" i="26"/>
  <c r="C18" i="26"/>
  <c r="E31" i="26" a="1"/>
  <c r="E31" i="26"/>
  <c r="F31" i="26" a="1"/>
  <c r="F31" i="26"/>
  <c r="G31" i="26" a="1"/>
  <c r="H31" i="26" a="1"/>
  <c r="I31" i="26" a="1"/>
  <c r="J31" i="26" a="1"/>
  <c r="K31" i="26" a="1"/>
  <c r="L31" i="26" a="1"/>
  <c r="M31" i="26" a="1"/>
  <c r="N31" i="26" a="1"/>
  <c r="O31" i="26" a="1"/>
  <c r="P31" i="26" a="1"/>
  <c r="Q31" i="26" a="1"/>
  <c r="R31" i="26" a="1"/>
  <c r="S31" i="26" a="1"/>
  <c r="T31" i="26" a="1"/>
  <c r="U31" i="26" a="1"/>
  <c r="V31" i="26" a="1"/>
  <c r="W31" i="26" a="1"/>
  <c r="X31" i="26" a="1"/>
  <c r="Y31" i="26" a="1"/>
  <c r="Z31" i="26" a="1"/>
  <c r="AA31" i="26" a="1"/>
  <c r="AB31" i="26" a="1"/>
  <c r="AC31" i="26" a="1"/>
  <c r="AD31" i="26" a="1"/>
  <c r="AE31" i="26" a="1"/>
  <c r="AF31" i="26" a="1"/>
  <c r="AG31" i="26" a="1"/>
  <c r="AH31" i="26" a="1"/>
  <c r="AI31" i="26" a="1"/>
  <c r="AJ31" i="26" a="1"/>
  <c r="AK31" i="26" a="1"/>
  <c r="AL31" i="26" a="1"/>
  <c r="AM31" i="26" a="1"/>
  <c r="AN31" i="26" a="1"/>
  <c r="AO31" i="26" a="1"/>
  <c r="AP31" i="26" a="1"/>
  <c r="AQ31" i="26" a="1"/>
  <c r="AR31" i="26" a="1"/>
  <c r="AS31" i="26" a="1"/>
  <c r="AT31" i="26" a="1"/>
  <c r="AU31" i="26" a="1"/>
  <c r="AV31" i="26" a="1"/>
  <c r="AW31" i="26" a="1"/>
  <c r="AX31" i="26" a="1"/>
  <c r="AY31" i="26" a="1"/>
  <c r="AZ31" i="26" a="1"/>
  <c r="BA31" i="26" a="1"/>
  <c r="BB31" i="26" a="1"/>
  <c r="BC31" i="26" a="1"/>
  <c r="BD31" i="26" a="1"/>
  <c r="BE31" i="26" a="1"/>
  <c r="BF31" i="26" a="1"/>
  <c r="BG31" i="26" a="1"/>
  <c r="BH31" i="26" a="1"/>
  <c r="BI31" i="26" a="1"/>
  <c r="BJ31" i="26" a="1"/>
  <c r="BK31" i="26" a="1"/>
  <c r="BL31" i="26" a="1"/>
  <c r="BM31" i="26" a="1"/>
  <c r="BN31" i="26" a="1"/>
  <c r="BO31" i="26" a="1"/>
  <c r="BP31" i="26" a="1"/>
  <c r="G31" i="26"/>
  <c r="H31" i="26"/>
  <c r="I31" i="26"/>
  <c r="J31" i="26"/>
  <c r="K31" i="26"/>
  <c r="L31" i="26"/>
  <c r="M31" i="26"/>
  <c r="N31" i="26"/>
  <c r="O31" i="26"/>
  <c r="P31" i="26"/>
  <c r="Q31" i="26"/>
  <c r="R31" i="26"/>
  <c r="S31" i="26"/>
  <c r="T31" i="26"/>
  <c r="U31" i="26"/>
  <c r="V31" i="26"/>
  <c r="W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AU31" i="26"/>
  <c r="AV31" i="26"/>
  <c r="AW31" i="26"/>
  <c r="AX31" i="26"/>
  <c r="AY31" i="26"/>
  <c r="AZ31" i="26"/>
  <c r="BA31" i="26"/>
  <c r="BB31" i="26"/>
  <c r="BC31" i="26"/>
  <c r="BD31" i="26"/>
  <c r="BE31" i="26"/>
  <c r="BF31" i="26"/>
  <c r="BG31" i="26"/>
  <c r="BH31" i="26"/>
  <c r="BI31" i="26"/>
  <c r="BJ31" i="26"/>
  <c r="BK31" i="26"/>
  <c r="BL31" i="26"/>
  <c r="BM31" i="26"/>
  <c r="BN31" i="26"/>
  <c r="BO31" i="26"/>
  <c r="BP31" i="26"/>
  <c r="AA18" i="26"/>
  <c r="E42" i="26" a="1"/>
  <c r="E42" i="26"/>
  <c r="F42" i="26" a="1"/>
  <c r="F42" i="26"/>
  <c r="G42" i="26" a="1"/>
  <c r="H42" i="26" a="1"/>
  <c r="I42" i="26" a="1"/>
  <c r="J42" i="26" a="1"/>
  <c r="K42" i="26" a="1"/>
  <c r="L42" i="26" a="1"/>
  <c r="M42" i="26" a="1"/>
  <c r="N42" i="26" a="1"/>
  <c r="O42" i="26" a="1"/>
  <c r="P42" i="26" a="1"/>
  <c r="Q42" i="26" a="1"/>
  <c r="R42" i="26" a="1"/>
  <c r="S42" i="26" a="1"/>
  <c r="T42" i="26" a="1"/>
  <c r="U42" i="26" a="1"/>
  <c r="V42" i="26" a="1"/>
  <c r="W42" i="26" a="1"/>
  <c r="X42" i="26" a="1"/>
  <c r="Y42" i="26" a="1"/>
  <c r="Z42" i="26" a="1"/>
  <c r="AA42" i="26" a="1"/>
  <c r="AB42" i="26" a="1"/>
  <c r="AC42" i="26" a="1"/>
  <c r="AD42" i="26" a="1"/>
  <c r="AE42" i="26" a="1"/>
  <c r="AF42" i="26" a="1"/>
  <c r="AG42" i="26" a="1"/>
  <c r="AH42" i="26" a="1"/>
  <c r="AI42" i="26" a="1"/>
  <c r="AJ42" i="26" a="1"/>
  <c r="AK42" i="26" a="1"/>
  <c r="AL42" i="26" a="1"/>
  <c r="AM42" i="26" a="1"/>
  <c r="AN42" i="26" a="1"/>
  <c r="AO42" i="26" a="1"/>
  <c r="AP42" i="26" a="1"/>
  <c r="AQ42" i="26" a="1"/>
  <c r="AR42" i="26" a="1"/>
  <c r="AS42" i="26" a="1"/>
  <c r="AT42" i="26" a="1"/>
  <c r="AU42" i="26" a="1"/>
  <c r="AV42" i="26" a="1"/>
  <c r="AW42" i="26" a="1"/>
  <c r="AX42" i="26" a="1"/>
  <c r="AY42" i="26" a="1"/>
  <c r="AZ42" i="26" a="1"/>
  <c r="BA42" i="26" a="1"/>
  <c r="BB42" i="26" a="1"/>
  <c r="BC42" i="26" a="1"/>
  <c r="BD42" i="26" a="1"/>
  <c r="BE42" i="26" a="1"/>
  <c r="BF42" i="26" a="1"/>
  <c r="BG42" i="26" a="1"/>
  <c r="BH42" i="26" a="1"/>
  <c r="BI42" i="26" a="1"/>
  <c r="BJ42" i="26" a="1"/>
  <c r="BK42" i="26" a="1"/>
  <c r="BL42" i="26" a="1"/>
  <c r="BM42" i="26" a="1"/>
  <c r="BN42" i="26" a="1"/>
  <c r="BO42" i="26" a="1"/>
  <c r="BP42" i="26" a="1"/>
  <c r="G42" i="26"/>
  <c r="H42" i="26"/>
  <c r="I42" i="26"/>
  <c r="J42" i="26"/>
  <c r="K42" i="26"/>
  <c r="L42" i="26"/>
  <c r="M42" i="26"/>
  <c r="N42" i="26"/>
  <c r="O42" i="26"/>
  <c r="P42" i="26"/>
  <c r="Q42" i="26"/>
  <c r="R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AX42" i="26"/>
  <c r="AY42" i="26"/>
  <c r="AZ42" i="26"/>
  <c r="BA42" i="26"/>
  <c r="BB42" i="26"/>
  <c r="BC42" i="26"/>
  <c r="BD42" i="26"/>
  <c r="BE42" i="26"/>
  <c r="BF42" i="26"/>
  <c r="BG42" i="26"/>
  <c r="BH42" i="26"/>
  <c r="BI42" i="26"/>
  <c r="BJ42" i="26"/>
  <c r="BK42" i="26"/>
  <c r="BL42" i="26"/>
  <c r="BM42" i="26"/>
  <c r="BN42" i="26"/>
  <c r="BO42" i="26"/>
  <c r="BP42" i="26"/>
  <c r="AB18" i="26"/>
  <c r="E53" i="26" a="1"/>
  <c r="E53" i="26"/>
  <c r="F53" i="26" a="1"/>
  <c r="F53" i="26"/>
  <c r="G53" i="26" a="1"/>
  <c r="H53" i="26" a="1"/>
  <c r="I53" i="26" a="1"/>
  <c r="J53" i="26" a="1"/>
  <c r="K53" i="26" a="1"/>
  <c r="L53" i="26" a="1"/>
  <c r="M53" i="26" a="1"/>
  <c r="N53" i="26" a="1"/>
  <c r="O53" i="26" a="1"/>
  <c r="P53" i="26" a="1"/>
  <c r="Q53" i="26" a="1"/>
  <c r="R53" i="26" a="1"/>
  <c r="S53" i="26" a="1"/>
  <c r="T53" i="26" a="1"/>
  <c r="U53" i="26" a="1"/>
  <c r="V53" i="26" a="1"/>
  <c r="W53" i="26" a="1"/>
  <c r="X53" i="26" a="1"/>
  <c r="Y53" i="26" a="1"/>
  <c r="Z53" i="26" a="1"/>
  <c r="AA53" i="26" a="1"/>
  <c r="AB53" i="26" a="1"/>
  <c r="AC53" i="26" a="1"/>
  <c r="AD53" i="26" a="1"/>
  <c r="AE53" i="26" a="1"/>
  <c r="AF53" i="26" a="1"/>
  <c r="AG53" i="26" a="1"/>
  <c r="AH53" i="26" a="1"/>
  <c r="AI53" i="26" a="1"/>
  <c r="AJ53" i="26" a="1"/>
  <c r="AK53" i="26" a="1"/>
  <c r="AL53" i="26" a="1"/>
  <c r="AM53" i="26" a="1"/>
  <c r="AN53" i="26" a="1"/>
  <c r="AO53" i="26" a="1"/>
  <c r="AP53" i="26" a="1"/>
  <c r="AQ53" i="26" a="1"/>
  <c r="AR53" i="26" a="1"/>
  <c r="AS53" i="26" a="1"/>
  <c r="AT53" i="26" a="1"/>
  <c r="AU53" i="26" a="1"/>
  <c r="AV53" i="26" a="1"/>
  <c r="AW53" i="26" a="1"/>
  <c r="AX53" i="26" a="1"/>
  <c r="AY53" i="26" a="1"/>
  <c r="AZ53" i="26" a="1"/>
  <c r="BA53" i="26" a="1"/>
  <c r="BB53" i="26" a="1"/>
  <c r="BC53" i="26" a="1"/>
  <c r="BD53" i="26" a="1"/>
  <c r="BE53" i="26" a="1"/>
  <c r="BF53" i="26" a="1"/>
  <c r="BG53" i="26" a="1"/>
  <c r="BH53" i="26" a="1"/>
  <c r="BI53" i="26" a="1"/>
  <c r="BJ53" i="26" a="1"/>
  <c r="BK53" i="26" a="1"/>
  <c r="BL53" i="26" a="1"/>
  <c r="BM53" i="26" a="1"/>
  <c r="BN53" i="26" a="1"/>
  <c r="BO53" i="26" a="1"/>
  <c r="BP53" i="26" a="1"/>
  <c r="G53" i="26"/>
  <c r="H53" i="26"/>
  <c r="I53" i="26"/>
  <c r="J53" i="26"/>
  <c r="K53" i="26"/>
  <c r="L53" i="26"/>
  <c r="M53" i="26"/>
  <c r="N53" i="26"/>
  <c r="O53" i="26"/>
  <c r="P53" i="26"/>
  <c r="Q53" i="26"/>
  <c r="R53" i="26"/>
  <c r="S53" i="26"/>
  <c r="T53" i="26"/>
  <c r="U53" i="26"/>
  <c r="V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AT53" i="26"/>
  <c r="AU53" i="26"/>
  <c r="AV53" i="26"/>
  <c r="AW53" i="26"/>
  <c r="AX53" i="26"/>
  <c r="AY53" i="26"/>
  <c r="AZ53" i="26"/>
  <c r="BA53" i="26"/>
  <c r="BB53" i="26"/>
  <c r="BC53" i="26"/>
  <c r="BD53" i="26"/>
  <c r="BE53" i="26"/>
  <c r="BF53" i="26"/>
  <c r="BG53" i="26"/>
  <c r="BH53" i="26"/>
  <c r="BI53" i="26"/>
  <c r="BJ53" i="26"/>
  <c r="BK53" i="26"/>
  <c r="BL53" i="26"/>
  <c r="BM53" i="26"/>
  <c r="BN53" i="26"/>
  <c r="BO53" i="26"/>
  <c r="BP53" i="26"/>
  <c r="AC18" i="26"/>
  <c r="W18" i="26"/>
  <c r="C19" i="26"/>
  <c r="E32" i="26" a="1"/>
  <c r="E32" i="26"/>
  <c r="F32" i="26" a="1"/>
  <c r="F32" i="26"/>
  <c r="G32" i="26" a="1"/>
  <c r="H32" i="26" a="1"/>
  <c r="I32" i="26" a="1"/>
  <c r="J32" i="26" a="1"/>
  <c r="K32" i="26" a="1"/>
  <c r="L32" i="26" a="1"/>
  <c r="M32" i="26" a="1"/>
  <c r="N32" i="26" a="1"/>
  <c r="O32" i="26" a="1"/>
  <c r="P32" i="26" a="1"/>
  <c r="Q32" i="26" a="1"/>
  <c r="R32" i="26" a="1"/>
  <c r="S32" i="26" a="1"/>
  <c r="T32" i="26" a="1"/>
  <c r="U32" i="26" a="1"/>
  <c r="V32" i="26" a="1"/>
  <c r="W32" i="26" a="1"/>
  <c r="X32" i="26" a="1"/>
  <c r="Y32" i="26" a="1"/>
  <c r="Z32" i="26" a="1"/>
  <c r="AA32" i="26" a="1"/>
  <c r="AB32" i="26" a="1"/>
  <c r="AC32" i="26" a="1"/>
  <c r="AD32" i="26" a="1"/>
  <c r="AE32" i="26" a="1"/>
  <c r="AF32" i="26" a="1"/>
  <c r="AG32" i="26" a="1"/>
  <c r="AH32" i="26" a="1"/>
  <c r="AI32" i="26" a="1"/>
  <c r="AJ32" i="26" a="1"/>
  <c r="AK32" i="26" a="1"/>
  <c r="AL32" i="26" a="1"/>
  <c r="AM32" i="26" a="1"/>
  <c r="AN32" i="26" a="1"/>
  <c r="AO32" i="26" a="1"/>
  <c r="AP32" i="26" a="1"/>
  <c r="AQ32" i="26" a="1"/>
  <c r="AR32" i="26" a="1"/>
  <c r="AS32" i="26" a="1"/>
  <c r="AT32" i="26" a="1"/>
  <c r="AU32" i="26" a="1"/>
  <c r="AV32" i="26" a="1"/>
  <c r="AW32" i="26" a="1"/>
  <c r="AX32" i="26" a="1"/>
  <c r="AY32" i="26" a="1"/>
  <c r="AZ32" i="26" a="1"/>
  <c r="BA32" i="26" a="1"/>
  <c r="BB32" i="26" a="1"/>
  <c r="BC32" i="26" a="1"/>
  <c r="BD32" i="26" a="1"/>
  <c r="BE32" i="26" a="1"/>
  <c r="BF32" i="26" a="1"/>
  <c r="BG32" i="26" a="1"/>
  <c r="BH32" i="26" a="1"/>
  <c r="BI32" i="26" a="1"/>
  <c r="BJ32" i="26" a="1"/>
  <c r="BK32" i="26" a="1"/>
  <c r="BL32" i="26" a="1"/>
  <c r="BM32" i="26" a="1"/>
  <c r="BN32" i="26" a="1"/>
  <c r="BO32" i="26" a="1"/>
  <c r="BP32" i="26" a="1"/>
  <c r="G32" i="26"/>
  <c r="H32" i="26"/>
  <c r="I32" i="26"/>
  <c r="J32" i="26"/>
  <c r="K32" i="26"/>
  <c r="L32" i="26"/>
  <c r="M32" i="26"/>
  <c r="N32" i="26"/>
  <c r="O32" i="26"/>
  <c r="P32" i="26"/>
  <c r="Q32"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AX32" i="26"/>
  <c r="AY32" i="26"/>
  <c r="AZ32" i="26"/>
  <c r="BA32" i="26"/>
  <c r="BB32" i="26"/>
  <c r="BC32" i="26"/>
  <c r="BD32" i="26"/>
  <c r="BE32" i="26"/>
  <c r="BF32" i="26"/>
  <c r="BG32" i="26"/>
  <c r="BH32" i="26"/>
  <c r="BI32" i="26"/>
  <c r="BJ32" i="26"/>
  <c r="BK32" i="26"/>
  <c r="BL32" i="26"/>
  <c r="BM32" i="26"/>
  <c r="BN32" i="26"/>
  <c r="BO32" i="26"/>
  <c r="BP32" i="26"/>
  <c r="AA19" i="26"/>
  <c r="E43" i="26" a="1"/>
  <c r="E43" i="26"/>
  <c r="F43" i="26" a="1"/>
  <c r="F43" i="26"/>
  <c r="G43" i="26" a="1"/>
  <c r="H43" i="26" a="1"/>
  <c r="I43" i="26" a="1"/>
  <c r="J43" i="26" a="1"/>
  <c r="K43" i="26" a="1"/>
  <c r="L43" i="26" a="1"/>
  <c r="M43" i="26" a="1"/>
  <c r="N43" i="26" a="1"/>
  <c r="O43" i="26" a="1"/>
  <c r="P43" i="26" a="1"/>
  <c r="Q43" i="26" a="1"/>
  <c r="R43" i="26" a="1"/>
  <c r="S43" i="26" a="1"/>
  <c r="T43" i="26" a="1"/>
  <c r="U43" i="26" a="1"/>
  <c r="V43" i="26" a="1"/>
  <c r="W43" i="26" a="1"/>
  <c r="X43" i="26" a="1"/>
  <c r="Y43" i="26" a="1"/>
  <c r="Z43" i="26" a="1"/>
  <c r="AA43" i="26" a="1"/>
  <c r="AB43" i="26" a="1"/>
  <c r="AC43" i="26" a="1"/>
  <c r="AD43" i="26" a="1"/>
  <c r="AE43" i="26" a="1"/>
  <c r="AF43" i="26" a="1"/>
  <c r="AG43" i="26" a="1"/>
  <c r="AH43" i="26" a="1"/>
  <c r="AI43" i="26" a="1"/>
  <c r="AJ43" i="26" a="1"/>
  <c r="AK43" i="26" a="1"/>
  <c r="AL43" i="26" a="1"/>
  <c r="AM43" i="26" a="1"/>
  <c r="AN43" i="26" a="1"/>
  <c r="AO43" i="26" a="1"/>
  <c r="AP43" i="26" a="1"/>
  <c r="AQ43" i="26" a="1"/>
  <c r="AR43" i="26" a="1"/>
  <c r="AS43" i="26" a="1"/>
  <c r="AT43" i="26" a="1"/>
  <c r="AU43" i="26" a="1"/>
  <c r="AV43" i="26" a="1"/>
  <c r="AW43" i="26" a="1"/>
  <c r="AX43" i="26" a="1"/>
  <c r="AY43" i="26" a="1"/>
  <c r="AZ43" i="26" a="1"/>
  <c r="BA43" i="26" a="1"/>
  <c r="BB43" i="26" a="1"/>
  <c r="BC43" i="26" a="1"/>
  <c r="BD43" i="26" a="1"/>
  <c r="BE43" i="26" a="1"/>
  <c r="BF43" i="26" a="1"/>
  <c r="BG43" i="26" a="1"/>
  <c r="BH43" i="26" a="1"/>
  <c r="BI43" i="26" a="1"/>
  <c r="BJ43" i="26" a="1"/>
  <c r="BK43" i="26" a="1"/>
  <c r="BL43" i="26" a="1"/>
  <c r="BM43" i="26" a="1"/>
  <c r="BN43" i="26" a="1"/>
  <c r="BO43" i="26" a="1"/>
  <c r="BP43" i="26" a="1"/>
  <c r="G43" i="26"/>
  <c r="H43" i="26"/>
  <c r="I43" i="26"/>
  <c r="J43" i="26"/>
  <c r="K43" i="26"/>
  <c r="L43" i="26"/>
  <c r="M43" i="26"/>
  <c r="N43" i="26"/>
  <c r="O43" i="26"/>
  <c r="P43" i="26"/>
  <c r="Q43" i="26"/>
  <c r="R43" i="26"/>
  <c r="S43" i="26"/>
  <c r="T43" i="26"/>
  <c r="U43" i="26"/>
  <c r="V43" i="26"/>
  <c r="W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AU43" i="26"/>
  <c r="AV43" i="26"/>
  <c r="AW43" i="26"/>
  <c r="AX43" i="26"/>
  <c r="AY43" i="26"/>
  <c r="AZ43" i="26"/>
  <c r="BA43" i="26"/>
  <c r="BB43" i="26"/>
  <c r="BC43" i="26"/>
  <c r="BD43" i="26"/>
  <c r="BE43" i="26"/>
  <c r="BF43" i="26"/>
  <c r="BG43" i="26"/>
  <c r="BH43" i="26"/>
  <c r="BI43" i="26"/>
  <c r="BJ43" i="26"/>
  <c r="BK43" i="26"/>
  <c r="BL43" i="26"/>
  <c r="BM43" i="26"/>
  <c r="BN43" i="26"/>
  <c r="BO43" i="26"/>
  <c r="BP43" i="26"/>
  <c r="AB19" i="26"/>
  <c r="E54" i="26" a="1"/>
  <c r="E54" i="26"/>
  <c r="F54" i="26" a="1"/>
  <c r="F54" i="26"/>
  <c r="G54" i="26" a="1"/>
  <c r="H54" i="26" a="1"/>
  <c r="I54" i="26" a="1"/>
  <c r="J54" i="26" a="1"/>
  <c r="K54" i="26" a="1"/>
  <c r="L54" i="26" a="1"/>
  <c r="M54" i="26" a="1"/>
  <c r="N54" i="26" a="1"/>
  <c r="O54" i="26" a="1"/>
  <c r="P54" i="26" a="1"/>
  <c r="Q54" i="26" a="1"/>
  <c r="R54" i="26" a="1"/>
  <c r="S54" i="26" a="1"/>
  <c r="T54" i="26" a="1"/>
  <c r="U54" i="26" a="1"/>
  <c r="V54" i="26" a="1"/>
  <c r="W54" i="26" a="1"/>
  <c r="X54" i="26" a="1"/>
  <c r="Y54" i="26" a="1"/>
  <c r="Z54" i="26" a="1"/>
  <c r="AA54" i="26" a="1"/>
  <c r="AB54" i="26" a="1"/>
  <c r="AC54" i="26" a="1"/>
  <c r="AD54" i="26" a="1"/>
  <c r="AE54" i="26" a="1"/>
  <c r="AF54" i="26" a="1"/>
  <c r="AG54" i="26" a="1"/>
  <c r="AH54" i="26" a="1"/>
  <c r="AI54" i="26" a="1"/>
  <c r="AJ54" i="26" a="1"/>
  <c r="AK54" i="26" a="1"/>
  <c r="AL54" i="26" a="1"/>
  <c r="AM54" i="26" a="1"/>
  <c r="AN54" i="26" a="1"/>
  <c r="AO54" i="26" a="1"/>
  <c r="AP54" i="26" a="1"/>
  <c r="AQ54" i="26" a="1"/>
  <c r="AR54" i="26" a="1"/>
  <c r="AS54" i="26" a="1"/>
  <c r="AT54" i="26" a="1"/>
  <c r="AU54" i="26" a="1"/>
  <c r="AV54" i="26" a="1"/>
  <c r="AW54" i="26" a="1"/>
  <c r="AX54" i="26" a="1"/>
  <c r="AY54" i="26" a="1"/>
  <c r="AZ54" i="26" a="1"/>
  <c r="BA54" i="26" a="1"/>
  <c r="BB54" i="26" a="1"/>
  <c r="BC54" i="26" a="1"/>
  <c r="BD54" i="26" a="1"/>
  <c r="BE54" i="26" a="1"/>
  <c r="BF54" i="26" a="1"/>
  <c r="BG54" i="26" a="1"/>
  <c r="BH54" i="26" a="1"/>
  <c r="BI54" i="26" a="1"/>
  <c r="BJ54" i="26" a="1"/>
  <c r="BK54" i="26" a="1"/>
  <c r="BL54" i="26" a="1"/>
  <c r="BM54" i="26" a="1"/>
  <c r="BN54" i="26" a="1"/>
  <c r="BO54" i="26" a="1"/>
  <c r="BP54" i="26" a="1"/>
  <c r="G54" i="26"/>
  <c r="H54" i="26"/>
  <c r="I54" i="26"/>
  <c r="J54" i="26"/>
  <c r="K54" i="26"/>
  <c r="L54" i="26"/>
  <c r="M54" i="26"/>
  <c r="N54" i="26"/>
  <c r="O54" i="26"/>
  <c r="P54" i="26"/>
  <c r="Q54" i="26"/>
  <c r="R54" i="26"/>
  <c r="S54" i="26"/>
  <c r="T54" i="26"/>
  <c r="U54" i="26"/>
  <c r="V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AT54" i="26"/>
  <c r="AU54" i="26"/>
  <c r="AV54" i="26"/>
  <c r="AW54" i="26"/>
  <c r="AX54" i="26"/>
  <c r="AY54" i="26"/>
  <c r="AZ54" i="26"/>
  <c r="BA54" i="26"/>
  <c r="BB54" i="26"/>
  <c r="BC54" i="26"/>
  <c r="BD54" i="26"/>
  <c r="BE54" i="26"/>
  <c r="BF54" i="26"/>
  <c r="BG54" i="26"/>
  <c r="BH54" i="26"/>
  <c r="BI54" i="26"/>
  <c r="BJ54" i="26"/>
  <c r="BK54" i="26"/>
  <c r="BL54" i="26"/>
  <c r="BM54" i="26"/>
  <c r="BN54" i="26"/>
  <c r="BO54" i="26"/>
  <c r="BP54" i="26"/>
  <c r="AC19" i="26"/>
  <c r="W19" i="26"/>
  <c r="C20" i="26"/>
  <c r="E33" i="26" a="1"/>
  <c r="E33" i="26"/>
  <c r="F33" i="26" a="1"/>
  <c r="F33" i="26"/>
  <c r="G33" i="26" a="1"/>
  <c r="H33" i="26" a="1"/>
  <c r="I33" i="26" a="1"/>
  <c r="J33" i="26" a="1"/>
  <c r="K33" i="26" a="1"/>
  <c r="L33" i="26" a="1"/>
  <c r="M33" i="26" a="1"/>
  <c r="N33" i="26" a="1"/>
  <c r="O33" i="26" a="1"/>
  <c r="P33" i="26" a="1"/>
  <c r="Q33" i="26" a="1"/>
  <c r="R33" i="26" a="1"/>
  <c r="S33" i="26" a="1"/>
  <c r="T33" i="26" a="1"/>
  <c r="U33" i="26" a="1"/>
  <c r="V33" i="26" a="1"/>
  <c r="W33" i="26" a="1"/>
  <c r="X33" i="26" a="1"/>
  <c r="Y33" i="26" a="1"/>
  <c r="Z33" i="26" a="1"/>
  <c r="AA33" i="26" a="1"/>
  <c r="AB33" i="26" a="1"/>
  <c r="AC33" i="26" a="1"/>
  <c r="AD33" i="26" a="1"/>
  <c r="AE33" i="26" a="1"/>
  <c r="AF33" i="26" a="1"/>
  <c r="AG33" i="26" a="1"/>
  <c r="AH33" i="26" a="1"/>
  <c r="AI33" i="26" a="1"/>
  <c r="AJ33" i="26" a="1"/>
  <c r="AK33" i="26" a="1"/>
  <c r="AL33" i="26" a="1"/>
  <c r="AM33" i="26" a="1"/>
  <c r="AN33" i="26" a="1"/>
  <c r="AO33" i="26" a="1"/>
  <c r="AP33" i="26" a="1"/>
  <c r="AQ33" i="26" a="1"/>
  <c r="AR33" i="26" a="1"/>
  <c r="AS33" i="26" a="1"/>
  <c r="AT33" i="26" a="1"/>
  <c r="AU33" i="26" a="1"/>
  <c r="AV33" i="26" a="1"/>
  <c r="AW33" i="26" a="1"/>
  <c r="AX33" i="26" a="1"/>
  <c r="AY33" i="26" a="1"/>
  <c r="AZ33" i="26" a="1"/>
  <c r="BA33" i="26" a="1"/>
  <c r="BB33" i="26" a="1"/>
  <c r="BC33" i="26" a="1"/>
  <c r="BD33" i="26" a="1"/>
  <c r="BE33" i="26" a="1"/>
  <c r="BF33" i="26" a="1"/>
  <c r="BG33" i="26" a="1"/>
  <c r="BH33" i="26" a="1"/>
  <c r="BI33" i="26" a="1"/>
  <c r="BJ33" i="26" a="1"/>
  <c r="BK33" i="26" a="1"/>
  <c r="BL33" i="26" a="1"/>
  <c r="BM33" i="26" a="1"/>
  <c r="BN33" i="26" a="1"/>
  <c r="BO33" i="26" a="1"/>
  <c r="BP33" i="26" a="1"/>
  <c r="G33" i="26"/>
  <c r="H33" i="26"/>
  <c r="I33" i="26"/>
  <c r="J33" i="26"/>
  <c r="K33" i="26"/>
  <c r="L33" i="26"/>
  <c r="M33" i="26"/>
  <c r="N33" i="26"/>
  <c r="O33" i="26"/>
  <c r="P33" i="26"/>
  <c r="Q33" i="26"/>
  <c r="R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AX33" i="26"/>
  <c r="AY33" i="26"/>
  <c r="AZ33" i="26"/>
  <c r="BA33" i="26"/>
  <c r="BB33" i="26"/>
  <c r="BC33" i="26"/>
  <c r="BD33" i="26"/>
  <c r="BE33" i="26"/>
  <c r="BF33" i="26"/>
  <c r="BG33" i="26"/>
  <c r="BH33" i="26"/>
  <c r="BI33" i="26"/>
  <c r="BJ33" i="26"/>
  <c r="BK33" i="26"/>
  <c r="BL33" i="26"/>
  <c r="BM33" i="26"/>
  <c r="BN33" i="26"/>
  <c r="BO33" i="26"/>
  <c r="BP33" i="26"/>
  <c r="AA20" i="26"/>
  <c r="E44" i="26" a="1"/>
  <c r="E44" i="26"/>
  <c r="F44" i="26" a="1"/>
  <c r="F44" i="26"/>
  <c r="G44" i="26" a="1"/>
  <c r="H44" i="26" a="1"/>
  <c r="I44" i="26" a="1"/>
  <c r="J44" i="26" a="1"/>
  <c r="K44" i="26" a="1"/>
  <c r="L44" i="26" a="1"/>
  <c r="M44" i="26" a="1"/>
  <c r="N44" i="26" a="1"/>
  <c r="O44" i="26" a="1"/>
  <c r="P44" i="26" a="1"/>
  <c r="Q44" i="26" a="1"/>
  <c r="R44" i="26" a="1"/>
  <c r="S44" i="26" a="1"/>
  <c r="T44" i="26" a="1"/>
  <c r="U44" i="26" a="1"/>
  <c r="V44" i="26" a="1"/>
  <c r="W44" i="26" a="1"/>
  <c r="X44" i="26" a="1"/>
  <c r="Y44" i="26" a="1"/>
  <c r="Z44" i="26" a="1"/>
  <c r="AA44" i="26" a="1"/>
  <c r="AB44" i="26" a="1"/>
  <c r="AC44" i="26" a="1"/>
  <c r="AD44" i="26" a="1"/>
  <c r="AE44" i="26" a="1"/>
  <c r="AF44" i="26" a="1"/>
  <c r="AG44" i="26" a="1"/>
  <c r="AH44" i="26" a="1"/>
  <c r="AI44" i="26" a="1"/>
  <c r="AJ44" i="26" a="1"/>
  <c r="AK44" i="26" a="1"/>
  <c r="AL44" i="26" a="1"/>
  <c r="AM44" i="26" a="1"/>
  <c r="AN44" i="26" a="1"/>
  <c r="AO44" i="26" a="1"/>
  <c r="AP44" i="26" a="1"/>
  <c r="AQ44" i="26" a="1"/>
  <c r="AR44" i="26" a="1"/>
  <c r="AS44" i="26" a="1"/>
  <c r="AT44" i="26" a="1"/>
  <c r="AU44" i="26" a="1"/>
  <c r="AV44" i="26" a="1"/>
  <c r="AW44" i="26" a="1"/>
  <c r="AX44" i="26" a="1"/>
  <c r="AY44" i="26" a="1"/>
  <c r="AZ44" i="26" a="1"/>
  <c r="BA44" i="26" a="1"/>
  <c r="BB44" i="26" a="1"/>
  <c r="BC44" i="26" a="1"/>
  <c r="BD44" i="26" a="1"/>
  <c r="BE44" i="26" a="1"/>
  <c r="BF44" i="26" a="1"/>
  <c r="BG44" i="26" a="1"/>
  <c r="BH44" i="26" a="1"/>
  <c r="BI44" i="26" a="1"/>
  <c r="BJ44" i="26" a="1"/>
  <c r="BK44" i="26" a="1"/>
  <c r="BL44" i="26" a="1"/>
  <c r="BM44" i="26" a="1"/>
  <c r="BN44" i="26" a="1"/>
  <c r="BO44" i="26" a="1"/>
  <c r="BP44" i="26" a="1"/>
  <c r="G44" i="26"/>
  <c r="H44" i="26"/>
  <c r="I44" i="26"/>
  <c r="J44" i="26"/>
  <c r="K44" i="26"/>
  <c r="L44" i="26"/>
  <c r="M44" i="26"/>
  <c r="N44" i="26"/>
  <c r="O44" i="26"/>
  <c r="P44" i="26"/>
  <c r="Q44" i="26"/>
  <c r="R44"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AX44" i="26"/>
  <c r="AY44" i="26"/>
  <c r="AZ44" i="26"/>
  <c r="BA44" i="26"/>
  <c r="BB44" i="26"/>
  <c r="BC44" i="26"/>
  <c r="BD44" i="26"/>
  <c r="BE44" i="26"/>
  <c r="BF44" i="26"/>
  <c r="BG44" i="26"/>
  <c r="BH44" i="26"/>
  <c r="BI44" i="26"/>
  <c r="BJ44" i="26"/>
  <c r="BK44" i="26"/>
  <c r="BL44" i="26"/>
  <c r="BM44" i="26"/>
  <c r="BN44" i="26"/>
  <c r="BO44" i="26"/>
  <c r="BP44" i="26"/>
  <c r="AB20" i="26"/>
  <c r="E55" i="26" a="1"/>
  <c r="E55" i="26"/>
  <c r="F55" i="26" a="1"/>
  <c r="F55" i="26"/>
  <c r="G55" i="26" a="1"/>
  <c r="H55" i="26" a="1"/>
  <c r="I55" i="26" a="1"/>
  <c r="J55" i="26" a="1"/>
  <c r="K55" i="26" a="1"/>
  <c r="L55" i="26" a="1"/>
  <c r="M55" i="26" a="1"/>
  <c r="N55" i="26" a="1"/>
  <c r="O55" i="26" a="1"/>
  <c r="P55" i="26" a="1"/>
  <c r="Q55" i="26" a="1"/>
  <c r="R55" i="26" a="1"/>
  <c r="S55" i="26" a="1"/>
  <c r="T55" i="26" a="1"/>
  <c r="U55" i="26" a="1"/>
  <c r="V55" i="26" a="1"/>
  <c r="W55" i="26" a="1"/>
  <c r="X55" i="26" a="1"/>
  <c r="Y55" i="26" a="1"/>
  <c r="Z55" i="26" a="1"/>
  <c r="AA55" i="26" a="1"/>
  <c r="AB55" i="26" a="1"/>
  <c r="AC55" i="26" a="1"/>
  <c r="AD55" i="26" a="1"/>
  <c r="AE55" i="26" a="1"/>
  <c r="AF55" i="26" a="1"/>
  <c r="AG55" i="26" a="1"/>
  <c r="AH55" i="26" a="1"/>
  <c r="AI55" i="26" a="1"/>
  <c r="AJ55" i="26" a="1"/>
  <c r="AK55" i="26" a="1"/>
  <c r="AL55" i="26" a="1"/>
  <c r="AM55" i="26" a="1"/>
  <c r="AN55" i="26" a="1"/>
  <c r="AO55" i="26" a="1"/>
  <c r="AP55" i="26" a="1"/>
  <c r="AQ55" i="26" a="1"/>
  <c r="AR55" i="26" a="1"/>
  <c r="AS55" i="26" a="1"/>
  <c r="AT55" i="26" a="1"/>
  <c r="AU55" i="26" a="1"/>
  <c r="AV55" i="26" a="1"/>
  <c r="AW55" i="26" a="1"/>
  <c r="AX55" i="26" a="1"/>
  <c r="AY55" i="26" a="1"/>
  <c r="AZ55" i="26" a="1"/>
  <c r="BA55" i="26" a="1"/>
  <c r="BB55" i="26" a="1"/>
  <c r="BC55" i="26" a="1"/>
  <c r="BD55" i="26" a="1"/>
  <c r="BE55" i="26" a="1"/>
  <c r="BF55" i="26" a="1"/>
  <c r="BG55" i="26" a="1"/>
  <c r="BH55" i="26" a="1"/>
  <c r="BI55" i="26" a="1"/>
  <c r="BJ55" i="26" a="1"/>
  <c r="BK55" i="26" a="1"/>
  <c r="BL55" i="26" a="1"/>
  <c r="BM55" i="26" a="1"/>
  <c r="BN55" i="26" a="1"/>
  <c r="BO55" i="26" a="1"/>
  <c r="BP55" i="26" a="1"/>
  <c r="G55" i="26"/>
  <c r="H55" i="26"/>
  <c r="I55" i="26"/>
  <c r="J55" i="26"/>
  <c r="K55" i="26"/>
  <c r="L55" i="26"/>
  <c r="M55" i="26"/>
  <c r="N55" i="26"/>
  <c r="O55" i="26"/>
  <c r="P55" i="26"/>
  <c r="Q55" i="26"/>
  <c r="R55" i="26"/>
  <c r="S55" i="26"/>
  <c r="T55" i="26"/>
  <c r="U55" i="26"/>
  <c r="V55" i="26"/>
  <c r="W55" i="26"/>
  <c r="X55" i="26"/>
  <c r="Y55" i="26"/>
  <c r="Z55" i="26"/>
  <c r="AA55" i="26"/>
  <c r="AB55" i="26"/>
  <c r="AC55" i="26"/>
  <c r="AD55" i="26"/>
  <c r="AE55" i="26"/>
  <c r="AF55" i="26"/>
  <c r="AG55" i="26"/>
  <c r="AH55" i="26"/>
  <c r="AI55" i="26"/>
  <c r="AJ55" i="26"/>
  <c r="AK55" i="26"/>
  <c r="AL55" i="26"/>
  <c r="AM55" i="26"/>
  <c r="AN55" i="26"/>
  <c r="AO55" i="26"/>
  <c r="AP55" i="26"/>
  <c r="AQ55" i="26"/>
  <c r="AR55" i="26"/>
  <c r="AS55" i="26"/>
  <c r="AT55" i="26"/>
  <c r="AU55" i="26"/>
  <c r="AV55" i="26"/>
  <c r="AW55" i="26"/>
  <c r="AX55" i="26"/>
  <c r="AY55" i="26"/>
  <c r="AZ55" i="26"/>
  <c r="BA55" i="26"/>
  <c r="BB55" i="26"/>
  <c r="BC55" i="26"/>
  <c r="BD55" i="26"/>
  <c r="BE55" i="26"/>
  <c r="BF55" i="26"/>
  <c r="BG55" i="26"/>
  <c r="BH55" i="26"/>
  <c r="BI55" i="26"/>
  <c r="BJ55" i="26"/>
  <c r="BK55" i="26"/>
  <c r="BL55" i="26"/>
  <c r="BM55" i="26"/>
  <c r="BN55" i="26"/>
  <c r="BO55" i="26"/>
  <c r="BP55" i="26"/>
  <c r="AC20" i="26"/>
  <c r="W20" i="26"/>
  <c r="BR52" i="26"/>
  <c r="BS51" i="26"/>
  <c r="BT51" i="26"/>
  <c r="BT52" i="26"/>
  <c r="BU51" i="26"/>
  <c r="BU52" i="26"/>
  <c r="BV51" i="26"/>
  <c r="BV52" i="26"/>
  <c r="BW52" i="26"/>
  <c r="BX52" i="26"/>
  <c r="BY52" i="26"/>
  <c r="BZ52" i="26"/>
  <c r="CA52" i="26"/>
  <c r="BR53" i="26"/>
  <c r="BS53" i="26"/>
  <c r="BU53" i="26"/>
  <c r="BV53" i="26"/>
  <c r="BW53" i="26"/>
  <c r="BX53" i="26"/>
  <c r="BY53" i="26"/>
  <c r="BZ53" i="26"/>
  <c r="CA53" i="26"/>
  <c r="BR54" i="26"/>
  <c r="BS54" i="26"/>
  <c r="BT54" i="26"/>
  <c r="BV54" i="26"/>
  <c r="BW54" i="26"/>
  <c r="BX54" i="26"/>
  <c r="BY54" i="26"/>
  <c r="BZ54" i="26"/>
  <c r="CA54" i="26"/>
  <c r="BR55" i="26"/>
  <c r="BS55" i="26"/>
  <c r="BT55" i="26"/>
  <c r="BU55" i="26"/>
  <c r="BW55" i="26"/>
  <c r="BX55" i="26"/>
  <c r="BY55" i="26"/>
  <c r="BZ55" i="26"/>
  <c r="CA55" i="26"/>
  <c r="BS56" i="26"/>
  <c r="BT56" i="26"/>
  <c r="BU56" i="26"/>
  <c r="BV56" i="26"/>
  <c r="BX56" i="26"/>
  <c r="BY56" i="26"/>
  <c r="BZ56" i="26"/>
  <c r="CA56" i="26"/>
  <c r="BS57" i="26"/>
  <c r="BT57" i="26"/>
  <c r="BU57" i="26"/>
  <c r="BV57" i="26"/>
  <c r="BW57" i="26"/>
  <c r="BY57" i="26"/>
  <c r="BZ57" i="26"/>
  <c r="CA57" i="26"/>
  <c r="BS58" i="26"/>
  <c r="BT58" i="26"/>
  <c r="BU58" i="26"/>
  <c r="BV58" i="26"/>
  <c r="BW58" i="26"/>
  <c r="BX58" i="26"/>
  <c r="BZ58" i="26"/>
  <c r="CA58" i="26"/>
  <c r="BS59" i="26"/>
  <c r="BT59" i="26"/>
  <c r="BU59" i="26"/>
  <c r="BV59" i="26"/>
  <c r="BW59" i="26"/>
  <c r="BX59" i="26"/>
  <c r="BY59" i="26"/>
  <c r="CA59" i="26"/>
  <c r="BS60" i="26"/>
  <c r="BT60" i="26"/>
  <c r="BU60" i="26"/>
  <c r="BV60" i="26"/>
  <c r="BW60" i="26"/>
  <c r="BX60" i="26"/>
  <c r="BY60" i="26"/>
  <c r="BZ60" i="26"/>
  <c r="E34" i="26" a="1"/>
  <c r="E34" i="26"/>
  <c r="F34" i="26" a="1"/>
  <c r="F34" i="26"/>
  <c r="G34" i="26" a="1"/>
  <c r="H34" i="26" a="1"/>
  <c r="I34" i="26" a="1"/>
  <c r="J34" i="26" a="1"/>
  <c r="K34" i="26" a="1"/>
  <c r="L34" i="26" a="1"/>
  <c r="M34" i="26" a="1"/>
  <c r="N34" i="26" a="1"/>
  <c r="O34" i="26" a="1"/>
  <c r="P34" i="26" a="1"/>
  <c r="Q34" i="26" a="1"/>
  <c r="R34" i="26" a="1"/>
  <c r="S34" i="26" a="1"/>
  <c r="T34" i="26" a="1"/>
  <c r="U34" i="26" a="1"/>
  <c r="V34" i="26" a="1"/>
  <c r="W34" i="26" a="1"/>
  <c r="X34" i="26" a="1"/>
  <c r="Y34" i="26" a="1"/>
  <c r="Z34" i="26" a="1"/>
  <c r="AA34" i="26" a="1"/>
  <c r="AB34" i="26" a="1"/>
  <c r="AC34" i="26" a="1"/>
  <c r="AD34" i="26" a="1"/>
  <c r="AE34" i="26" a="1"/>
  <c r="AF34" i="26" a="1"/>
  <c r="AG34" i="26" a="1"/>
  <c r="AH34" i="26" a="1"/>
  <c r="AI34" i="26" a="1"/>
  <c r="AJ34" i="26" a="1"/>
  <c r="AK34" i="26" a="1"/>
  <c r="AL34" i="26" a="1"/>
  <c r="AM34" i="26" a="1"/>
  <c r="AN34" i="26" a="1"/>
  <c r="AO34" i="26" a="1"/>
  <c r="AP34" i="26" a="1"/>
  <c r="AQ34" i="26" a="1"/>
  <c r="AR34" i="26" a="1"/>
  <c r="AS34" i="26" a="1"/>
  <c r="AT34" i="26" a="1"/>
  <c r="AU34" i="26" a="1"/>
  <c r="AV34" i="26" a="1"/>
  <c r="AW34" i="26" a="1"/>
  <c r="AX34" i="26" a="1"/>
  <c r="AY34" i="26" a="1"/>
  <c r="AZ34" i="26" a="1"/>
  <c r="BA34" i="26" a="1"/>
  <c r="BB34" i="26" a="1"/>
  <c r="BC34" i="26" a="1"/>
  <c r="BD34" i="26" a="1"/>
  <c r="BE34" i="26" a="1"/>
  <c r="BF34" i="26" a="1"/>
  <c r="BG34" i="26" a="1"/>
  <c r="BH34" i="26" a="1"/>
  <c r="BI34" i="26" a="1"/>
  <c r="BJ34" i="26" a="1"/>
  <c r="BK34" i="26" a="1"/>
  <c r="BL34" i="26" a="1"/>
  <c r="BM34" i="26" a="1"/>
  <c r="BN34" i="26" a="1"/>
  <c r="BO34" i="26" a="1"/>
  <c r="BP34" i="26" a="1"/>
  <c r="G34" i="26"/>
  <c r="H34" i="26"/>
  <c r="I34" i="26"/>
  <c r="J34" i="26"/>
  <c r="K34" i="26"/>
  <c r="L34" i="26"/>
  <c r="M34" i="26"/>
  <c r="N34" i="26"/>
  <c r="O34" i="26"/>
  <c r="P34" i="26"/>
  <c r="Q34" i="26"/>
  <c r="R34" i="26"/>
  <c r="S34" i="26"/>
  <c r="T34" i="26"/>
  <c r="U34" i="26"/>
  <c r="V34" i="26"/>
  <c r="W34" i="26"/>
  <c r="X34" i="26"/>
  <c r="Y34" i="26"/>
  <c r="Z34" i="26"/>
  <c r="AA34" i="26"/>
  <c r="AB34" i="26"/>
  <c r="AC34" i="26"/>
  <c r="AD34" i="26"/>
  <c r="AE34" i="26"/>
  <c r="AF34" i="26"/>
  <c r="AG34" i="26"/>
  <c r="AH34" i="26"/>
  <c r="AI34" i="26"/>
  <c r="AJ34" i="26"/>
  <c r="AK34" i="26"/>
  <c r="AL34" i="26"/>
  <c r="AM34" i="26"/>
  <c r="AN34" i="26"/>
  <c r="AO34" i="26"/>
  <c r="AP34" i="26"/>
  <c r="AQ34" i="26"/>
  <c r="AR34" i="26"/>
  <c r="AS34" i="26"/>
  <c r="AT34" i="26"/>
  <c r="AU34" i="26"/>
  <c r="AV34" i="26"/>
  <c r="AW34" i="26"/>
  <c r="AX34" i="26"/>
  <c r="AY34" i="26"/>
  <c r="AZ34" i="26"/>
  <c r="BA34" i="26"/>
  <c r="BB34" i="26"/>
  <c r="BC34" i="26"/>
  <c r="BD34" i="26"/>
  <c r="BE34" i="26"/>
  <c r="BF34" i="26"/>
  <c r="BG34" i="26"/>
  <c r="BH34" i="26"/>
  <c r="BI34" i="26"/>
  <c r="BJ34" i="26"/>
  <c r="BK34" i="26"/>
  <c r="BL34" i="26"/>
  <c r="BM34" i="26"/>
  <c r="BN34" i="26"/>
  <c r="BO34" i="26"/>
  <c r="BP34" i="26"/>
  <c r="AA21" i="26"/>
  <c r="BR41" i="26"/>
  <c r="BS40" i="26"/>
  <c r="BT40" i="26"/>
  <c r="BR30" i="26"/>
  <c r="BT29" i="26"/>
  <c r="BT30" i="26"/>
  <c r="BR31" i="26"/>
  <c r="BS29" i="26"/>
  <c r="BS31" i="26"/>
  <c r="BT41" i="26"/>
  <c r="BU40" i="26"/>
  <c r="BU29" i="26"/>
  <c r="BU30" i="26"/>
  <c r="BR32" i="26"/>
  <c r="BS32" i="26"/>
  <c r="BU41" i="26"/>
  <c r="BV40" i="26"/>
  <c r="BV29" i="26"/>
  <c r="BV30" i="26"/>
  <c r="BR33" i="26"/>
  <c r="BS33" i="26"/>
  <c r="BV41" i="26"/>
  <c r="BW30" i="26"/>
  <c r="BS34" i="26"/>
  <c r="BW41" i="26"/>
  <c r="BX30" i="26"/>
  <c r="BS35" i="26"/>
  <c r="BX41" i="26"/>
  <c r="BY30" i="26"/>
  <c r="BS36" i="26"/>
  <c r="BY41" i="26"/>
  <c r="BZ30" i="26"/>
  <c r="BS37" i="26"/>
  <c r="BZ41" i="26"/>
  <c r="CA30" i="26"/>
  <c r="BS38" i="26"/>
  <c r="CA41" i="26"/>
  <c r="BR42" i="26"/>
  <c r="BS42" i="26"/>
  <c r="BU31" i="26"/>
  <c r="BT32" i="26"/>
  <c r="BU42" i="26"/>
  <c r="BV31" i="26"/>
  <c r="BT33" i="26"/>
  <c r="BV42" i="26"/>
  <c r="BW31" i="26"/>
  <c r="BT34" i="26"/>
  <c r="BW42" i="26"/>
  <c r="BX31" i="26"/>
  <c r="BT35" i="26"/>
  <c r="BX42" i="26"/>
  <c r="BY31" i="26"/>
  <c r="BT36" i="26"/>
  <c r="BY42" i="26"/>
  <c r="BZ31" i="26"/>
  <c r="BT37" i="26"/>
  <c r="BZ42" i="26"/>
  <c r="CA31" i="26"/>
  <c r="BT38" i="26"/>
  <c r="CA42" i="26"/>
  <c r="BR43" i="26"/>
  <c r="BS43" i="26"/>
  <c r="BT43" i="26"/>
  <c r="BV32" i="26"/>
  <c r="BU33" i="26"/>
  <c r="BV43" i="26"/>
  <c r="BW32" i="26"/>
  <c r="BU34" i="26"/>
  <c r="BW43" i="26"/>
  <c r="BX32" i="26"/>
  <c r="BU35" i="26"/>
  <c r="BX43" i="26"/>
  <c r="BY32" i="26"/>
  <c r="BU36" i="26"/>
  <c r="BY43" i="26"/>
  <c r="BZ32" i="26"/>
  <c r="BU37" i="26"/>
  <c r="BZ43" i="26"/>
  <c r="CA32" i="26"/>
  <c r="BU38" i="26"/>
  <c r="CA43" i="26"/>
  <c r="BR44" i="26"/>
  <c r="BS44" i="26"/>
  <c r="BT44" i="26"/>
  <c r="BU44" i="26"/>
  <c r="BW33" i="26"/>
  <c r="BV34" i="26"/>
  <c r="BW44" i="26"/>
  <c r="BX33" i="26"/>
  <c r="BV35" i="26"/>
  <c r="BX44" i="26"/>
  <c r="BY33" i="26"/>
  <c r="BV36" i="26"/>
  <c r="BY44" i="26"/>
  <c r="BZ33" i="26"/>
  <c r="BV37" i="26"/>
  <c r="BZ44" i="26"/>
  <c r="CA33" i="26"/>
  <c r="BV38" i="26"/>
  <c r="CA44" i="26"/>
  <c r="BS45" i="26"/>
  <c r="BT45" i="26"/>
  <c r="BU45" i="26"/>
  <c r="BV45" i="26"/>
  <c r="BX34" i="26"/>
  <c r="BW35" i="26"/>
  <c r="BX45" i="26"/>
  <c r="BY34" i="26"/>
  <c r="BW36" i="26"/>
  <c r="BY45" i="26"/>
  <c r="BZ34" i="26"/>
  <c r="BW37" i="26"/>
  <c r="BZ45" i="26"/>
  <c r="CA34" i="26"/>
  <c r="BW38" i="26"/>
  <c r="CA45" i="26"/>
  <c r="BS46" i="26"/>
  <c r="BT46" i="26"/>
  <c r="BU46" i="26"/>
  <c r="BV46" i="26"/>
  <c r="BW46" i="26"/>
  <c r="BY35" i="26"/>
  <c r="BX36" i="26"/>
  <c r="BY46" i="26"/>
  <c r="BZ35" i="26"/>
  <c r="BX37" i="26"/>
  <c r="BZ46" i="26"/>
  <c r="CA35" i="26"/>
  <c r="BX38" i="26"/>
  <c r="CA46" i="26"/>
  <c r="BS47" i="26"/>
  <c r="BT47" i="26"/>
  <c r="BU47" i="26"/>
  <c r="BV47" i="26"/>
  <c r="BW47" i="26"/>
  <c r="BX47" i="26"/>
  <c r="BZ36" i="26"/>
  <c r="BY37" i="26"/>
  <c r="BZ47" i="26"/>
  <c r="CA36" i="26"/>
  <c r="BY38" i="26"/>
  <c r="CA47" i="26"/>
  <c r="BS48" i="26"/>
  <c r="BT48" i="26"/>
  <c r="BU48" i="26"/>
  <c r="BV48" i="26"/>
  <c r="BW48" i="26"/>
  <c r="BX48" i="26"/>
  <c r="BY48" i="26"/>
  <c r="CA37" i="26"/>
  <c r="BZ38" i="26"/>
  <c r="CA48" i="26"/>
  <c r="BS49" i="26"/>
  <c r="BT49" i="26"/>
  <c r="BU49" i="26"/>
  <c r="BV49" i="26"/>
  <c r="BW49" i="26"/>
  <c r="BX49" i="26"/>
  <c r="BY49" i="26"/>
  <c r="BZ49" i="26"/>
  <c r="E45" i="26" a="1"/>
  <c r="E45" i="26"/>
  <c r="F45" i="26" a="1"/>
  <c r="F45" i="26"/>
  <c r="G45" i="26" a="1"/>
  <c r="H45" i="26" a="1"/>
  <c r="I45" i="26" a="1"/>
  <c r="J45" i="26" a="1"/>
  <c r="K45" i="26" a="1"/>
  <c r="L45" i="26" a="1"/>
  <c r="M45" i="26" a="1"/>
  <c r="N45" i="26" a="1"/>
  <c r="O45" i="26" a="1"/>
  <c r="P45" i="26" a="1"/>
  <c r="Q45" i="26" a="1"/>
  <c r="R45" i="26" a="1"/>
  <c r="S45" i="26" a="1"/>
  <c r="T45" i="26" a="1"/>
  <c r="U45" i="26" a="1"/>
  <c r="V45" i="26" a="1"/>
  <c r="W45" i="26" a="1"/>
  <c r="X45" i="26" a="1"/>
  <c r="Y45" i="26" a="1"/>
  <c r="Z45" i="26" a="1"/>
  <c r="AA45" i="26" a="1"/>
  <c r="AB45" i="26" a="1"/>
  <c r="AC45" i="26" a="1"/>
  <c r="AD45" i="26" a="1"/>
  <c r="AE45" i="26" a="1"/>
  <c r="AF45" i="26" a="1"/>
  <c r="AG45" i="26" a="1"/>
  <c r="AH45" i="26" a="1"/>
  <c r="AI45" i="26" a="1"/>
  <c r="AJ45" i="26" a="1"/>
  <c r="AK45" i="26" a="1"/>
  <c r="AL45" i="26" a="1"/>
  <c r="AM45" i="26" a="1"/>
  <c r="AN45" i="26" a="1"/>
  <c r="AO45" i="26" a="1"/>
  <c r="AP45" i="26" a="1"/>
  <c r="AQ45" i="26" a="1"/>
  <c r="AR45" i="26" a="1"/>
  <c r="AS45" i="26" a="1"/>
  <c r="AT45" i="26" a="1"/>
  <c r="AU45" i="26" a="1"/>
  <c r="AV45" i="26" a="1"/>
  <c r="AW45" i="26" a="1"/>
  <c r="AX45" i="26" a="1"/>
  <c r="AY45" i="26" a="1"/>
  <c r="AZ45" i="26" a="1"/>
  <c r="BA45" i="26" a="1"/>
  <c r="BB45" i="26" a="1"/>
  <c r="BC45" i="26" a="1"/>
  <c r="BD45" i="26" a="1"/>
  <c r="BE45" i="26" a="1"/>
  <c r="BF45" i="26" a="1"/>
  <c r="BG45" i="26" a="1"/>
  <c r="BH45" i="26" a="1"/>
  <c r="BI45" i="26" a="1"/>
  <c r="BJ45" i="26" a="1"/>
  <c r="BK45" i="26" a="1"/>
  <c r="BL45" i="26" a="1"/>
  <c r="BM45" i="26" a="1"/>
  <c r="BN45" i="26" a="1"/>
  <c r="BO45" i="26" a="1"/>
  <c r="BP45" i="26" a="1"/>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AX45" i="26"/>
  <c r="AY45" i="26"/>
  <c r="AZ45" i="26"/>
  <c r="BA45" i="26"/>
  <c r="BB45" i="26"/>
  <c r="BC45" i="26"/>
  <c r="BD45" i="26"/>
  <c r="BE45" i="26"/>
  <c r="BF45" i="26"/>
  <c r="BG45" i="26"/>
  <c r="BH45" i="26"/>
  <c r="BI45" i="26"/>
  <c r="BJ45" i="26"/>
  <c r="BK45" i="26"/>
  <c r="BL45" i="26"/>
  <c r="BM45" i="26"/>
  <c r="BN45" i="26"/>
  <c r="BO45" i="26"/>
  <c r="BP45" i="26"/>
  <c r="AB21" i="26"/>
  <c r="E56" i="26" a="1"/>
  <c r="E56" i="26"/>
  <c r="F56" i="26" a="1"/>
  <c r="F56" i="26"/>
  <c r="G56" i="26" a="1"/>
  <c r="H56" i="26" a="1"/>
  <c r="I56" i="26" a="1"/>
  <c r="J56" i="26" a="1"/>
  <c r="K56" i="26" a="1"/>
  <c r="L56" i="26" a="1"/>
  <c r="M56" i="26" a="1"/>
  <c r="N56" i="26" a="1"/>
  <c r="O56" i="26" a="1"/>
  <c r="P56" i="26" a="1"/>
  <c r="Q56" i="26" a="1"/>
  <c r="R56" i="26" a="1"/>
  <c r="S56" i="26" a="1"/>
  <c r="T56" i="26" a="1"/>
  <c r="U56" i="26" a="1"/>
  <c r="V56" i="26" a="1"/>
  <c r="W56" i="26" a="1"/>
  <c r="X56" i="26" a="1"/>
  <c r="Y56" i="26" a="1"/>
  <c r="Z56" i="26" a="1"/>
  <c r="AA56" i="26" a="1"/>
  <c r="AB56" i="26" a="1"/>
  <c r="AC56" i="26" a="1"/>
  <c r="AD56" i="26" a="1"/>
  <c r="AE56" i="26" a="1"/>
  <c r="AF56" i="26" a="1"/>
  <c r="AG56" i="26" a="1"/>
  <c r="AH56" i="26" a="1"/>
  <c r="AI56" i="26" a="1"/>
  <c r="AJ56" i="26" a="1"/>
  <c r="AK56" i="26" a="1"/>
  <c r="AL56" i="26" a="1"/>
  <c r="AM56" i="26" a="1"/>
  <c r="AN56" i="26" a="1"/>
  <c r="AO56" i="26" a="1"/>
  <c r="AP56" i="26" a="1"/>
  <c r="AQ56" i="26" a="1"/>
  <c r="AR56" i="26" a="1"/>
  <c r="AS56" i="26" a="1"/>
  <c r="AT56" i="26" a="1"/>
  <c r="AU56" i="26" a="1"/>
  <c r="AV56" i="26" a="1"/>
  <c r="AW56" i="26" a="1"/>
  <c r="AX56" i="26" a="1"/>
  <c r="AY56" i="26" a="1"/>
  <c r="AZ56" i="26" a="1"/>
  <c r="BA56" i="26" a="1"/>
  <c r="BB56" i="26" a="1"/>
  <c r="BC56" i="26" a="1"/>
  <c r="BD56" i="26" a="1"/>
  <c r="BE56" i="26" a="1"/>
  <c r="BF56" i="26" a="1"/>
  <c r="BG56" i="26" a="1"/>
  <c r="BH56" i="26" a="1"/>
  <c r="BI56" i="26" a="1"/>
  <c r="BJ56" i="26" a="1"/>
  <c r="BK56" i="26" a="1"/>
  <c r="BL56" i="26" a="1"/>
  <c r="BM56" i="26" a="1"/>
  <c r="BN56" i="26" a="1"/>
  <c r="BO56" i="26" a="1"/>
  <c r="BP56" i="26" a="1"/>
  <c r="G56" i="26"/>
  <c r="H56" i="26"/>
  <c r="I56" i="26"/>
  <c r="J56" i="26"/>
  <c r="K56" i="26"/>
  <c r="L56" i="26"/>
  <c r="M56" i="26"/>
  <c r="N56" i="26"/>
  <c r="O56" i="26"/>
  <c r="P56" i="26"/>
  <c r="Q56" i="26"/>
  <c r="R56" i="26"/>
  <c r="S56" i="26"/>
  <c r="T56" i="26"/>
  <c r="U56" i="26"/>
  <c r="V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AT56" i="26"/>
  <c r="AU56" i="26"/>
  <c r="AV56" i="26"/>
  <c r="AW56" i="26"/>
  <c r="AX56" i="26"/>
  <c r="AY56" i="26"/>
  <c r="AZ56" i="26"/>
  <c r="BA56" i="26"/>
  <c r="BB56" i="26"/>
  <c r="BC56" i="26"/>
  <c r="BD56" i="26"/>
  <c r="BE56" i="26"/>
  <c r="BF56" i="26"/>
  <c r="BG56" i="26"/>
  <c r="BH56" i="26"/>
  <c r="BI56" i="26"/>
  <c r="BJ56" i="26"/>
  <c r="BK56" i="26"/>
  <c r="BL56" i="26"/>
  <c r="BM56" i="26"/>
  <c r="BN56" i="26"/>
  <c r="BO56" i="26"/>
  <c r="BP56" i="26"/>
  <c r="AC21" i="26"/>
  <c r="W21" i="26"/>
  <c r="E35" i="26" a="1"/>
  <c r="E35" i="26"/>
  <c r="F35" i="26" a="1"/>
  <c r="F35" i="26"/>
  <c r="G35" i="26" a="1"/>
  <c r="H35" i="26" a="1"/>
  <c r="I35" i="26" a="1"/>
  <c r="J35" i="26" a="1"/>
  <c r="K35" i="26" a="1"/>
  <c r="L35" i="26" a="1"/>
  <c r="M35" i="26" a="1"/>
  <c r="N35" i="26" a="1"/>
  <c r="O35" i="26" a="1"/>
  <c r="P35" i="26" a="1"/>
  <c r="Q35" i="26" a="1"/>
  <c r="R35" i="26" a="1"/>
  <c r="S35" i="26" a="1"/>
  <c r="T35" i="26" a="1"/>
  <c r="U35" i="26" a="1"/>
  <c r="V35" i="26" a="1"/>
  <c r="W35" i="26" a="1"/>
  <c r="X35" i="26" a="1"/>
  <c r="Y35" i="26" a="1"/>
  <c r="Z35" i="26" a="1"/>
  <c r="AA35" i="26" a="1"/>
  <c r="AB35" i="26" a="1"/>
  <c r="AC35" i="26" a="1"/>
  <c r="AD35" i="26" a="1"/>
  <c r="AE35" i="26" a="1"/>
  <c r="AF35" i="26" a="1"/>
  <c r="AG35" i="26" a="1"/>
  <c r="AH35" i="26" a="1"/>
  <c r="AI35" i="26" a="1"/>
  <c r="AJ35" i="26" a="1"/>
  <c r="AK35" i="26" a="1"/>
  <c r="AL35" i="26" a="1"/>
  <c r="AM35" i="26" a="1"/>
  <c r="AN35" i="26" a="1"/>
  <c r="AO35" i="26" a="1"/>
  <c r="AP35" i="26" a="1"/>
  <c r="AQ35" i="26" a="1"/>
  <c r="AR35" i="26" a="1"/>
  <c r="AS35" i="26" a="1"/>
  <c r="AT35" i="26" a="1"/>
  <c r="AU35" i="26" a="1"/>
  <c r="AV35" i="26" a="1"/>
  <c r="AW35" i="26" a="1"/>
  <c r="AX35" i="26" a="1"/>
  <c r="AY35" i="26" a="1"/>
  <c r="AZ35" i="26" a="1"/>
  <c r="BA35" i="26" a="1"/>
  <c r="BB35" i="26" a="1"/>
  <c r="BC35" i="26" a="1"/>
  <c r="BD35" i="26" a="1"/>
  <c r="BE35" i="26" a="1"/>
  <c r="BF35" i="26" a="1"/>
  <c r="BG35" i="26" a="1"/>
  <c r="BH35" i="26" a="1"/>
  <c r="BI35" i="26" a="1"/>
  <c r="BJ35" i="26" a="1"/>
  <c r="BK35" i="26" a="1"/>
  <c r="BL35" i="26" a="1"/>
  <c r="BM35" i="26" a="1"/>
  <c r="BN35" i="26" a="1"/>
  <c r="BO35" i="26" a="1"/>
  <c r="BP35" i="26" a="1"/>
  <c r="G35" i="26"/>
  <c r="H35" i="26"/>
  <c r="I35" i="26"/>
  <c r="J35" i="26"/>
  <c r="K35" i="26"/>
  <c r="L35" i="26"/>
  <c r="M35" i="26"/>
  <c r="N35" i="26"/>
  <c r="O35" i="26"/>
  <c r="P35" i="26"/>
  <c r="Q35" i="26"/>
  <c r="R35"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AX35" i="26"/>
  <c r="AY35" i="26"/>
  <c r="AZ35" i="26"/>
  <c r="BA35" i="26"/>
  <c r="BB35" i="26"/>
  <c r="BC35" i="26"/>
  <c r="BD35" i="26"/>
  <c r="BE35" i="26"/>
  <c r="BF35" i="26"/>
  <c r="BG35" i="26"/>
  <c r="BH35" i="26"/>
  <c r="BI35" i="26"/>
  <c r="BJ35" i="26"/>
  <c r="BK35" i="26"/>
  <c r="BL35" i="26"/>
  <c r="BM35" i="26"/>
  <c r="BN35" i="26"/>
  <c r="BO35" i="26"/>
  <c r="BP35" i="26"/>
  <c r="AA22" i="26"/>
  <c r="E46" i="26" a="1"/>
  <c r="E46" i="26"/>
  <c r="F46" i="26" a="1"/>
  <c r="F46" i="26"/>
  <c r="G46" i="26" a="1"/>
  <c r="H46" i="26" a="1"/>
  <c r="I46" i="26" a="1"/>
  <c r="J46" i="26" a="1"/>
  <c r="K46" i="26" a="1"/>
  <c r="L46" i="26" a="1"/>
  <c r="M46" i="26" a="1"/>
  <c r="N46" i="26" a="1"/>
  <c r="O46" i="26" a="1"/>
  <c r="P46" i="26" a="1"/>
  <c r="Q46" i="26" a="1"/>
  <c r="R46" i="26" a="1"/>
  <c r="S46" i="26" a="1"/>
  <c r="T46" i="26" a="1"/>
  <c r="U46" i="26" a="1"/>
  <c r="V46" i="26" a="1"/>
  <c r="W46" i="26" a="1"/>
  <c r="X46" i="26" a="1"/>
  <c r="Y46" i="26" a="1"/>
  <c r="Z46" i="26" a="1"/>
  <c r="AA46" i="26" a="1"/>
  <c r="AB46" i="26" a="1"/>
  <c r="AC46" i="26" a="1"/>
  <c r="AD46" i="26" a="1"/>
  <c r="AE46" i="26" a="1"/>
  <c r="AF46" i="26" a="1"/>
  <c r="AG46" i="26" a="1"/>
  <c r="AH46" i="26" a="1"/>
  <c r="AI46" i="26" a="1"/>
  <c r="AJ46" i="26" a="1"/>
  <c r="AK46" i="26" a="1"/>
  <c r="AL46" i="26" a="1"/>
  <c r="AM46" i="26" a="1"/>
  <c r="AN46" i="26" a="1"/>
  <c r="AO46" i="26" a="1"/>
  <c r="AP46" i="26" a="1"/>
  <c r="AQ46" i="26" a="1"/>
  <c r="AR46" i="26" a="1"/>
  <c r="AS46" i="26" a="1"/>
  <c r="AT46" i="26" a="1"/>
  <c r="AU46" i="26" a="1"/>
  <c r="AV46" i="26" a="1"/>
  <c r="AW46" i="26" a="1"/>
  <c r="AX46" i="26" a="1"/>
  <c r="AY46" i="26" a="1"/>
  <c r="AZ46" i="26" a="1"/>
  <c r="BA46" i="26" a="1"/>
  <c r="BB46" i="26" a="1"/>
  <c r="BC46" i="26" a="1"/>
  <c r="BD46" i="26" a="1"/>
  <c r="BE46" i="26" a="1"/>
  <c r="BF46" i="26" a="1"/>
  <c r="BG46" i="26" a="1"/>
  <c r="BH46" i="26" a="1"/>
  <c r="BI46" i="26" a="1"/>
  <c r="BJ46" i="26" a="1"/>
  <c r="BK46" i="26" a="1"/>
  <c r="BL46" i="26" a="1"/>
  <c r="BM46" i="26" a="1"/>
  <c r="BN46" i="26" a="1"/>
  <c r="BO46" i="26" a="1"/>
  <c r="BP46" i="26" a="1"/>
  <c r="G46" i="26"/>
  <c r="H46" i="26"/>
  <c r="I46" i="26"/>
  <c r="J46" i="26"/>
  <c r="K46" i="26"/>
  <c r="L46" i="26"/>
  <c r="M46" i="26"/>
  <c r="N46" i="26"/>
  <c r="O46" i="26"/>
  <c r="P46" i="26"/>
  <c r="Q46" i="26"/>
  <c r="R46" i="26"/>
  <c r="S46" i="26"/>
  <c r="T46" i="26"/>
  <c r="U46" i="26"/>
  <c r="V46" i="26"/>
  <c r="W46" i="26"/>
  <c r="X46" i="26"/>
  <c r="Y46" i="26"/>
  <c r="Z46" i="26"/>
  <c r="AA46" i="26"/>
  <c r="AB46" i="26"/>
  <c r="AC46" i="26"/>
  <c r="AD46" i="26"/>
  <c r="AE46" i="26"/>
  <c r="AF46" i="26"/>
  <c r="AG46" i="26"/>
  <c r="AH46" i="26"/>
  <c r="AI46" i="26"/>
  <c r="AJ46" i="26"/>
  <c r="AK46" i="26"/>
  <c r="AL46" i="26"/>
  <c r="AM46" i="26"/>
  <c r="AN46" i="26"/>
  <c r="AO46" i="26"/>
  <c r="AP46" i="26"/>
  <c r="AQ46" i="26"/>
  <c r="AR46" i="26"/>
  <c r="AS46" i="26"/>
  <c r="AT46" i="26"/>
  <c r="AU46" i="26"/>
  <c r="AV46" i="26"/>
  <c r="AW46" i="26"/>
  <c r="AX46" i="26"/>
  <c r="AY46" i="26"/>
  <c r="AZ46" i="26"/>
  <c r="BA46" i="26"/>
  <c r="BB46" i="26"/>
  <c r="BC46" i="26"/>
  <c r="BD46" i="26"/>
  <c r="BE46" i="26"/>
  <c r="BF46" i="26"/>
  <c r="BG46" i="26"/>
  <c r="BH46" i="26"/>
  <c r="BI46" i="26"/>
  <c r="BJ46" i="26"/>
  <c r="BK46" i="26"/>
  <c r="BL46" i="26"/>
  <c r="BM46" i="26"/>
  <c r="BN46" i="26"/>
  <c r="BO46" i="26"/>
  <c r="BP46" i="26"/>
  <c r="AB22" i="26"/>
  <c r="E57" i="26" a="1"/>
  <c r="E57" i="26"/>
  <c r="F57" i="26" a="1"/>
  <c r="F57" i="26"/>
  <c r="G57" i="26" a="1"/>
  <c r="H57" i="26" a="1"/>
  <c r="I57" i="26" a="1"/>
  <c r="J57" i="26" a="1"/>
  <c r="K57" i="26" a="1"/>
  <c r="L57" i="26" a="1"/>
  <c r="M57" i="26" a="1"/>
  <c r="N57" i="26" a="1"/>
  <c r="O57" i="26" a="1"/>
  <c r="P57" i="26" a="1"/>
  <c r="Q57" i="26" a="1"/>
  <c r="R57" i="26" a="1"/>
  <c r="S57" i="26" a="1"/>
  <c r="T57" i="26" a="1"/>
  <c r="U57" i="26" a="1"/>
  <c r="V57" i="26" a="1"/>
  <c r="W57" i="26" a="1"/>
  <c r="X57" i="26" a="1"/>
  <c r="Y57" i="26" a="1"/>
  <c r="Z57" i="26" a="1"/>
  <c r="AA57" i="26" a="1"/>
  <c r="AB57" i="26" a="1"/>
  <c r="AC57" i="26" a="1"/>
  <c r="AD57" i="26" a="1"/>
  <c r="AE57" i="26" a="1"/>
  <c r="AF57" i="26" a="1"/>
  <c r="AG57" i="26" a="1"/>
  <c r="AH57" i="26" a="1"/>
  <c r="AI57" i="26" a="1"/>
  <c r="AJ57" i="26" a="1"/>
  <c r="AK57" i="26" a="1"/>
  <c r="AL57" i="26" a="1"/>
  <c r="AM57" i="26" a="1"/>
  <c r="AN57" i="26" a="1"/>
  <c r="AO57" i="26" a="1"/>
  <c r="AP57" i="26" a="1"/>
  <c r="AQ57" i="26" a="1"/>
  <c r="AR57" i="26" a="1"/>
  <c r="AS57" i="26" a="1"/>
  <c r="AT57" i="26" a="1"/>
  <c r="AU57" i="26" a="1"/>
  <c r="AV57" i="26" a="1"/>
  <c r="AW57" i="26" a="1"/>
  <c r="AX57" i="26" a="1"/>
  <c r="AY57" i="26" a="1"/>
  <c r="AZ57" i="26" a="1"/>
  <c r="BA57" i="26" a="1"/>
  <c r="BB57" i="26" a="1"/>
  <c r="BC57" i="26" a="1"/>
  <c r="BD57" i="26" a="1"/>
  <c r="BE57" i="26" a="1"/>
  <c r="BF57" i="26" a="1"/>
  <c r="BG57" i="26" a="1"/>
  <c r="BH57" i="26" a="1"/>
  <c r="BI57" i="26" a="1"/>
  <c r="BJ57" i="26" a="1"/>
  <c r="BK57" i="26" a="1"/>
  <c r="BL57" i="26" a="1"/>
  <c r="BM57" i="26" a="1"/>
  <c r="BN57" i="26" a="1"/>
  <c r="BO57" i="26" a="1"/>
  <c r="BP57" i="26" a="1"/>
  <c r="G57" i="26"/>
  <c r="H57" i="26"/>
  <c r="I57" i="26"/>
  <c r="J57" i="26"/>
  <c r="K57" i="26"/>
  <c r="L57" i="26"/>
  <c r="M57" i="26"/>
  <c r="N57" i="26"/>
  <c r="O57" i="26"/>
  <c r="P57" i="26"/>
  <c r="Q57" i="26"/>
  <c r="R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AX57" i="26"/>
  <c r="AY57" i="26"/>
  <c r="AZ57" i="26"/>
  <c r="BA57" i="26"/>
  <c r="BB57" i="26"/>
  <c r="BC57" i="26"/>
  <c r="BD57" i="26"/>
  <c r="BE57" i="26"/>
  <c r="BF57" i="26"/>
  <c r="BG57" i="26"/>
  <c r="BH57" i="26"/>
  <c r="BI57" i="26"/>
  <c r="BJ57" i="26"/>
  <c r="BK57" i="26"/>
  <c r="BL57" i="26"/>
  <c r="BM57" i="26"/>
  <c r="BN57" i="26"/>
  <c r="BO57" i="26"/>
  <c r="BP57" i="26"/>
  <c r="AC22" i="26"/>
  <c r="W22" i="26"/>
  <c r="X17" i="26"/>
  <c r="X18" i="26"/>
  <c r="X19" i="26"/>
  <c r="X20" i="26"/>
  <c r="X21" i="26"/>
  <c r="X22" i="26"/>
  <c r="X23" i="26"/>
  <c r="X24" i="26"/>
  <c r="X25" i="26"/>
  <c r="E4" i="26"/>
  <c r="E5" i="26"/>
  <c r="E6" i="26"/>
  <c r="E7" i="26"/>
  <c r="E8" i="26"/>
  <c r="E9" i="26"/>
  <c r="E10" i="26"/>
  <c r="E11" i="26"/>
  <c r="E12" i="26"/>
  <c r="Q4" i="26"/>
  <c r="P4" i="26"/>
  <c r="O4" i="26"/>
  <c r="Q64" i="27"/>
  <c r="F4" i="27"/>
  <c r="V64" i="27"/>
  <c r="V65" i="27"/>
  <c r="V66" i="27"/>
  <c r="V67" i="27"/>
  <c r="V68" i="27"/>
  <c r="V69" i="27"/>
  <c r="V70" i="27"/>
  <c r="V71" i="27"/>
  <c r="V72" i="27"/>
  <c r="V73" i="27"/>
  <c r="V74" i="27"/>
  <c r="V75" i="27"/>
  <c r="V76" i="27"/>
  <c r="V77" i="27"/>
  <c r="V78" i="27"/>
  <c r="V79" i="27"/>
  <c r="V80" i="27"/>
  <c r="V81" i="27"/>
  <c r="V82" i="27"/>
  <c r="V83" i="27"/>
  <c r="V84" i="27"/>
  <c r="V85" i="27"/>
  <c r="V86" i="27"/>
  <c r="V87" i="27"/>
  <c r="V88" i="27"/>
  <c r="V89" i="27"/>
  <c r="V90" i="27"/>
  <c r="V91" i="27"/>
  <c r="V92" i="27"/>
  <c r="V93" i="27"/>
  <c r="V94" i="27"/>
  <c r="V95" i="27"/>
  <c r="V96" i="27"/>
  <c r="V97" i="27"/>
  <c r="V98" i="27"/>
  <c r="V99" i="27"/>
  <c r="W64" i="27"/>
  <c r="X64" i="27"/>
  <c r="Y64" i="27"/>
  <c r="AA64" i="27"/>
  <c r="AE64" i="27"/>
  <c r="W65" i="27"/>
  <c r="X65" i="27"/>
  <c r="Y65" i="27"/>
  <c r="AA65" i="27"/>
  <c r="AE65" i="27"/>
  <c r="W66" i="27"/>
  <c r="X66" i="27"/>
  <c r="Y66" i="27"/>
  <c r="AA66" i="27"/>
  <c r="AE66" i="27"/>
  <c r="W67" i="27"/>
  <c r="X67" i="27"/>
  <c r="Y67" i="27"/>
  <c r="AA67" i="27"/>
  <c r="AE67" i="27"/>
  <c r="W68" i="27"/>
  <c r="X68" i="27"/>
  <c r="Y68" i="27"/>
  <c r="AA68" i="27"/>
  <c r="AE68" i="27"/>
  <c r="W69" i="27"/>
  <c r="X69" i="27"/>
  <c r="Y69" i="27"/>
  <c r="AA69" i="27"/>
  <c r="AE69" i="27"/>
  <c r="W70" i="27"/>
  <c r="X70" i="27"/>
  <c r="Y70" i="27"/>
  <c r="AA70" i="27"/>
  <c r="AE70" i="27"/>
  <c r="W71" i="27"/>
  <c r="X71" i="27"/>
  <c r="Y71" i="27"/>
  <c r="AA71" i="27"/>
  <c r="AE71" i="27"/>
  <c r="W72" i="27"/>
  <c r="X72" i="27"/>
  <c r="Y72" i="27"/>
  <c r="AA72" i="27"/>
  <c r="AE72" i="27"/>
  <c r="W73" i="27"/>
  <c r="X73" i="27"/>
  <c r="Y73" i="27"/>
  <c r="AA73" i="27"/>
  <c r="AE73" i="27"/>
  <c r="W74" i="27"/>
  <c r="X74" i="27"/>
  <c r="Y74" i="27"/>
  <c r="AA74" i="27"/>
  <c r="AE74" i="27"/>
  <c r="W75" i="27"/>
  <c r="X75" i="27"/>
  <c r="Y75" i="27"/>
  <c r="AA75" i="27"/>
  <c r="AE75" i="27"/>
  <c r="W76" i="27"/>
  <c r="X76" i="27"/>
  <c r="Y76" i="27"/>
  <c r="AA76" i="27"/>
  <c r="AE76" i="27"/>
  <c r="W77" i="27"/>
  <c r="X77" i="27"/>
  <c r="Y77" i="27"/>
  <c r="AA77" i="27"/>
  <c r="AE77" i="27"/>
  <c r="W78" i="27"/>
  <c r="X78" i="27"/>
  <c r="Y78" i="27"/>
  <c r="AA78" i="27"/>
  <c r="AE78" i="27"/>
  <c r="W79" i="27"/>
  <c r="X79" i="27"/>
  <c r="Y79" i="27"/>
  <c r="AA79" i="27"/>
  <c r="AE79" i="27"/>
  <c r="W80" i="27"/>
  <c r="X80" i="27"/>
  <c r="Y80" i="27"/>
  <c r="AA80" i="27"/>
  <c r="AE80" i="27"/>
  <c r="W81" i="27"/>
  <c r="X81" i="27"/>
  <c r="Y81" i="27"/>
  <c r="AA81" i="27"/>
  <c r="AE81" i="27"/>
  <c r="W82" i="27"/>
  <c r="X82" i="27"/>
  <c r="Y82" i="27"/>
  <c r="AA82" i="27"/>
  <c r="AE82" i="27"/>
  <c r="W83" i="27"/>
  <c r="X83" i="27"/>
  <c r="Y83" i="27"/>
  <c r="AA83" i="27"/>
  <c r="AE83" i="27"/>
  <c r="W84" i="27"/>
  <c r="X84" i="27"/>
  <c r="Y84" i="27"/>
  <c r="AA84" i="27"/>
  <c r="AE84" i="27"/>
  <c r="W85" i="27"/>
  <c r="X85" i="27"/>
  <c r="Y85" i="27"/>
  <c r="AA85" i="27"/>
  <c r="AE85" i="27"/>
  <c r="W86" i="27"/>
  <c r="X86" i="27"/>
  <c r="Y86" i="27"/>
  <c r="AA86" i="27"/>
  <c r="AE86" i="27"/>
  <c r="W87" i="27"/>
  <c r="X87" i="27"/>
  <c r="Y87" i="27"/>
  <c r="AA87" i="27"/>
  <c r="AE87" i="27"/>
  <c r="W88" i="27"/>
  <c r="X88" i="27"/>
  <c r="Y88" i="27"/>
  <c r="AA88" i="27"/>
  <c r="AE88" i="27"/>
  <c r="W89" i="27"/>
  <c r="X89" i="27"/>
  <c r="Y89" i="27"/>
  <c r="AA89" i="27"/>
  <c r="AE89" i="27"/>
  <c r="W90" i="27"/>
  <c r="X90" i="27"/>
  <c r="Y90" i="27"/>
  <c r="AA90" i="27"/>
  <c r="AE90" i="27"/>
  <c r="W91" i="27"/>
  <c r="X91" i="27"/>
  <c r="Y91" i="27"/>
  <c r="AA91" i="27"/>
  <c r="AE91" i="27"/>
  <c r="W92" i="27"/>
  <c r="X92" i="27"/>
  <c r="Y92" i="27"/>
  <c r="AA92" i="27"/>
  <c r="AE92" i="27"/>
  <c r="W93" i="27"/>
  <c r="X93" i="27"/>
  <c r="Y93" i="27"/>
  <c r="AA93" i="27"/>
  <c r="AE93" i="27"/>
  <c r="W94" i="27"/>
  <c r="X94" i="27"/>
  <c r="Y94" i="27"/>
  <c r="AA94" i="27"/>
  <c r="AE94" i="27"/>
  <c r="W95" i="27"/>
  <c r="X95" i="27"/>
  <c r="Y95" i="27"/>
  <c r="AA95" i="27"/>
  <c r="AE95" i="27"/>
  <c r="W96" i="27"/>
  <c r="X96" i="27"/>
  <c r="Y96" i="27"/>
  <c r="AA96" i="27"/>
  <c r="AE96" i="27"/>
  <c r="W97" i="27"/>
  <c r="X97" i="27"/>
  <c r="Y97" i="27"/>
  <c r="AA97" i="27"/>
  <c r="AE97" i="27"/>
  <c r="W98" i="27"/>
  <c r="X98" i="27"/>
  <c r="Y98" i="27"/>
  <c r="AA98" i="27"/>
  <c r="AE98" i="27"/>
  <c r="W99" i="27"/>
  <c r="X99" i="27"/>
  <c r="Y99" i="27"/>
  <c r="AA99" i="27"/>
  <c r="AE99" i="27"/>
  <c r="AF64" i="27"/>
  <c r="AF65" i="27"/>
  <c r="AF66" i="27"/>
  <c r="AF67" i="27"/>
  <c r="AF68" i="27"/>
  <c r="AF69" i="27"/>
  <c r="AF70" i="27"/>
  <c r="AF71" i="27"/>
  <c r="AF72" i="27"/>
  <c r="AF73" i="27"/>
  <c r="AF74" i="27"/>
  <c r="AF75" i="27"/>
  <c r="AF76" i="27"/>
  <c r="AF77" i="27"/>
  <c r="AF78" i="27"/>
  <c r="AF79" i="27"/>
  <c r="AF80" i="27"/>
  <c r="AF81" i="27"/>
  <c r="AF82" i="27"/>
  <c r="AF83" i="27"/>
  <c r="AF84" i="27"/>
  <c r="AF85" i="27"/>
  <c r="AF86" i="27"/>
  <c r="AF87" i="27"/>
  <c r="AF88" i="27"/>
  <c r="AF89" i="27"/>
  <c r="AF90" i="27"/>
  <c r="AF91" i="27"/>
  <c r="AF92" i="27"/>
  <c r="AF93" i="27"/>
  <c r="AF94" i="27"/>
  <c r="AF95" i="27"/>
  <c r="AF96" i="27"/>
  <c r="AF97" i="27"/>
  <c r="AF98" i="27"/>
  <c r="AF99" i="27"/>
  <c r="J4" i="27"/>
  <c r="K17" i="27"/>
  <c r="G4" i="27"/>
  <c r="H4" i="27"/>
  <c r="I4" i="27"/>
  <c r="J17" i="27"/>
  <c r="H17" i="27"/>
  <c r="L17" i="27"/>
  <c r="Q65" i="27"/>
  <c r="F5" i="27"/>
  <c r="J5" i="27"/>
  <c r="K18" i="27"/>
  <c r="G5" i="27"/>
  <c r="H5" i="27"/>
  <c r="I5" i="27"/>
  <c r="J18" i="27"/>
  <c r="H18" i="27"/>
  <c r="L18" i="27"/>
  <c r="Q66" i="27"/>
  <c r="F6" i="27"/>
  <c r="J6" i="27"/>
  <c r="K19" i="27"/>
  <c r="G6" i="27"/>
  <c r="H6" i="27"/>
  <c r="I6" i="27"/>
  <c r="J19" i="27"/>
  <c r="H19" i="27"/>
  <c r="L19" i="27"/>
  <c r="Q67" i="27"/>
  <c r="F7" i="27"/>
  <c r="J7" i="27"/>
  <c r="K20" i="27"/>
  <c r="G7" i="27"/>
  <c r="H7" i="27"/>
  <c r="I7" i="27"/>
  <c r="J20" i="27"/>
  <c r="H20" i="27"/>
  <c r="L20" i="27"/>
  <c r="J8" i="27"/>
  <c r="K21" i="27"/>
  <c r="G8" i="27"/>
  <c r="H8" i="27"/>
  <c r="I8" i="27"/>
  <c r="J21" i="27"/>
  <c r="H21" i="27"/>
  <c r="L21" i="27"/>
  <c r="J9" i="27"/>
  <c r="K22" i="27"/>
  <c r="G9" i="27"/>
  <c r="H9" i="27"/>
  <c r="I9" i="27"/>
  <c r="J22" i="27"/>
  <c r="H22" i="27"/>
  <c r="L22" i="27"/>
  <c r="J10" i="27"/>
  <c r="K23" i="27"/>
  <c r="G10" i="27"/>
  <c r="H10" i="27"/>
  <c r="I10" i="27"/>
  <c r="J23" i="27"/>
  <c r="H23" i="27"/>
  <c r="L23" i="27"/>
  <c r="J11" i="27"/>
  <c r="K24" i="27"/>
  <c r="G11" i="27"/>
  <c r="H11" i="27"/>
  <c r="I11" i="27"/>
  <c r="J24" i="27"/>
  <c r="H24" i="27"/>
  <c r="L24" i="27"/>
  <c r="J12" i="27"/>
  <c r="K25" i="27"/>
  <c r="G12" i="27"/>
  <c r="H12" i="27"/>
  <c r="I12" i="27"/>
  <c r="J25" i="27"/>
  <c r="H25" i="27"/>
  <c r="L25" i="27"/>
  <c r="AI15" i="27"/>
  <c r="M17" i="27"/>
  <c r="N17" i="27" a="1"/>
  <c r="N17" i="27"/>
  <c r="O17" i="27"/>
  <c r="M18" i="27"/>
  <c r="N18" i="27" a="1"/>
  <c r="N18" i="27"/>
  <c r="O18" i="27"/>
  <c r="M19" i="27"/>
  <c r="N19" i="27" a="1"/>
  <c r="N19" i="27"/>
  <c r="O19" i="27"/>
  <c r="M20" i="27"/>
  <c r="N20" i="27" a="1"/>
  <c r="N20" i="27"/>
  <c r="O20" i="27"/>
  <c r="M21" i="27"/>
  <c r="N21" i="27" a="1"/>
  <c r="N21" i="27"/>
  <c r="O21" i="27"/>
  <c r="M22" i="27"/>
  <c r="N22" i="27" a="1"/>
  <c r="N22" i="27"/>
  <c r="O22" i="27"/>
  <c r="M23" i="27"/>
  <c r="N23" i="27" a="1"/>
  <c r="N23" i="27"/>
  <c r="O23" i="27"/>
  <c r="M24" i="27"/>
  <c r="N24" i="27" a="1"/>
  <c r="N24" i="27"/>
  <c r="O24" i="27"/>
  <c r="M25" i="27"/>
  <c r="N25" i="27" a="1"/>
  <c r="N25" i="27"/>
  <c r="O25" i="27"/>
  <c r="P17" i="27"/>
  <c r="P18" i="27"/>
  <c r="P19" i="27"/>
  <c r="P20" i="27"/>
  <c r="P21" i="27"/>
  <c r="P22" i="27"/>
  <c r="P23" i="27"/>
  <c r="P24" i="27"/>
  <c r="P25" i="27"/>
  <c r="Q17" i="27"/>
  <c r="Q18" i="27"/>
  <c r="Q19" i="27"/>
  <c r="Q20" i="27"/>
  <c r="Q21" i="27"/>
  <c r="Q22" i="27"/>
  <c r="Q23" i="27"/>
  <c r="Q24" i="27"/>
  <c r="Q25" i="27"/>
  <c r="R17" i="27"/>
  <c r="R18" i="27"/>
  <c r="R19" i="27"/>
  <c r="R20" i="27"/>
  <c r="R21" i="27"/>
  <c r="R22" i="27"/>
  <c r="R23" i="27"/>
  <c r="R24" i="27"/>
  <c r="R25" i="27"/>
  <c r="S17" i="27"/>
  <c r="S18" i="27"/>
  <c r="S19" i="27"/>
  <c r="S20" i="27"/>
  <c r="S21" i="27"/>
  <c r="S22" i="27"/>
  <c r="S23" i="27"/>
  <c r="S24" i="27"/>
  <c r="S25" i="27"/>
  <c r="T17" i="27"/>
  <c r="T18" i="27"/>
  <c r="T19" i="27"/>
  <c r="T20" i="27"/>
  <c r="T21" i="27"/>
  <c r="T22" i="27"/>
  <c r="T23" i="27"/>
  <c r="T24" i="27"/>
  <c r="T25" i="27"/>
  <c r="U17" i="27"/>
  <c r="U18" i="27"/>
  <c r="U19" i="27"/>
  <c r="U20" i="27"/>
  <c r="U21" i="27"/>
  <c r="U22" i="27"/>
  <c r="U23" i="27"/>
  <c r="U24" i="27"/>
  <c r="U25" i="27"/>
  <c r="V17" i="27"/>
  <c r="V18" i="27"/>
  <c r="V19" i="27"/>
  <c r="V20" i="27"/>
  <c r="V21" i="27"/>
  <c r="V22" i="27"/>
  <c r="V23" i="27"/>
  <c r="V24" i="27"/>
  <c r="V25" i="27"/>
  <c r="AL3" i="27"/>
  <c r="AL12" i="27"/>
  <c r="AN12" i="27"/>
  <c r="AL4" i="27"/>
  <c r="AN4" i="27"/>
  <c r="AL5" i="27"/>
  <c r="AN5" i="27"/>
  <c r="AL6" i="27"/>
  <c r="AN6" i="27"/>
  <c r="AL7" i="27"/>
  <c r="AN7" i="27"/>
  <c r="AL8" i="27"/>
  <c r="AN8" i="27"/>
  <c r="AL9" i="27"/>
  <c r="AN9" i="27"/>
  <c r="AL10" i="27"/>
  <c r="AN10" i="27"/>
  <c r="AL11" i="27"/>
  <c r="AN11" i="27"/>
  <c r="C17" i="27"/>
  <c r="E30" i="27" a="1"/>
  <c r="E30" i="27"/>
  <c r="F30" i="27" a="1"/>
  <c r="F30" i="27"/>
  <c r="G30" i="27" a="1"/>
  <c r="H30" i="27" a="1"/>
  <c r="I30" i="27" a="1"/>
  <c r="J30" i="27" a="1"/>
  <c r="K30" i="27" a="1"/>
  <c r="L30" i="27" a="1"/>
  <c r="M30" i="27" a="1"/>
  <c r="N30" i="27" a="1"/>
  <c r="O30" i="27" a="1"/>
  <c r="P30" i="27" a="1"/>
  <c r="Q30" i="27" a="1"/>
  <c r="R30" i="27" a="1"/>
  <c r="S30" i="27" a="1"/>
  <c r="T30" i="27" a="1"/>
  <c r="U30" i="27" a="1"/>
  <c r="V30" i="27" a="1"/>
  <c r="W30" i="27" a="1"/>
  <c r="X30" i="27" a="1"/>
  <c r="Y30" i="27" a="1"/>
  <c r="Z30" i="27" a="1"/>
  <c r="AA30" i="27" a="1"/>
  <c r="AB30" i="27" a="1"/>
  <c r="AC30" i="27" a="1"/>
  <c r="AD30" i="27" a="1"/>
  <c r="AE30" i="27" a="1"/>
  <c r="AF30" i="27" a="1"/>
  <c r="AG30" i="27" a="1"/>
  <c r="AH30" i="27" a="1"/>
  <c r="AI30" i="27" a="1"/>
  <c r="AJ30" i="27" a="1"/>
  <c r="AK30" i="27" a="1"/>
  <c r="AL30" i="27" a="1"/>
  <c r="AM30" i="27" a="1"/>
  <c r="AN30" i="27" a="1"/>
  <c r="AO30" i="27" a="1"/>
  <c r="AP30" i="27" a="1"/>
  <c r="AQ30" i="27" a="1"/>
  <c r="AR30" i="27" a="1"/>
  <c r="AS30" i="27" a="1"/>
  <c r="AT30" i="27" a="1"/>
  <c r="AU30" i="27" a="1"/>
  <c r="AV30" i="27" a="1"/>
  <c r="AW30" i="27" a="1"/>
  <c r="AX30" i="27" a="1"/>
  <c r="AY30" i="27" a="1"/>
  <c r="AZ30" i="27" a="1"/>
  <c r="BA30" i="27" a="1"/>
  <c r="BB30" i="27" a="1"/>
  <c r="BC30" i="27" a="1"/>
  <c r="BD30" i="27" a="1"/>
  <c r="BE30" i="27" a="1"/>
  <c r="BF30" i="27" a="1"/>
  <c r="BG30" i="27" a="1"/>
  <c r="BH30" i="27" a="1"/>
  <c r="BI30" i="27" a="1"/>
  <c r="BJ30" i="27" a="1"/>
  <c r="BK30" i="27" a="1"/>
  <c r="BL30" i="27" a="1"/>
  <c r="BM30" i="27" a="1"/>
  <c r="BN30" i="27" a="1"/>
  <c r="BO30" i="27" a="1"/>
  <c r="BP30" i="27" a="1"/>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N30" i="27"/>
  <c r="BO30" i="27"/>
  <c r="BP30" i="27"/>
  <c r="AA17" i="27"/>
  <c r="E41" i="27" a="1"/>
  <c r="E41" i="27"/>
  <c r="F41" i="27" a="1"/>
  <c r="F41" i="27"/>
  <c r="G41" i="27" a="1"/>
  <c r="H41" i="27" a="1"/>
  <c r="I41" i="27" a="1"/>
  <c r="J41" i="27" a="1"/>
  <c r="K41" i="27" a="1"/>
  <c r="L41" i="27" a="1"/>
  <c r="M41" i="27" a="1"/>
  <c r="N41" i="27" a="1"/>
  <c r="O41" i="27" a="1"/>
  <c r="P41" i="27" a="1"/>
  <c r="Q41" i="27" a="1"/>
  <c r="R41" i="27" a="1"/>
  <c r="S41" i="27" a="1"/>
  <c r="T41" i="27" a="1"/>
  <c r="U41" i="27" a="1"/>
  <c r="V41" i="27" a="1"/>
  <c r="W41" i="27" a="1"/>
  <c r="X41" i="27" a="1"/>
  <c r="Y41" i="27" a="1"/>
  <c r="Z41" i="27" a="1"/>
  <c r="AA41" i="27" a="1"/>
  <c r="AB41" i="27" a="1"/>
  <c r="AC41" i="27" a="1"/>
  <c r="AD41" i="27" a="1"/>
  <c r="AE41" i="27" a="1"/>
  <c r="AF41" i="27" a="1"/>
  <c r="AG41" i="27" a="1"/>
  <c r="AH41" i="27" a="1"/>
  <c r="AI41" i="27" a="1"/>
  <c r="AJ41" i="27" a="1"/>
  <c r="AK41" i="27" a="1"/>
  <c r="AL41" i="27" a="1"/>
  <c r="AM41" i="27" a="1"/>
  <c r="AN41" i="27" a="1"/>
  <c r="AO41" i="27" a="1"/>
  <c r="AP41" i="27" a="1"/>
  <c r="AQ41" i="27" a="1"/>
  <c r="AR41" i="27" a="1"/>
  <c r="AS41" i="27" a="1"/>
  <c r="AT41" i="27" a="1"/>
  <c r="AU41" i="27" a="1"/>
  <c r="AV41" i="27" a="1"/>
  <c r="AW41" i="27" a="1"/>
  <c r="AX41" i="27" a="1"/>
  <c r="AY41" i="27" a="1"/>
  <c r="AZ41" i="27" a="1"/>
  <c r="BA41" i="27" a="1"/>
  <c r="BB41" i="27" a="1"/>
  <c r="BC41" i="27" a="1"/>
  <c r="BD41" i="27" a="1"/>
  <c r="BE41" i="27" a="1"/>
  <c r="BF41" i="27" a="1"/>
  <c r="BG41" i="27" a="1"/>
  <c r="BH41" i="27" a="1"/>
  <c r="BI41" i="27" a="1"/>
  <c r="BJ41" i="27" a="1"/>
  <c r="BK41" i="27" a="1"/>
  <c r="BL41" i="27" a="1"/>
  <c r="BM41" i="27" a="1"/>
  <c r="BN41" i="27" a="1"/>
  <c r="BO41" i="27" a="1"/>
  <c r="BP41" i="27" a="1"/>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J41" i="27"/>
  <c r="BK41" i="27"/>
  <c r="BL41" i="27"/>
  <c r="BM41" i="27"/>
  <c r="BN41" i="27"/>
  <c r="BO41" i="27"/>
  <c r="BP41" i="27"/>
  <c r="AB17" i="27"/>
  <c r="E52" i="27" a="1"/>
  <c r="E52" i="27"/>
  <c r="F52" i="27" a="1"/>
  <c r="F52" i="27"/>
  <c r="G52" i="27" a="1"/>
  <c r="H52" i="27" a="1"/>
  <c r="I52" i="27" a="1"/>
  <c r="J52" i="27" a="1"/>
  <c r="K52" i="27" a="1"/>
  <c r="L52" i="27" a="1"/>
  <c r="M52" i="27" a="1"/>
  <c r="N52" i="27" a="1"/>
  <c r="O52" i="27" a="1"/>
  <c r="P52" i="27" a="1"/>
  <c r="Q52" i="27" a="1"/>
  <c r="R52" i="27" a="1"/>
  <c r="S52" i="27" a="1"/>
  <c r="T52" i="27" a="1"/>
  <c r="U52" i="27" a="1"/>
  <c r="V52" i="27" a="1"/>
  <c r="W52" i="27" a="1"/>
  <c r="X52" i="27" a="1"/>
  <c r="Y52" i="27" a="1"/>
  <c r="Z52" i="27" a="1"/>
  <c r="AA52" i="27" a="1"/>
  <c r="AB52" i="27" a="1"/>
  <c r="AC52" i="27" a="1"/>
  <c r="AD52" i="27" a="1"/>
  <c r="AE52" i="27" a="1"/>
  <c r="AF52" i="27" a="1"/>
  <c r="AG52" i="27" a="1"/>
  <c r="AH52" i="27" a="1"/>
  <c r="AI52" i="27" a="1"/>
  <c r="AJ52" i="27" a="1"/>
  <c r="AK52" i="27" a="1"/>
  <c r="AL52" i="27" a="1"/>
  <c r="AM52" i="27" a="1"/>
  <c r="AN52" i="27" a="1"/>
  <c r="AO52" i="27" a="1"/>
  <c r="AP52" i="27" a="1"/>
  <c r="AQ52" i="27" a="1"/>
  <c r="AR52" i="27" a="1"/>
  <c r="AS52" i="27" a="1"/>
  <c r="AT52" i="27" a="1"/>
  <c r="AU52" i="27" a="1"/>
  <c r="AV52" i="27" a="1"/>
  <c r="AW52" i="27" a="1"/>
  <c r="AX52" i="27" a="1"/>
  <c r="AY52" i="27" a="1"/>
  <c r="AZ52" i="27" a="1"/>
  <c r="BA52" i="27" a="1"/>
  <c r="BB52" i="27" a="1"/>
  <c r="BC52" i="27" a="1"/>
  <c r="BD52" i="27" a="1"/>
  <c r="BE52" i="27" a="1"/>
  <c r="BF52" i="27" a="1"/>
  <c r="BG52" i="27" a="1"/>
  <c r="BH52" i="27" a="1"/>
  <c r="BI52" i="27" a="1"/>
  <c r="BJ52" i="27" a="1"/>
  <c r="BK52" i="27" a="1"/>
  <c r="BL52" i="27" a="1"/>
  <c r="BM52" i="27" a="1"/>
  <c r="BN52" i="27" a="1"/>
  <c r="BO52" i="27" a="1"/>
  <c r="BP52" i="27" a="1"/>
  <c r="G52" i="27"/>
  <c r="H52" i="27"/>
  <c r="I52" i="27"/>
  <c r="J52" i="27"/>
  <c r="K52" i="27"/>
  <c r="L52" i="27"/>
  <c r="M52" i="27"/>
  <c r="N52" i="27"/>
  <c r="O52"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AN52" i="27"/>
  <c r="AO52" i="27"/>
  <c r="AP52" i="27"/>
  <c r="AQ52" i="27"/>
  <c r="AR52" i="27"/>
  <c r="AS52" i="27"/>
  <c r="AT52" i="27"/>
  <c r="AU52" i="27"/>
  <c r="AV52" i="27"/>
  <c r="AW52" i="27"/>
  <c r="AX52" i="27"/>
  <c r="AY52" i="27"/>
  <c r="AZ52" i="27"/>
  <c r="BA52" i="27"/>
  <c r="BB52" i="27"/>
  <c r="BC52" i="27"/>
  <c r="BD52" i="27"/>
  <c r="BE52" i="27"/>
  <c r="BF52" i="27"/>
  <c r="BG52" i="27"/>
  <c r="BH52" i="27"/>
  <c r="BI52" i="27"/>
  <c r="BJ52" i="27"/>
  <c r="BK52" i="27"/>
  <c r="BL52" i="27"/>
  <c r="BM52" i="27"/>
  <c r="BN52" i="27"/>
  <c r="BO52" i="27"/>
  <c r="BP52" i="27"/>
  <c r="AC17" i="27"/>
  <c r="W17" i="27"/>
  <c r="C18" i="27"/>
  <c r="E31" i="27" a="1"/>
  <c r="E31" i="27"/>
  <c r="F31" i="27" a="1"/>
  <c r="F31" i="27"/>
  <c r="G31" i="27" a="1"/>
  <c r="H31" i="27" a="1"/>
  <c r="I31" i="27" a="1"/>
  <c r="J31" i="27" a="1"/>
  <c r="K31" i="27" a="1"/>
  <c r="L31" i="27" a="1"/>
  <c r="M31" i="27" a="1"/>
  <c r="N31" i="27" a="1"/>
  <c r="O31" i="27" a="1"/>
  <c r="P31" i="27" a="1"/>
  <c r="Q31" i="27" a="1"/>
  <c r="R31" i="27" a="1"/>
  <c r="S31" i="27" a="1"/>
  <c r="T31" i="27" a="1"/>
  <c r="U31" i="27" a="1"/>
  <c r="V31" i="27" a="1"/>
  <c r="W31" i="27" a="1"/>
  <c r="X31" i="27" a="1"/>
  <c r="Y31" i="27" a="1"/>
  <c r="Z31" i="27" a="1"/>
  <c r="AA31" i="27" a="1"/>
  <c r="AB31" i="27" a="1"/>
  <c r="AC31" i="27" a="1"/>
  <c r="AD31" i="27" a="1"/>
  <c r="AE31" i="27" a="1"/>
  <c r="AF31" i="27" a="1"/>
  <c r="AG31" i="27" a="1"/>
  <c r="AH31" i="27" a="1"/>
  <c r="AI31" i="27" a="1"/>
  <c r="AJ31" i="27" a="1"/>
  <c r="AK31" i="27" a="1"/>
  <c r="AL31" i="27" a="1"/>
  <c r="AM31" i="27" a="1"/>
  <c r="AN31" i="27" a="1"/>
  <c r="AO31" i="27" a="1"/>
  <c r="AP31" i="27" a="1"/>
  <c r="AQ31" i="27" a="1"/>
  <c r="AR31" i="27" a="1"/>
  <c r="AS31" i="27" a="1"/>
  <c r="AT31" i="27" a="1"/>
  <c r="AU31" i="27" a="1"/>
  <c r="AV31" i="27" a="1"/>
  <c r="AW31" i="27" a="1"/>
  <c r="AX31" i="27" a="1"/>
  <c r="AY31" i="27" a="1"/>
  <c r="AZ31" i="27" a="1"/>
  <c r="BA31" i="27" a="1"/>
  <c r="BB31" i="27" a="1"/>
  <c r="BC31" i="27" a="1"/>
  <c r="BD31" i="27" a="1"/>
  <c r="BE31" i="27" a="1"/>
  <c r="BF31" i="27" a="1"/>
  <c r="BG31" i="27" a="1"/>
  <c r="BH31" i="27" a="1"/>
  <c r="BI31" i="27" a="1"/>
  <c r="BJ31" i="27" a="1"/>
  <c r="BK31" i="27" a="1"/>
  <c r="BL31" i="27" a="1"/>
  <c r="BM31" i="27" a="1"/>
  <c r="BN31" i="27" a="1"/>
  <c r="BO31" i="27" a="1"/>
  <c r="BP31" i="27" a="1"/>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J31" i="27"/>
  <c r="BK31" i="27"/>
  <c r="BL31" i="27"/>
  <c r="BM31" i="27"/>
  <c r="BN31" i="27"/>
  <c r="BO31" i="27"/>
  <c r="BP31" i="27"/>
  <c r="AA18" i="27"/>
  <c r="E42" i="27" a="1"/>
  <c r="E42" i="27"/>
  <c r="F42" i="27" a="1"/>
  <c r="F42" i="27"/>
  <c r="G42" i="27" a="1"/>
  <c r="H42" i="27" a="1"/>
  <c r="I42" i="27" a="1"/>
  <c r="J42" i="27" a="1"/>
  <c r="K42" i="27" a="1"/>
  <c r="L42" i="27" a="1"/>
  <c r="M42" i="27" a="1"/>
  <c r="N42" i="27" a="1"/>
  <c r="O42" i="27" a="1"/>
  <c r="P42" i="27" a="1"/>
  <c r="Q42" i="27" a="1"/>
  <c r="R42" i="27" a="1"/>
  <c r="S42" i="27" a="1"/>
  <c r="T42" i="27" a="1"/>
  <c r="U42" i="27" a="1"/>
  <c r="V42" i="27" a="1"/>
  <c r="W42" i="27" a="1"/>
  <c r="X42" i="27" a="1"/>
  <c r="Y42" i="27" a="1"/>
  <c r="Z42" i="27" a="1"/>
  <c r="AA42" i="27" a="1"/>
  <c r="AB42" i="27" a="1"/>
  <c r="AC42" i="27" a="1"/>
  <c r="AD42" i="27" a="1"/>
  <c r="AE42" i="27" a="1"/>
  <c r="AF42" i="27" a="1"/>
  <c r="AG42" i="27" a="1"/>
  <c r="AH42" i="27" a="1"/>
  <c r="AI42" i="27" a="1"/>
  <c r="AJ42" i="27" a="1"/>
  <c r="AK42" i="27" a="1"/>
  <c r="AL42" i="27" a="1"/>
  <c r="AM42" i="27" a="1"/>
  <c r="AN42" i="27" a="1"/>
  <c r="AO42" i="27" a="1"/>
  <c r="AP42" i="27" a="1"/>
  <c r="AQ42" i="27" a="1"/>
  <c r="AR42" i="27" a="1"/>
  <c r="AS42" i="27" a="1"/>
  <c r="AT42" i="27" a="1"/>
  <c r="AU42" i="27" a="1"/>
  <c r="AV42" i="27" a="1"/>
  <c r="AW42" i="27" a="1"/>
  <c r="AX42" i="27" a="1"/>
  <c r="AY42" i="27" a="1"/>
  <c r="AZ42" i="27" a="1"/>
  <c r="BA42" i="27" a="1"/>
  <c r="BB42" i="27" a="1"/>
  <c r="BC42" i="27" a="1"/>
  <c r="BD42" i="27" a="1"/>
  <c r="BE42" i="27" a="1"/>
  <c r="BF42" i="27" a="1"/>
  <c r="BG42" i="27" a="1"/>
  <c r="BH42" i="27" a="1"/>
  <c r="BI42" i="27" a="1"/>
  <c r="BJ42" i="27" a="1"/>
  <c r="BK42" i="27" a="1"/>
  <c r="BL42" i="27" a="1"/>
  <c r="BM42" i="27" a="1"/>
  <c r="BN42" i="27" a="1"/>
  <c r="BO42" i="27" a="1"/>
  <c r="BP42" i="27" a="1"/>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J42" i="27"/>
  <c r="BK42" i="27"/>
  <c r="BL42" i="27"/>
  <c r="BM42" i="27"/>
  <c r="BN42" i="27"/>
  <c r="BO42" i="27"/>
  <c r="BP42" i="27"/>
  <c r="AB18" i="27"/>
  <c r="E53" i="27" a="1"/>
  <c r="E53" i="27"/>
  <c r="F53" i="27" a="1"/>
  <c r="F53" i="27"/>
  <c r="G53" i="27" a="1"/>
  <c r="H53" i="27" a="1"/>
  <c r="I53" i="27" a="1"/>
  <c r="J53" i="27" a="1"/>
  <c r="K53" i="27" a="1"/>
  <c r="L53" i="27" a="1"/>
  <c r="M53" i="27" a="1"/>
  <c r="N53" i="27" a="1"/>
  <c r="O53" i="27" a="1"/>
  <c r="P53" i="27" a="1"/>
  <c r="Q53" i="27" a="1"/>
  <c r="R53" i="27" a="1"/>
  <c r="S53" i="27" a="1"/>
  <c r="T53" i="27" a="1"/>
  <c r="U53" i="27" a="1"/>
  <c r="V53" i="27" a="1"/>
  <c r="W53" i="27" a="1"/>
  <c r="X53" i="27" a="1"/>
  <c r="Y53" i="27" a="1"/>
  <c r="Z53" i="27" a="1"/>
  <c r="AA53" i="27" a="1"/>
  <c r="AB53" i="27" a="1"/>
  <c r="AC53" i="27" a="1"/>
  <c r="AD53" i="27" a="1"/>
  <c r="AE53" i="27" a="1"/>
  <c r="AF53" i="27" a="1"/>
  <c r="AG53" i="27" a="1"/>
  <c r="AH53" i="27" a="1"/>
  <c r="AI53" i="27" a="1"/>
  <c r="AJ53" i="27" a="1"/>
  <c r="AK53" i="27" a="1"/>
  <c r="AL53" i="27" a="1"/>
  <c r="AM53" i="27" a="1"/>
  <c r="AN53" i="27" a="1"/>
  <c r="AO53" i="27" a="1"/>
  <c r="AP53" i="27" a="1"/>
  <c r="AQ53" i="27" a="1"/>
  <c r="AR53" i="27" a="1"/>
  <c r="AS53" i="27" a="1"/>
  <c r="AT53" i="27" a="1"/>
  <c r="AU53" i="27" a="1"/>
  <c r="AV53" i="27" a="1"/>
  <c r="AW53" i="27" a="1"/>
  <c r="AX53" i="27" a="1"/>
  <c r="AY53" i="27" a="1"/>
  <c r="AZ53" i="27" a="1"/>
  <c r="BA53" i="27" a="1"/>
  <c r="BB53" i="27" a="1"/>
  <c r="BC53" i="27" a="1"/>
  <c r="BD53" i="27" a="1"/>
  <c r="BE53" i="27" a="1"/>
  <c r="BF53" i="27" a="1"/>
  <c r="BG53" i="27" a="1"/>
  <c r="BH53" i="27" a="1"/>
  <c r="BI53" i="27" a="1"/>
  <c r="BJ53" i="27" a="1"/>
  <c r="BK53" i="27" a="1"/>
  <c r="BL53" i="27" a="1"/>
  <c r="BM53" i="27" a="1"/>
  <c r="BN53" i="27" a="1"/>
  <c r="BO53" i="27" a="1"/>
  <c r="BP53" i="27" a="1"/>
  <c r="G53" i="27"/>
  <c r="H53" i="27"/>
  <c r="I53" i="27"/>
  <c r="J53" i="27"/>
  <c r="K53" i="27"/>
  <c r="L53" i="27"/>
  <c r="M53" i="27"/>
  <c r="N53" i="27"/>
  <c r="O53"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AN53" i="27"/>
  <c r="AO53" i="27"/>
  <c r="AP53" i="27"/>
  <c r="AQ53" i="27"/>
  <c r="AR53" i="27"/>
  <c r="AS53" i="27"/>
  <c r="AT53" i="27"/>
  <c r="AU53" i="27"/>
  <c r="AV53" i="27"/>
  <c r="AW53" i="27"/>
  <c r="AX53" i="27"/>
  <c r="AY53" i="27"/>
  <c r="AZ53" i="27"/>
  <c r="BA53" i="27"/>
  <c r="BB53" i="27"/>
  <c r="BC53" i="27"/>
  <c r="BD53" i="27"/>
  <c r="BE53" i="27"/>
  <c r="BF53" i="27"/>
  <c r="BG53" i="27"/>
  <c r="BH53" i="27"/>
  <c r="BI53" i="27"/>
  <c r="BJ53" i="27"/>
  <c r="BK53" i="27"/>
  <c r="BL53" i="27"/>
  <c r="BM53" i="27"/>
  <c r="BN53" i="27"/>
  <c r="BO53" i="27"/>
  <c r="BP53" i="27"/>
  <c r="AC18" i="27"/>
  <c r="W18" i="27"/>
  <c r="C19" i="27"/>
  <c r="E32" i="27" a="1"/>
  <c r="E32" i="27"/>
  <c r="F32" i="27" a="1"/>
  <c r="F32" i="27"/>
  <c r="G32" i="27" a="1"/>
  <c r="H32" i="27" a="1"/>
  <c r="I32" i="27" a="1"/>
  <c r="J32" i="27" a="1"/>
  <c r="K32" i="27" a="1"/>
  <c r="L32" i="27" a="1"/>
  <c r="M32" i="27" a="1"/>
  <c r="N32" i="27" a="1"/>
  <c r="O32" i="27" a="1"/>
  <c r="P32" i="27" a="1"/>
  <c r="Q32" i="27" a="1"/>
  <c r="R32" i="27" a="1"/>
  <c r="S32" i="27" a="1"/>
  <c r="T32" i="27" a="1"/>
  <c r="U32" i="27" a="1"/>
  <c r="V32" i="27" a="1"/>
  <c r="W32" i="27" a="1"/>
  <c r="X32" i="27" a="1"/>
  <c r="Y32" i="27" a="1"/>
  <c r="Z32" i="27" a="1"/>
  <c r="AA32" i="27" a="1"/>
  <c r="AB32" i="27" a="1"/>
  <c r="AC32" i="27" a="1"/>
  <c r="AD32" i="27" a="1"/>
  <c r="AE32" i="27" a="1"/>
  <c r="AF32" i="27" a="1"/>
  <c r="AG32" i="27" a="1"/>
  <c r="AH32" i="27" a="1"/>
  <c r="AI32" i="27" a="1"/>
  <c r="AJ32" i="27" a="1"/>
  <c r="AK32" i="27" a="1"/>
  <c r="AL32" i="27" a="1"/>
  <c r="AM32" i="27" a="1"/>
  <c r="AN32" i="27" a="1"/>
  <c r="AO32" i="27" a="1"/>
  <c r="AP32" i="27" a="1"/>
  <c r="AQ32" i="27" a="1"/>
  <c r="AR32" i="27" a="1"/>
  <c r="AS32" i="27" a="1"/>
  <c r="AT32" i="27" a="1"/>
  <c r="AU32" i="27" a="1"/>
  <c r="AV32" i="27" a="1"/>
  <c r="AW32" i="27" a="1"/>
  <c r="AX32" i="27" a="1"/>
  <c r="AY32" i="27" a="1"/>
  <c r="AZ32" i="27" a="1"/>
  <c r="BA32" i="27" a="1"/>
  <c r="BB32" i="27" a="1"/>
  <c r="BC32" i="27" a="1"/>
  <c r="BD32" i="27" a="1"/>
  <c r="BE32" i="27" a="1"/>
  <c r="BF32" i="27" a="1"/>
  <c r="BG32" i="27" a="1"/>
  <c r="BH32" i="27" a="1"/>
  <c r="BI32" i="27" a="1"/>
  <c r="BJ32" i="27" a="1"/>
  <c r="BK32" i="27" a="1"/>
  <c r="BL32" i="27" a="1"/>
  <c r="BM32" i="27" a="1"/>
  <c r="BN32" i="27" a="1"/>
  <c r="BO32" i="27" a="1"/>
  <c r="BP32" i="27" a="1"/>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J32" i="27"/>
  <c r="BK32" i="27"/>
  <c r="BL32" i="27"/>
  <c r="BM32" i="27"/>
  <c r="BN32" i="27"/>
  <c r="BO32" i="27"/>
  <c r="BP32" i="27"/>
  <c r="AA19" i="27"/>
  <c r="E43" i="27" a="1"/>
  <c r="E43" i="27"/>
  <c r="F43" i="27" a="1"/>
  <c r="F43" i="27"/>
  <c r="G43" i="27" a="1"/>
  <c r="H43" i="27" a="1"/>
  <c r="I43" i="27" a="1"/>
  <c r="J43" i="27" a="1"/>
  <c r="K43" i="27" a="1"/>
  <c r="L43" i="27" a="1"/>
  <c r="M43" i="27" a="1"/>
  <c r="N43" i="27" a="1"/>
  <c r="O43" i="27" a="1"/>
  <c r="P43" i="27" a="1"/>
  <c r="Q43" i="27" a="1"/>
  <c r="R43" i="27" a="1"/>
  <c r="S43" i="27" a="1"/>
  <c r="T43" i="27" a="1"/>
  <c r="U43" i="27" a="1"/>
  <c r="V43" i="27" a="1"/>
  <c r="W43" i="27" a="1"/>
  <c r="X43" i="27" a="1"/>
  <c r="Y43" i="27" a="1"/>
  <c r="Z43" i="27" a="1"/>
  <c r="AA43" i="27" a="1"/>
  <c r="AB43" i="27" a="1"/>
  <c r="AC43" i="27" a="1"/>
  <c r="AD43" i="27" a="1"/>
  <c r="AE43" i="27" a="1"/>
  <c r="AF43" i="27" a="1"/>
  <c r="AG43" i="27" a="1"/>
  <c r="AH43" i="27" a="1"/>
  <c r="AI43" i="27" a="1"/>
  <c r="AJ43" i="27" a="1"/>
  <c r="AK43" i="27" a="1"/>
  <c r="AL43" i="27" a="1"/>
  <c r="AM43" i="27" a="1"/>
  <c r="AN43" i="27" a="1"/>
  <c r="AO43" i="27" a="1"/>
  <c r="AP43" i="27" a="1"/>
  <c r="AQ43" i="27" a="1"/>
  <c r="AR43" i="27" a="1"/>
  <c r="AS43" i="27" a="1"/>
  <c r="AT43" i="27" a="1"/>
  <c r="AU43" i="27" a="1"/>
  <c r="AV43" i="27" a="1"/>
  <c r="AW43" i="27" a="1"/>
  <c r="AX43" i="27" a="1"/>
  <c r="AY43" i="27" a="1"/>
  <c r="AZ43" i="27" a="1"/>
  <c r="BA43" i="27" a="1"/>
  <c r="BB43" i="27" a="1"/>
  <c r="BC43" i="27" a="1"/>
  <c r="BD43" i="27" a="1"/>
  <c r="BE43" i="27" a="1"/>
  <c r="BF43" i="27" a="1"/>
  <c r="BG43" i="27" a="1"/>
  <c r="BH43" i="27" a="1"/>
  <c r="BI43" i="27" a="1"/>
  <c r="BJ43" i="27" a="1"/>
  <c r="BK43" i="27" a="1"/>
  <c r="BL43" i="27" a="1"/>
  <c r="BM43" i="27" a="1"/>
  <c r="BN43" i="27" a="1"/>
  <c r="BO43" i="27" a="1"/>
  <c r="BP43" i="27" a="1"/>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U43" i="27"/>
  <c r="AV43" i="27"/>
  <c r="AW43" i="27"/>
  <c r="AX43" i="27"/>
  <c r="AY43" i="27"/>
  <c r="AZ43" i="27"/>
  <c r="BA43" i="27"/>
  <c r="BB43" i="27"/>
  <c r="BC43" i="27"/>
  <c r="BD43" i="27"/>
  <c r="BE43" i="27"/>
  <c r="BF43" i="27"/>
  <c r="BG43" i="27"/>
  <c r="BH43" i="27"/>
  <c r="BI43" i="27"/>
  <c r="BJ43" i="27"/>
  <c r="BK43" i="27"/>
  <c r="BL43" i="27"/>
  <c r="BM43" i="27"/>
  <c r="BN43" i="27"/>
  <c r="BO43" i="27"/>
  <c r="BP43" i="27"/>
  <c r="AB19" i="27"/>
  <c r="E54" i="27" a="1"/>
  <c r="E54" i="27"/>
  <c r="F54" i="27" a="1"/>
  <c r="F54" i="27"/>
  <c r="G54" i="27" a="1"/>
  <c r="H54" i="27" a="1"/>
  <c r="I54" i="27" a="1"/>
  <c r="J54" i="27" a="1"/>
  <c r="K54" i="27" a="1"/>
  <c r="L54" i="27" a="1"/>
  <c r="M54" i="27" a="1"/>
  <c r="N54" i="27" a="1"/>
  <c r="O54" i="27" a="1"/>
  <c r="P54" i="27" a="1"/>
  <c r="Q54" i="27" a="1"/>
  <c r="R54" i="27" a="1"/>
  <c r="S54" i="27" a="1"/>
  <c r="T54" i="27" a="1"/>
  <c r="U54" i="27" a="1"/>
  <c r="V54" i="27" a="1"/>
  <c r="W54" i="27" a="1"/>
  <c r="X54" i="27" a="1"/>
  <c r="Y54" i="27" a="1"/>
  <c r="Z54" i="27" a="1"/>
  <c r="AA54" i="27" a="1"/>
  <c r="AB54" i="27" a="1"/>
  <c r="AC54" i="27" a="1"/>
  <c r="AD54" i="27" a="1"/>
  <c r="AE54" i="27" a="1"/>
  <c r="AF54" i="27" a="1"/>
  <c r="AG54" i="27" a="1"/>
  <c r="AH54" i="27" a="1"/>
  <c r="AI54" i="27" a="1"/>
  <c r="AJ54" i="27" a="1"/>
  <c r="AK54" i="27" a="1"/>
  <c r="AL54" i="27" a="1"/>
  <c r="AM54" i="27" a="1"/>
  <c r="AN54" i="27" a="1"/>
  <c r="AO54" i="27" a="1"/>
  <c r="AP54" i="27" a="1"/>
  <c r="AQ54" i="27" a="1"/>
  <c r="AR54" i="27" a="1"/>
  <c r="AS54" i="27" a="1"/>
  <c r="AT54" i="27" a="1"/>
  <c r="AU54" i="27" a="1"/>
  <c r="AV54" i="27" a="1"/>
  <c r="AW54" i="27" a="1"/>
  <c r="AX54" i="27" a="1"/>
  <c r="AY54" i="27" a="1"/>
  <c r="AZ54" i="27" a="1"/>
  <c r="BA54" i="27" a="1"/>
  <c r="BB54" i="27" a="1"/>
  <c r="BC54" i="27" a="1"/>
  <c r="BD54" i="27" a="1"/>
  <c r="BE54" i="27" a="1"/>
  <c r="BF54" i="27" a="1"/>
  <c r="BG54" i="27" a="1"/>
  <c r="BH54" i="27" a="1"/>
  <c r="BI54" i="27" a="1"/>
  <c r="BJ54" i="27" a="1"/>
  <c r="BK54" i="27" a="1"/>
  <c r="BL54" i="27" a="1"/>
  <c r="BM54" i="27" a="1"/>
  <c r="BN54" i="27" a="1"/>
  <c r="BO54" i="27" a="1"/>
  <c r="BP54" i="27" a="1"/>
  <c r="G54" i="27"/>
  <c r="H54" i="27"/>
  <c r="I54" i="27"/>
  <c r="J54" i="27"/>
  <c r="K54" i="27"/>
  <c r="L54" i="27"/>
  <c r="M54" i="27"/>
  <c r="N54" i="27"/>
  <c r="O54"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AN54" i="27"/>
  <c r="AO54" i="27"/>
  <c r="AP54" i="27"/>
  <c r="AQ54" i="27"/>
  <c r="AR54" i="27"/>
  <c r="AS54" i="27"/>
  <c r="AT54" i="27"/>
  <c r="AU54" i="27"/>
  <c r="AV54" i="27"/>
  <c r="AW54" i="27"/>
  <c r="AX54" i="27"/>
  <c r="AY54" i="27"/>
  <c r="AZ54" i="27"/>
  <c r="BA54" i="27"/>
  <c r="BB54" i="27"/>
  <c r="BC54" i="27"/>
  <c r="BD54" i="27"/>
  <c r="BE54" i="27"/>
  <c r="BF54" i="27"/>
  <c r="BG54" i="27"/>
  <c r="BH54" i="27"/>
  <c r="BI54" i="27"/>
  <c r="BJ54" i="27"/>
  <c r="BK54" i="27"/>
  <c r="BL54" i="27"/>
  <c r="BM54" i="27"/>
  <c r="BN54" i="27"/>
  <c r="BO54" i="27"/>
  <c r="BP54" i="27"/>
  <c r="AC19" i="27"/>
  <c r="W19" i="27"/>
  <c r="C20" i="27"/>
  <c r="E33" i="27" a="1"/>
  <c r="E33" i="27"/>
  <c r="F33" i="27" a="1"/>
  <c r="F33" i="27"/>
  <c r="G33" i="27" a="1"/>
  <c r="H33" i="27" a="1"/>
  <c r="I33" i="27" a="1"/>
  <c r="J33" i="27" a="1"/>
  <c r="K33" i="27" a="1"/>
  <c r="L33" i="27" a="1"/>
  <c r="M33" i="27" a="1"/>
  <c r="N33" i="27" a="1"/>
  <c r="O33" i="27" a="1"/>
  <c r="P33" i="27" a="1"/>
  <c r="Q33" i="27" a="1"/>
  <c r="R33" i="27" a="1"/>
  <c r="S33" i="27" a="1"/>
  <c r="T33" i="27" a="1"/>
  <c r="U33" i="27" a="1"/>
  <c r="V33" i="27" a="1"/>
  <c r="W33" i="27" a="1"/>
  <c r="X33" i="27" a="1"/>
  <c r="Y33" i="27" a="1"/>
  <c r="Z33" i="27" a="1"/>
  <c r="AA33" i="27" a="1"/>
  <c r="AB33" i="27" a="1"/>
  <c r="AC33" i="27" a="1"/>
  <c r="AD33" i="27" a="1"/>
  <c r="AE33" i="27" a="1"/>
  <c r="AF33" i="27" a="1"/>
  <c r="AG33" i="27" a="1"/>
  <c r="AH33" i="27" a="1"/>
  <c r="AI33" i="27" a="1"/>
  <c r="AJ33" i="27" a="1"/>
  <c r="AK33" i="27" a="1"/>
  <c r="AL33" i="27" a="1"/>
  <c r="AM33" i="27" a="1"/>
  <c r="AN33" i="27" a="1"/>
  <c r="AO33" i="27" a="1"/>
  <c r="AP33" i="27" a="1"/>
  <c r="AQ33" i="27" a="1"/>
  <c r="AR33" i="27" a="1"/>
  <c r="AS33" i="27" a="1"/>
  <c r="AT33" i="27" a="1"/>
  <c r="AU33" i="27" a="1"/>
  <c r="AV33" i="27" a="1"/>
  <c r="AW33" i="27" a="1"/>
  <c r="AX33" i="27" a="1"/>
  <c r="AY33" i="27" a="1"/>
  <c r="AZ33" i="27" a="1"/>
  <c r="BA33" i="27" a="1"/>
  <c r="BB33" i="27" a="1"/>
  <c r="BC33" i="27" a="1"/>
  <c r="BD33" i="27" a="1"/>
  <c r="BE33" i="27" a="1"/>
  <c r="BF33" i="27" a="1"/>
  <c r="BG33" i="27" a="1"/>
  <c r="BH33" i="27" a="1"/>
  <c r="BI33" i="27" a="1"/>
  <c r="BJ33" i="27" a="1"/>
  <c r="BK33" i="27" a="1"/>
  <c r="BL33" i="27" a="1"/>
  <c r="BM33" i="27" a="1"/>
  <c r="BN33" i="27" a="1"/>
  <c r="BO33" i="27" a="1"/>
  <c r="BP33" i="27" a="1"/>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U33" i="27"/>
  <c r="AV33" i="27"/>
  <c r="AW33" i="27"/>
  <c r="AX33" i="27"/>
  <c r="AY33" i="27"/>
  <c r="AZ33" i="27"/>
  <c r="BA33" i="27"/>
  <c r="BB33" i="27"/>
  <c r="BC33" i="27"/>
  <c r="BD33" i="27"/>
  <c r="BE33" i="27"/>
  <c r="BF33" i="27"/>
  <c r="BG33" i="27"/>
  <c r="BH33" i="27"/>
  <c r="BI33" i="27"/>
  <c r="BJ33" i="27"/>
  <c r="BK33" i="27"/>
  <c r="BL33" i="27"/>
  <c r="BM33" i="27"/>
  <c r="BN33" i="27"/>
  <c r="BO33" i="27"/>
  <c r="BP33" i="27"/>
  <c r="AA20" i="27"/>
  <c r="E44" i="27" a="1"/>
  <c r="E44" i="27"/>
  <c r="F44" i="27" a="1"/>
  <c r="F44" i="27"/>
  <c r="G44" i="27" a="1"/>
  <c r="H44" i="27" a="1"/>
  <c r="I44" i="27" a="1"/>
  <c r="J44" i="27" a="1"/>
  <c r="K44" i="27" a="1"/>
  <c r="L44" i="27" a="1"/>
  <c r="M44" i="27" a="1"/>
  <c r="N44" i="27" a="1"/>
  <c r="O44" i="27" a="1"/>
  <c r="P44" i="27" a="1"/>
  <c r="Q44" i="27" a="1"/>
  <c r="R44" i="27" a="1"/>
  <c r="S44" i="27" a="1"/>
  <c r="T44" i="27" a="1"/>
  <c r="U44" i="27" a="1"/>
  <c r="V44" i="27" a="1"/>
  <c r="W44" i="27" a="1"/>
  <c r="X44" i="27" a="1"/>
  <c r="Y44" i="27" a="1"/>
  <c r="Z44" i="27" a="1"/>
  <c r="AA44" i="27" a="1"/>
  <c r="AB44" i="27" a="1"/>
  <c r="AC44" i="27" a="1"/>
  <c r="AD44" i="27" a="1"/>
  <c r="AE44" i="27" a="1"/>
  <c r="AF44" i="27" a="1"/>
  <c r="AG44" i="27" a="1"/>
  <c r="AH44" i="27" a="1"/>
  <c r="AI44" i="27" a="1"/>
  <c r="AJ44" i="27" a="1"/>
  <c r="AK44" i="27" a="1"/>
  <c r="AL44" i="27" a="1"/>
  <c r="AM44" i="27" a="1"/>
  <c r="AN44" i="27" a="1"/>
  <c r="AO44" i="27" a="1"/>
  <c r="AP44" i="27" a="1"/>
  <c r="AQ44" i="27" a="1"/>
  <c r="AR44" i="27" a="1"/>
  <c r="AS44" i="27" a="1"/>
  <c r="AT44" i="27" a="1"/>
  <c r="AU44" i="27" a="1"/>
  <c r="AV44" i="27" a="1"/>
  <c r="AW44" i="27" a="1"/>
  <c r="AX44" i="27" a="1"/>
  <c r="AY44" i="27" a="1"/>
  <c r="AZ44" i="27" a="1"/>
  <c r="BA44" i="27" a="1"/>
  <c r="BB44" i="27" a="1"/>
  <c r="BC44" i="27" a="1"/>
  <c r="BD44" i="27" a="1"/>
  <c r="BE44" i="27" a="1"/>
  <c r="BF44" i="27" a="1"/>
  <c r="BG44" i="27" a="1"/>
  <c r="BH44" i="27" a="1"/>
  <c r="BI44" i="27" a="1"/>
  <c r="BJ44" i="27" a="1"/>
  <c r="BK44" i="27" a="1"/>
  <c r="BL44" i="27" a="1"/>
  <c r="BM44" i="27" a="1"/>
  <c r="BN44" i="27" a="1"/>
  <c r="BO44" i="27" a="1"/>
  <c r="BP44" i="27" a="1"/>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U44" i="27"/>
  <c r="AV44" i="27"/>
  <c r="AW44" i="27"/>
  <c r="AX44" i="27"/>
  <c r="AY44" i="27"/>
  <c r="AZ44" i="27"/>
  <c r="BA44" i="27"/>
  <c r="BB44" i="27"/>
  <c r="BC44" i="27"/>
  <c r="BD44" i="27"/>
  <c r="BE44" i="27"/>
  <c r="BF44" i="27"/>
  <c r="BG44" i="27"/>
  <c r="BH44" i="27"/>
  <c r="BI44" i="27"/>
  <c r="BJ44" i="27"/>
  <c r="BK44" i="27"/>
  <c r="BL44" i="27"/>
  <c r="BM44" i="27"/>
  <c r="BN44" i="27"/>
  <c r="BO44" i="27"/>
  <c r="BP44" i="27"/>
  <c r="AB20" i="27"/>
  <c r="E55" i="27" a="1"/>
  <c r="E55" i="27"/>
  <c r="F55" i="27" a="1"/>
  <c r="F55" i="27"/>
  <c r="G55" i="27" a="1"/>
  <c r="H55" i="27" a="1"/>
  <c r="I55" i="27" a="1"/>
  <c r="J55" i="27" a="1"/>
  <c r="K55" i="27" a="1"/>
  <c r="L55" i="27" a="1"/>
  <c r="M55" i="27" a="1"/>
  <c r="N55" i="27" a="1"/>
  <c r="O55" i="27" a="1"/>
  <c r="P55" i="27" a="1"/>
  <c r="Q55" i="27" a="1"/>
  <c r="R55" i="27" a="1"/>
  <c r="S55" i="27" a="1"/>
  <c r="T55" i="27" a="1"/>
  <c r="U55" i="27" a="1"/>
  <c r="V55" i="27" a="1"/>
  <c r="W55" i="27" a="1"/>
  <c r="X55" i="27" a="1"/>
  <c r="Y55" i="27" a="1"/>
  <c r="Z55" i="27" a="1"/>
  <c r="AA55" i="27" a="1"/>
  <c r="AB55" i="27" a="1"/>
  <c r="AC55" i="27" a="1"/>
  <c r="AD55" i="27" a="1"/>
  <c r="AE55" i="27" a="1"/>
  <c r="AF55" i="27" a="1"/>
  <c r="AG55" i="27" a="1"/>
  <c r="AH55" i="27" a="1"/>
  <c r="AI55" i="27" a="1"/>
  <c r="AJ55" i="27" a="1"/>
  <c r="AK55" i="27" a="1"/>
  <c r="AL55" i="27" a="1"/>
  <c r="AM55" i="27" a="1"/>
  <c r="AN55" i="27" a="1"/>
  <c r="AO55" i="27" a="1"/>
  <c r="AP55" i="27" a="1"/>
  <c r="AQ55" i="27" a="1"/>
  <c r="AR55" i="27" a="1"/>
  <c r="AS55" i="27" a="1"/>
  <c r="AT55" i="27" a="1"/>
  <c r="AU55" i="27" a="1"/>
  <c r="AV55" i="27" a="1"/>
  <c r="AW55" i="27" a="1"/>
  <c r="AX55" i="27" a="1"/>
  <c r="AY55" i="27" a="1"/>
  <c r="AZ55" i="27" a="1"/>
  <c r="BA55" i="27" a="1"/>
  <c r="BB55" i="27" a="1"/>
  <c r="BC55" i="27" a="1"/>
  <c r="BD55" i="27" a="1"/>
  <c r="BE55" i="27" a="1"/>
  <c r="BF55" i="27" a="1"/>
  <c r="BG55" i="27" a="1"/>
  <c r="BH55" i="27" a="1"/>
  <c r="BI55" i="27" a="1"/>
  <c r="BJ55" i="27" a="1"/>
  <c r="BK55" i="27" a="1"/>
  <c r="BL55" i="27" a="1"/>
  <c r="BM55" i="27" a="1"/>
  <c r="BN55" i="27" a="1"/>
  <c r="BO55" i="27" a="1"/>
  <c r="BP55" i="27" a="1"/>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U55" i="27"/>
  <c r="AV55" i="27"/>
  <c r="AW55" i="27"/>
  <c r="AX55" i="27"/>
  <c r="AY55" i="27"/>
  <c r="AZ55" i="27"/>
  <c r="BA55" i="27"/>
  <c r="BB55" i="27"/>
  <c r="BC55" i="27"/>
  <c r="BD55" i="27"/>
  <c r="BE55" i="27"/>
  <c r="BF55" i="27"/>
  <c r="BG55" i="27"/>
  <c r="BH55" i="27"/>
  <c r="BI55" i="27"/>
  <c r="BJ55" i="27"/>
  <c r="BK55" i="27"/>
  <c r="BL55" i="27"/>
  <c r="BM55" i="27"/>
  <c r="BN55" i="27"/>
  <c r="BO55" i="27"/>
  <c r="BP55" i="27"/>
  <c r="AC20" i="27"/>
  <c r="W20" i="27"/>
  <c r="BR52" i="27"/>
  <c r="BS51" i="27"/>
  <c r="BT51" i="27"/>
  <c r="BT52" i="27"/>
  <c r="BU51" i="27"/>
  <c r="BU52" i="27"/>
  <c r="BV51" i="27"/>
  <c r="BV52" i="27"/>
  <c r="BW52" i="27"/>
  <c r="BX52" i="27"/>
  <c r="BY52" i="27"/>
  <c r="BZ52" i="27"/>
  <c r="CA52" i="27"/>
  <c r="BR53" i="27"/>
  <c r="BS53" i="27"/>
  <c r="BU53" i="27"/>
  <c r="BV53" i="27"/>
  <c r="BW53" i="27"/>
  <c r="BX53" i="27"/>
  <c r="BY53" i="27"/>
  <c r="BZ53" i="27"/>
  <c r="CA53" i="27"/>
  <c r="BR54" i="27"/>
  <c r="BS54" i="27"/>
  <c r="BT54" i="27"/>
  <c r="BV54" i="27"/>
  <c r="BW54" i="27"/>
  <c r="BX54" i="27"/>
  <c r="BY54" i="27"/>
  <c r="BZ54" i="27"/>
  <c r="CA54" i="27"/>
  <c r="BR55" i="27"/>
  <c r="BS55" i="27"/>
  <c r="BT55" i="27"/>
  <c r="BU55" i="27"/>
  <c r="BW55" i="27"/>
  <c r="BX55" i="27"/>
  <c r="BY55" i="27"/>
  <c r="BZ55" i="27"/>
  <c r="CA55" i="27"/>
  <c r="BS56" i="27"/>
  <c r="BT56" i="27"/>
  <c r="BU56" i="27"/>
  <c r="BV56" i="27"/>
  <c r="BX56" i="27"/>
  <c r="BY56" i="27"/>
  <c r="BZ56" i="27"/>
  <c r="CA56" i="27"/>
  <c r="BS57" i="27"/>
  <c r="BT57" i="27"/>
  <c r="BU57" i="27"/>
  <c r="BV57" i="27"/>
  <c r="BW57" i="27"/>
  <c r="BY57" i="27"/>
  <c r="BZ57" i="27"/>
  <c r="CA57" i="27"/>
  <c r="BS58" i="27"/>
  <c r="BT58" i="27"/>
  <c r="BU58" i="27"/>
  <c r="BV58" i="27"/>
  <c r="BW58" i="27"/>
  <c r="BX58" i="27"/>
  <c r="BZ58" i="27"/>
  <c r="CA58" i="27"/>
  <c r="BS59" i="27"/>
  <c r="BT59" i="27"/>
  <c r="BU59" i="27"/>
  <c r="BV59" i="27"/>
  <c r="BW59" i="27"/>
  <c r="BX59" i="27"/>
  <c r="BY59" i="27"/>
  <c r="CA59" i="27"/>
  <c r="BS60" i="27"/>
  <c r="BT60" i="27"/>
  <c r="BU60" i="27"/>
  <c r="BV60" i="27"/>
  <c r="BW60" i="27"/>
  <c r="BX60" i="27"/>
  <c r="BY60" i="27"/>
  <c r="BZ60" i="27"/>
  <c r="E34" i="27" a="1"/>
  <c r="E34" i="27"/>
  <c r="F34" i="27" a="1"/>
  <c r="F34" i="27"/>
  <c r="G34" i="27" a="1"/>
  <c r="H34" i="27" a="1"/>
  <c r="I34" i="27" a="1"/>
  <c r="J34" i="27" a="1"/>
  <c r="K34" i="27" a="1"/>
  <c r="L34" i="27" a="1"/>
  <c r="M34" i="27" a="1"/>
  <c r="N34" i="27" a="1"/>
  <c r="O34" i="27" a="1"/>
  <c r="P34" i="27" a="1"/>
  <c r="Q34" i="27" a="1"/>
  <c r="R34" i="27" a="1"/>
  <c r="S34" i="27" a="1"/>
  <c r="T34" i="27" a="1"/>
  <c r="U34" i="27" a="1"/>
  <c r="V34" i="27" a="1"/>
  <c r="W34" i="27" a="1"/>
  <c r="X34" i="27" a="1"/>
  <c r="Y34" i="27" a="1"/>
  <c r="Z34" i="27" a="1"/>
  <c r="AA34" i="27" a="1"/>
  <c r="AB34" i="27" a="1"/>
  <c r="AC34" i="27" a="1"/>
  <c r="AD34" i="27" a="1"/>
  <c r="AE34" i="27" a="1"/>
  <c r="AF34" i="27" a="1"/>
  <c r="AG34" i="27" a="1"/>
  <c r="AH34" i="27" a="1"/>
  <c r="AI34" i="27" a="1"/>
  <c r="AJ34" i="27" a="1"/>
  <c r="AK34" i="27" a="1"/>
  <c r="AL34" i="27" a="1"/>
  <c r="AM34" i="27" a="1"/>
  <c r="AN34" i="27" a="1"/>
  <c r="AO34" i="27" a="1"/>
  <c r="AP34" i="27" a="1"/>
  <c r="AQ34" i="27" a="1"/>
  <c r="AR34" i="27" a="1"/>
  <c r="AS34" i="27" a="1"/>
  <c r="AT34" i="27" a="1"/>
  <c r="AU34" i="27" a="1"/>
  <c r="AV34" i="27" a="1"/>
  <c r="AW34" i="27" a="1"/>
  <c r="AX34" i="27" a="1"/>
  <c r="AY34" i="27" a="1"/>
  <c r="AZ34" i="27" a="1"/>
  <c r="BA34" i="27" a="1"/>
  <c r="BB34" i="27" a="1"/>
  <c r="BC34" i="27" a="1"/>
  <c r="BD34" i="27" a="1"/>
  <c r="BE34" i="27" a="1"/>
  <c r="BF34" i="27" a="1"/>
  <c r="BG34" i="27" a="1"/>
  <c r="BH34" i="27" a="1"/>
  <c r="BI34" i="27" a="1"/>
  <c r="BJ34" i="27" a="1"/>
  <c r="BK34" i="27" a="1"/>
  <c r="BL34" i="27" a="1"/>
  <c r="BM34" i="27" a="1"/>
  <c r="BN34" i="27" a="1"/>
  <c r="BO34" i="27" a="1"/>
  <c r="BP34" i="27" a="1"/>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U34" i="27"/>
  <c r="AV34" i="27"/>
  <c r="AW34" i="27"/>
  <c r="AX34" i="27"/>
  <c r="AY34" i="27"/>
  <c r="AZ34" i="27"/>
  <c r="BA34" i="27"/>
  <c r="BB34" i="27"/>
  <c r="BC34" i="27"/>
  <c r="BD34" i="27"/>
  <c r="BE34" i="27"/>
  <c r="BF34" i="27"/>
  <c r="BG34" i="27"/>
  <c r="BH34" i="27"/>
  <c r="BI34" i="27"/>
  <c r="BJ34" i="27"/>
  <c r="BK34" i="27"/>
  <c r="BL34" i="27"/>
  <c r="BM34" i="27"/>
  <c r="BN34" i="27"/>
  <c r="BO34" i="27"/>
  <c r="BP34" i="27"/>
  <c r="AA21" i="27"/>
  <c r="BR41" i="27"/>
  <c r="BS40" i="27"/>
  <c r="BT40" i="27"/>
  <c r="BR30" i="27"/>
  <c r="BT29" i="27"/>
  <c r="BT30" i="27"/>
  <c r="BR31" i="27"/>
  <c r="BS29" i="27"/>
  <c r="BS31" i="27"/>
  <c r="BT41" i="27"/>
  <c r="BU40" i="27"/>
  <c r="BU29" i="27"/>
  <c r="BU30" i="27"/>
  <c r="BR32" i="27"/>
  <c r="BS32" i="27"/>
  <c r="BU41" i="27"/>
  <c r="BV40" i="27"/>
  <c r="BV29" i="27"/>
  <c r="BV30" i="27"/>
  <c r="BR33" i="27"/>
  <c r="BS33" i="27"/>
  <c r="BV41" i="27"/>
  <c r="BW30" i="27"/>
  <c r="BS34" i="27"/>
  <c r="BW41" i="27"/>
  <c r="BX30" i="27"/>
  <c r="BS35" i="27"/>
  <c r="BX41" i="27"/>
  <c r="BY30" i="27"/>
  <c r="BS36" i="27"/>
  <c r="BY41" i="27"/>
  <c r="BZ30" i="27"/>
  <c r="BS37" i="27"/>
  <c r="BZ41" i="27"/>
  <c r="CA30" i="27"/>
  <c r="BS38" i="27"/>
  <c r="CA41" i="27"/>
  <c r="BR42" i="27"/>
  <c r="BS42" i="27"/>
  <c r="BU31" i="27"/>
  <c r="BT32" i="27"/>
  <c r="BU42" i="27"/>
  <c r="BV31" i="27"/>
  <c r="BT33" i="27"/>
  <c r="BV42" i="27"/>
  <c r="BW31" i="27"/>
  <c r="BT34" i="27"/>
  <c r="BW42" i="27"/>
  <c r="BX31" i="27"/>
  <c r="BT35" i="27"/>
  <c r="BX42" i="27"/>
  <c r="BY31" i="27"/>
  <c r="BT36" i="27"/>
  <c r="BY42" i="27"/>
  <c r="BZ31" i="27"/>
  <c r="BT37" i="27"/>
  <c r="BZ42" i="27"/>
  <c r="CA31" i="27"/>
  <c r="BT38" i="27"/>
  <c r="CA42" i="27"/>
  <c r="BR43" i="27"/>
  <c r="BS43" i="27"/>
  <c r="BT43" i="27"/>
  <c r="BV32" i="27"/>
  <c r="BU33" i="27"/>
  <c r="BV43" i="27"/>
  <c r="BW32" i="27"/>
  <c r="BU34" i="27"/>
  <c r="BW43" i="27"/>
  <c r="BX32" i="27"/>
  <c r="BU35" i="27"/>
  <c r="BX43" i="27"/>
  <c r="BY32" i="27"/>
  <c r="BU36" i="27"/>
  <c r="BY43" i="27"/>
  <c r="BZ32" i="27"/>
  <c r="BU37" i="27"/>
  <c r="BZ43" i="27"/>
  <c r="CA32" i="27"/>
  <c r="BU38" i="27"/>
  <c r="CA43" i="27"/>
  <c r="BR44" i="27"/>
  <c r="BS44" i="27"/>
  <c r="BT44" i="27"/>
  <c r="BU44" i="27"/>
  <c r="BW33" i="27"/>
  <c r="BV34" i="27"/>
  <c r="BW44" i="27"/>
  <c r="BX33" i="27"/>
  <c r="BV35" i="27"/>
  <c r="BX44" i="27"/>
  <c r="BY33" i="27"/>
  <c r="BV36" i="27"/>
  <c r="BY44" i="27"/>
  <c r="BZ33" i="27"/>
  <c r="BV37" i="27"/>
  <c r="BZ44" i="27"/>
  <c r="CA33" i="27"/>
  <c r="BV38" i="27"/>
  <c r="CA44" i="27"/>
  <c r="BS45" i="27"/>
  <c r="BT45" i="27"/>
  <c r="BU45" i="27"/>
  <c r="BV45" i="27"/>
  <c r="BX34" i="27"/>
  <c r="BW35" i="27"/>
  <c r="BX45" i="27"/>
  <c r="BY34" i="27"/>
  <c r="BW36" i="27"/>
  <c r="BY45" i="27"/>
  <c r="BZ34" i="27"/>
  <c r="BW37" i="27"/>
  <c r="BZ45" i="27"/>
  <c r="CA34" i="27"/>
  <c r="BW38" i="27"/>
  <c r="CA45" i="27"/>
  <c r="BS46" i="27"/>
  <c r="BT46" i="27"/>
  <c r="BU46" i="27"/>
  <c r="BV46" i="27"/>
  <c r="BW46" i="27"/>
  <c r="BY35" i="27"/>
  <c r="BX36" i="27"/>
  <c r="BY46" i="27"/>
  <c r="BZ35" i="27"/>
  <c r="BX37" i="27"/>
  <c r="BZ46" i="27"/>
  <c r="CA35" i="27"/>
  <c r="BX38" i="27"/>
  <c r="CA46" i="27"/>
  <c r="BS47" i="27"/>
  <c r="BT47" i="27"/>
  <c r="BU47" i="27"/>
  <c r="BV47" i="27"/>
  <c r="BW47" i="27"/>
  <c r="BX47" i="27"/>
  <c r="BZ36" i="27"/>
  <c r="BY37" i="27"/>
  <c r="BZ47" i="27"/>
  <c r="CA36" i="27"/>
  <c r="BY38" i="27"/>
  <c r="CA47" i="27"/>
  <c r="BS48" i="27"/>
  <c r="BT48" i="27"/>
  <c r="BU48" i="27"/>
  <c r="BV48" i="27"/>
  <c r="BW48" i="27"/>
  <c r="BX48" i="27"/>
  <c r="BY48" i="27"/>
  <c r="CA37" i="27"/>
  <c r="BZ38" i="27"/>
  <c r="CA48" i="27"/>
  <c r="BS49" i="27"/>
  <c r="BT49" i="27"/>
  <c r="BU49" i="27"/>
  <c r="BV49" i="27"/>
  <c r="BW49" i="27"/>
  <c r="BX49" i="27"/>
  <c r="BY49" i="27"/>
  <c r="BZ49" i="27"/>
  <c r="E45" i="27" a="1"/>
  <c r="E45" i="27"/>
  <c r="F45" i="27" a="1"/>
  <c r="F45" i="27"/>
  <c r="G45" i="27" a="1"/>
  <c r="H45" i="27" a="1"/>
  <c r="I45" i="27" a="1"/>
  <c r="J45" i="27" a="1"/>
  <c r="K45" i="27" a="1"/>
  <c r="L45" i="27" a="1"/>
  <c r="M45" i="27" a="1"/>
  <c r="N45" i="27" a="1"/>
  <c r="O45" i="27" a="1"/>
  <c r="P45" i="27" a="1"/>
  <c r="Q45" i="27" a="1"/>
  <c r="R45" i="27" a="1"/>
  <c r="S45" i="27" a="1"/>
  <c r="T45" i="27" a="1"/>
  <c r="U45" i="27" a="1"/>
  <c r="V45" i="27" a="1"/>
  <c r="W45" i="27" a="1"/>
  <c r="X45" i="27" a="1"/>
  <c r="Y45" i="27" a="1"/>
  <c r="Z45" i="27" a="1"/>
  <c r="AA45" i="27" a="1"/>
  <c r="AB45" i="27" a="1"/>
  <c r="AC45" i="27" a="1"/>
  <c r="AD45" i="27" a="1"/>
  <c r="AE45" i="27" a="1"/>
  <c r="AF45" i="27" a="1"/>
  <c r="AG45" i="27" a="1"/>
  <c r="AH45" i="27" a="1"/>
  <c r="AI45" i="27" a="1"/>
  <c r="AJ45" i="27" a="1"/>
  <c r="AK45" i="27" a="1"/>
  <c r="AL45" i="27" a="1"/>
  <c r="AM45" i="27" a="1"/>
  <c r="AN45" i="27" a="1"/>
  <c r="AO45" i="27" a="1"/>
  <c r="AP45" i="27" a="1"/>
  <c r="AQ45" i="27" a="1"/>
  <c r="AR45" i="27" a="1"/>
  <c r="AS45" i="27" a="1"/>
  <c r="AT45" i="27" a="1"/>
  <c r="AU45" i="27" a="1"/>
  <c r="AV45" i="27" a="1"/>
  <c r="AW45" i="27" a="1"/>
  <c r="AX45" i="27" a="1"/>
  <c r="AY45" i="27" a="1"/>
  <c r="AZ45" i="27" a="1"/>
  <c r="BA45" i="27" a="1"/>
  <c r="BB45" i="27" a="1"/>
  <c r="BC45" i="27" a="1"/>
  <c r="BD45" i="27" a="1"/>
  <c r="BE45" i="27" a="1"/>
  <c r="BF45" i="27" a="1"/>
  <c r="BG45" i="27" a="1"/>
  <c r="BH45" i="27" a="1"/>
  <c r="BI45" i="27" a="1"/>
  <c r="BJ45" i="27" a="1"/>
  <c r="BK45" i="27" a="1"/>
  <c r="BL45" i="27" a="1"/>
  <c r="BM45" i="27" a="1"/>
  <c r="BN45" i="27" a="1"/>
  <c r="BO45" i="27" a="1"/>
  <c r="BP45" i="27" a="1"/>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J45" i="27"/>
  <c r="BK45" i="27"/>
  <c r="BL45" i="27"/>
  <c r="BM45" i="27"/>
  <c r="BN45" i="27"/>
  <c r="BO45" i="27"/>
  <c r="BP45" i="27"/>
  <c r="AB21" i="27"/>
  <c r="E56" i="27" a="1"/>
  <c r="E56" i="27"/>
  <c r="F56" i="27" a="1"/>
  <c r="F56" i="27"/>
  <c r="G56" i="27" a="1"/>
  <c r="H56" i="27" a="1"/>
  <c r="I56" i="27" a="1"/>
  <c r="J56" i="27" a="1"/>
  <c r="K56" i="27" a="1"/>
  <c r="L56" i="27" a="1"/>
  <c r="M56" i="27" a="1"/>
  <c r="N56" i="27" a="1"/>
  <c r="O56" i="27" a="1"/>
  <c r="P56" i="27" a="1"/>
  <c r="Q56" i="27" a="1"/>
  <c r="R56" i="27" a="1"/>
  <c r="S56" i="27" a="1"/>
  <c r="T56" i="27" a="1"/>
  <c r="U56" i="27" a="1"/>
  <c r="V56" i="27" a="1"/>
  <c r="W56" i="27" a="1"/>
  <c r="X56" i="27" a="1"/>
  <c r="Y56" i="27" a="1"/>
  <c r="Z56" i="27" a="1"/>
  <c r="AA56" i="27" a="1"/>
  <c r="AB56" i="27" a="1"/>
  <c r="AC56" i="27" a="1"/>
  <c r="AD56" i="27" a="1"/>
  <c r="AE56" i="27" a="1"/>
  <c r="AF56" i="27" a="1"/>
  <c r="AG56" i="27" a="1"/>
  <c r="AH56" i="27" a="1"/>
  <c r="AI56" i="27" a="1"/>
  <c r="AJ56" i="27" a="1"/>
  <c r="AK56" i="27" a="1"/>
  <c r="AL56" i="27" a="1"/>
  <c r="AM56" i="27" a="1"/>
  <c r="AN56" i="27" a="1"/>
  <c r="AO56" i="27" a="1"/>
  <c r="AP56" i="27" a="1"/>
  <c r="AQ56" i="27" a="1"/>
  <c r="AR56" i="27" a="1"/>
  <c r="AS56" i="27" a="1"/>
  <c r="AT56" i="27" a="1"/>
  <c r="AU56" i="27" a="1"/>
  <c r="AV56" i="27" a="1"/>
  <c r="AW56" i="27" a="1"/>
  <c r="AX56" i="27" a="1"/>
  <c r="AY56" i="27" a="1"/>
  <c r="AZ56" i="27" a="1"/>
  <c r="BA56" i="27" a="1"/>
  <c r="BB56" i="27" a="1"/>
  <c r="BC56" i="27" a="1"/>
  <c r="BD56" i="27" a="1"/>
  <c r="BE56" i="27" a="1"/>
  <c r="BF56" i="27" a="1"/>
  <c r="BG56" i="27" a="1"/>
  <c r="BH56" i="27" a="1"/>
  <c r="BI56" i="27" a="1"/>
  <c r="BJ56" i="27" a="1"/>
  <c r="BK56" i="27" a="1"/>
  <c r="BL56" i="27" a="1"/>
  <c r="BM56" i="27" a="1"/>
  <c r="BN56" i="27" a="1"/>
  <c r="BO56" i="27" a="1"/>
  <c r="BP56" i="27" a="1"/>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BK56" i="27"/>
  <c r="BL56" i="27"/>
  <c r="BM56" i="27"/>
  <c r="BN56" i="27"/>
  <c r="BO56" i="27"/>
  <c r="BP56" i="27"/>
  <c r="AC21" i="27"/>
  <c r="W21" i="27"/>
  <c r="E35" i="27" a="1"/>
  <c r="E35" i="27"/>
  <c r="F35" i="27" a="1"/>
  <c r="F35" i="27"/>
  <c r="G35" i="27" a="1"/>
  <c r="H35" i="27" a="1"/>
  <c r="I35" i="27" a="1"/>
  <c r="J35" i="27" a="1"/>
  <c r="K35" i="27" a="1"/>
  <c r="L35" i="27" a="1"/>
  <c r="M35" i="27" a="1"/>
  <c r="N35" i="27" a="1"/>
  <c r="O35" i="27" a="1"/>
  <c r="P35" i="27" a="1"/>
  <c r="Q35" i="27" a="1"/>
  <c r="R35" i="27" a="1"/>
  <c r="S35" i="27" a="1"/>
  <c r="T35" i="27" a="1"/>
  <c r="U35" i="27" a="1"/>
  <c r="V35" i="27" a="1"/>
  <c r="W35" i="27" a="1"/>
  <c r="X35" i="27" a="1"/>
  <c r="Y35" i="27" a="1"/>
  <c r="Z35" i="27" a="1"/>
  <c r="AA35" i="27" a="1"/>
  <c r="AB35" i="27" a="1"/>
  <c r="AC35" i="27" a="1"/>
  <c r="AD35" i="27" a="1"/>
  <c r="AE35" i="27" a="1"/>
  <c r="AF35" i="27" a="1"/>
  <c r="AG35" i="27" a="1"/>
  <c r="AH35" i="27" a="1"/>
  <c r="AI35" i="27" a="1"/>
  <c r="AJ35" i="27" a="1"/>
  <c r="AK35" i="27" a="1"/>
  <c r="AL35" i="27" a="1"/>
  <c r="AM35" i="27" a="1"/>
  <c r="AN35" i="27" a="1"/>
  <c r="AO35" i="27" a="1"/>
  <c r="AP35" i="27" a="1"/>
  <c r="AQ35" i="27" a="1"/>
  <c r="AR35" i="27" a="1"/>
  <c r="AS35" i="27" a="1"/>
  <c r="AT35" i="27" a="1"/>
  <c r="AU35" i="27" a="1"/>
  <c r="AV35" i="27" a="1"/>
  <c r="AW35" i="27" a="1"/>
  <c r="AX35" i="27" a="1"/>
  <c r="AY35" i="27" a="1"/>
  <c r="AZ35" i="27" a="1"/>
  <c r="BA35" i="27" a="1"/>
  <c r="BB35" i="27" a="1"/>
  <c r="BC35" i="27" a="1"/>
  <c r="BD35" i="27" a="1"/>
  <c r="BE35" i="27" a="1"/>
  <c r="BF35" i="27" a="1"/>
  <c r="BG35" i="27" a="1"/>
  <c r="BH35" i="27" a="1"/>
  <c r="BI35" i="27" a="1"/>
  <c r="BJ35" i="27" a="1"/>
  <c r="BK35" i="27" a="1"/>
  <c r="BL35" i="27" a="1"/>
  <c r="BM35" i="27" a="1"/>
  <c r="BN35" i="27" a="1"/>
  <c r="BO35" i="27" a="1"/>
  <c r="BP35" i="27" a="1"/>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J35" i="27"/>
  <c r="BK35" i="27"/>
  <c r="BL35" i="27"/>
  <c r="BM35" i="27"/>
  <c r="BN35" i="27"/>
  <c r="BO35" i="27"/>
  <c r="BP35" i="27"/>
  <c r="AA22" i="27"/>
  <c r="E46" i="27" a="1"/>
  <c r="E46" i="27"/>
  <c r="F46" i="27" a="1"/>
  <c r="F46" i="27"/>
  <c r="G46" i="27" a="1"/>
  <c r="H46" i="27" a="1"/>
  <c r="I46" i="27" a="1"/>
  <c r="J46" i="27" a="1"/>
  <c r="K46" i="27" a="1"/>
  <c r="L46" i="27" a="1"/>
  <c r="M46" i="27" a="1"/>
  <c r="N46" i="27" a="1"/>
  <c r="O46" i="27" a="1"/>
  <c r="P46" i="27" a="1"/>
  <c r="Q46" i="27" a="1"/>
  <c r="R46" i="27" a="1"/>
  <c r="S46" i="27" a="1"/>
  <c r="T46" i="27" a="1"/>
  <c r="U46" i="27" a="1"/>
  <c r="V46" i="27" a="1"/>
  <c r="W46" i="27" a="1"/>
  <c r="X46" i="27" a="1"/>
  <c r="Y46" i="27" a="1"/>
  <c r="Z46" i="27" a="1"/>
  <c r="AA46" i="27" a="1"/>
  <c r="AB46" i="27" a="1"/>
  <c r="AC46" i="27" a="1"/>
  <c r="AD46" i="27" a="1"/>
  <c r="AE46" i="27" a="1"/>
  <c r="AF46" i="27" a="1"/>
  <c r="AG46" i="27" a="1"/>
  <c r="AH46" i="27" a="1"/>
  <c r="AI46" i="27" a="1"/>
  <c r="AJ46" i="27" a="1"/>
  <c r="AK46" i="27" a="1"/>
  <c r="AL46" i="27" a="1"/>
  <c r="AM46" i="27" a="1"/>
  <c r="AN46" i="27" a="1"/>
  <c r="AO46" i="27" a="1"/>
  <c r="AP46" i="27" a="1"/>
  <c r="AQ46" i="27" a="1"/>
  <c r="AR46" i="27" a="1"/>
  <c r="AS46" i="27" a="1"/>
  <c r="AT46" i="27" a="1"/>
  <c r="AU46" i="27" a="1"/>
  <c r="AV46" i="27" a="1"/>
  <c r="AW46" i="27" a="1"/>
  <c r="AX46" i="27" a="1"/>
  <c r="AY46" i="27" a="1"/>
  <c r="AZ46" i="27" a="1"/>
  <c r="BA46" i="27" a="1"/>
  <c r="BB46" i="27" a="1"/>
  <c r="BC46" i="27" a="1"/>
  <c r="BD46" i="27" a="1"/>
  <c r="BE46" i="27" a="1"/>
  <c r="BF46" i="27" a="1"/>
  <c r="BG46" i="27" a="1"/>
  <c r="BH46" i="27" a="1"/>
  <c r="BI46" i="27" a="1"/>
  <c r="BJ46" i="27" a="1"/>
  <c r="BK46" i="27" a="1"/>
  <c r="BL46" i="27" a="1"/>
  <c r="BM46" i="27" a="1"/>
  <c r="BN46" i="27" a="1"/>
  <c r="BO46" i="27" a="1"/>
  <c r="BP46" i="27" a="1"/>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J46" i="27"/>
  <c r="BK46" i="27"/>
  <c r="BL46" i="27"/>
  <c r="BM46" i="27"/>
  <c r="BN46" i="27"/>
  <c r="BO46" i="27"/>
  <c r="BP46" i="27"/>
  <c r="AB22" i="27"/>
  <c r="E57" i="27" a="1"/>
  <c r="E57" i="27"/>
  <c r="F57" i="27" a="1"/>
  <c r="F57" i="27"/>
  <c r="G57" i="27" a="1"/>
  <c r="H57" i="27" a="1"/>
  <c r="I57" i="27" a="1"/>
  <c r="J57" i="27" a="1"/>
  <c r="K57" i="27" a="1"/>
  <c r="L57" i="27" a="1"/>
  <c r="M57" i="27" a="1"/>
  <c r="N57" i="27" a="1"/>
  <c r="O57" i="27" a="1"/>
  <c r="P57" i="27" a="1"/>
  <c r="Q57" i="27" a="1"/>
  <c r="R57" i="27" a="1"/>
  <c r="S57" i="27" a="1"/>
  <c r="T57" i="27" a="1"/>
  <c r="U57" i="27" a="1"/>
  <c r="V57" i="27" a="1"/>
  <c r="W57" i="27" a="1"/>
  <c r="X57" i="27" a="1"/>
  <c r="Y57" i="27" a="1"/>
  <c r="Z57" i="27" a="1"/>
  <c r="AA57" i="27" a="1"/>
  <c r="AB57" i="27" a="1"/>
  <c r="AC57" i="27" a="1"/>
  <c r="AD57" i="27" a="1"/>
  <c r="AE57" i="27" a="1"/>
  <c r="AF57" i="27" a="1"/>
  <c r="AG57" i="27" a="1"/>
  <c r="AH57" i="27" a="1"/>
  <c r="AI57" i="27" a="1"/>
  <c r="AJ57" i="27" a="1"/>
  <c r="AK57" i="27" a="1"/>
  <c r="AL57" i="27" a="1"/>
  <c r="AM57" i="27" a="1"/>
  <c r="AN57" i="27" a="1"/>
  <c r="AO57" i="27" a="1"/>
  <c r="AP57" i="27" a="1"/>
  <c r="AQ57" i="27" a="1"/>
  <c r="AR57" i="27" a="1"/>
  <c r="AS57" i="27" a="1"/>
  <c r="AT57" i="27" a="1"/>
  <c r="AU57" i="27" a="1"/>
  <c r="AV57" i="27" a="1"/>
  <c r="AW57" i="27" a="1"/>
  <c r="AX57" i="27" a="1"/>
  <c r="AY57" i="27" a="1"/>
  <c r="AZ57" i="27" a="1"/>
  <c r="BA57" i="27" a="1"/>
  <c r="BB57" i="27" a="1"/>
  <c r="BC57" i="27" a="1"/>
  <c r="BD57" i="27" a="1"/>
  <c r="BE57" i="27" a="1"/>
  <c r="BF57" i="27" a="1"/>
  <c r="BG57" i="27" a="1"/>
  <c r="BH57" i="27" a="1"/>
  <c r="BI57" i="27" a="1"/>
  <c r="BJ57" i="27" a="1"/>
  <c r="BK57" i="27" a="1"/>
  <c r="BL57" i="27" a="1"/>
  <c r="BM57" i="27" a="1"/>
  <c r="BN57" i="27" a="1"/>
  <c r="BO57" i="27" a="1"/>
  <c r="BP57" i="27" a="1"/>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U57" i="27"/>
  <c r="AV57" i="27"/>
  <c r="AW57" i="27"/>
  <c r="AX57" i="27"/>
  <c r="AY57" i="27"/>
  <c r="AZ57" i="27"/>
  <c r="BA57" i="27"/>
  <c r="BB57" i="27"/>
  <c r="BC57" i="27"/>
  <c r="BD57" i="27"/>
  <c r="BE57" i="27"/>
  <c r="BF57" i="27"/>
  <c r="BG57" i="27"/>
  <c r="BH57" i="27"/>
  <c r="BI57" i="27"/>
  <c r="BJ57" i="27"/>
  <c r="BK57" i="27"/>
  <c r="BL57" i="27"/>
  <c r="BM57" i="27"/>
  <c r="BN57" i="27"/>
  <c r="BO57" i="27"/>
  <c r="BP57" i="27"/>
  <c r="AC22" i="27"/>
  <c r="W22" i="27"/>
  <c r="X17" i="27"/>
  <c r="X18" i="27"/>
  <c r="X19" i="27"/>
  <c r="X20" i="27"/>
  <c r="X21" i="27"/>
  <c r="X22" i="27"/>
  <c r="X23" i="27"/>
  <c r="X24" i="27"/>
  <c r="X25" i="27"/>
  <c r="E4" i="27"/>
  <c r="E5" i="27"/>
  <c r="E6" i="27"/>
  <c r="E7" i="27"/>
  <c r="E8" i="27"/>
  <c r="E9" i="27"/>
  <c r="E10" i="27"/>
  <c r="E11" i="27"/>
  <c r="E12" i="27"/>
  <c r="AO12" i="27"/>
  <c r="AO4" i="27"/>
  <c r="AO5" i="27"/>
  <c r="AO6" i="27"/>
  <c r="AO7" i="27"/>
  <c r="AO8" i="27"/>
  <c r="AO9" i="27"/>
  <c r="AO10" i="27"/>
  <c r="AO11" i="27"/>
  <c r="AP12" i="27"/>
  <c r="AP4" i="27"/>
  <c r="AP5" i="27"/>
  <c r="AP6" i="27"/>
  <c r="AP7" i="27"/>
  <c r="AP8" i="27"/>
  <c r="AP9" i="27"/>
  <c r="AP10" i="27"/>
  <c r="AP11" i="27"/>
  <c r="AM12" i="27"/>
  <c r="AM11" i="27"/>
  <c r="AM10" i="27"/>
  <c r="AM9" i="27"/>
  <c r="AM8" i="27"/>
  <c r="AM7" i="27"/>
  <c r="AM6" i="27"/>
  <c r="AM5" i="27"/>
  <c r="AM4" i="27"/>
  <c r="Q64" i="28"/>
  <c r="F4" i="28"/>
  <c r="V64" i="28"/>
  <c r="V65" i="28"/>
  <c r="V66" i="28"/>
  <c r="V67" i="28"/>
  <c r="V68" i="28"/>
  <c r="V69" i="28"/>
  <c r="V70" i="28"/>
  <c r="V71" i="28"/>
  <c r="V72" i="28"/>
  <c r="V73" i="28"/>
  <c r="V74" i="28"/>
  <c r="V75" i="28"/>
  <c r="V76" i="28"/>
  <c r="V77" i="28"/>
  <c r="V78" i="28"/>
  <c r="V79" i="28"/>
  <c r="V80" i="28"/>
  <c r="V81" i="28"/>
  <c r="V82" i="28"/>
  <c r="V83" i="28"/>
  <c r="V84" i="28"/>
  <c r="V85" i="28"/>
  <c r="V86" i="28"/>
  <c r="V87" i="28"/>
  <c r="V88" i="28"/>
  <c r="V89" i="28"/>
  <c r="V90" i="28"/>
  <c r="V91" i="28"/>
  <c r="V92" i="28"/>
  <c r="V93" i="28"/>
  <c r="V94" i="28"/>
  <c r="V95" i="28"/>
  <c r="V96" i="28"/>
  <c r="V97" i="28"/>
  <c r="V98" i="28"/>
  <c r="V99" i="28"/>
  <c r="W64" i="28"/>
  <c r="X64" i="28"/>
  <c r="Y64" i="28"/>
  <c r="AA64" i="28"/>
  <c r="AE64" i="28"/>
  <c r="W65" i="28"/>
  <c r="X65" i="28"/>
  <c r="Y65" i="28"/>
  <c r="AA65" i="28"/>
  <c r="AE65" i="28"/>
  <c r="W66" i="28"/>
  <c r="X66" i="28"/>
  <c r="Y66" i="28"/>
  <c r="AA66" i="28"/>
  <c r="AE66" i="28"/>
  <c r="W67" i="28"/>
  <c r="X67" i="28"/>
  <c r="Y67" i="28"/>
  <c r="AA67" i="28"/>
  <c r="AE67" i="28"/>
  <c r="W68" i="28"/>
  <c r="X68" i="28"/>
  <c r="Y68" i="28"/>
  <c r="AA68" i="28"/>
  <c r="AE68" i="28"/>
  <c r="W69" i="28"/>
  <c r="X69" i="28"/>
  <c r="Y69" i="28"/>
  <c r="AA69" i="28"/>
  <c r="AE69" i="28"/>
  <c r="W70" i="28"/>
  <c r="X70" i="28"/>
  <c r="Y70" i="28"/>
  <c r="AA70" i="28"/>
  <c r="AE70" i="28"/>
  <c r="W71" i="28"/>
  <c r="X71" i="28"/>
  <c r="Y71" i="28"/>
  <c r="AA71" i="28"/>
  <c r="AE71" i="28"/>
  <c r="W72" i="28"/>
  <c r="X72" i="28"/>
  <c r="Y72" i="28"/>
  <c r="AA72" i="28"/>
  <c r="AE72" i="28"/>
  <c r="W73" i="28"/>
  <c r="X73" i="28"/>
  <c r="Y73" i="28"/>
  <c r="AA73" i="28"/>
  <c r="AE73" i="28"/>
  <c r="W74" i="28"/>
  <c r="X74" i="28"/>
  <c r="Y74" i="28"/>
  <c r="AA74" i="28"/>
  <c r="AE74" i="28"/>
  <c r="W75" i="28"/>
  <c r="X75" i="28"/>
  <c r="Y75" i="28"/>
  <c r="AA75" i="28"/>
  <c r="AE75" i="28"/>
  <c r="W76" i="28"/>
  <c r="X76" i="28"/>
  <c r="Y76" i="28"/>
  <c r="AA76" i="28"/>
  <c r="AE76" i="28"/>
  <c r="W77" i="28"/>
  <c r="X77" i="28"/>
  <c r="Y77" i="28"/>
  <c r="AA77" i="28"/>
  <c r="AE77" i="28"/>
  <c r="W78" i="28"/>
  <c r="X78" i="28"/>
  <c r="Y78" i="28"/>
  <c r="AA78" i="28"/>
  <c r="AE78" i="28"/>
  <c r="W79" i="28"/>
  <c r="X79" i="28"/>
  <c r="Y79" i="28"/>
  <c r="AA79" i="28"/>
  <c r="AE79" i="28"/>
  <c r="W80" i="28"/>
  <c r="X80" i="28"/>
  <c r="Y80" i="28"/>
  <c r="AA80" i="28"/>
  <c r="AE80" i="28"/>
  <c r="W81" i="28"/>
  <c r="X81" i="28"/>
  <c r="Y81" i="28"/>
  <c r="AA81" i="28"/>
  <c r="AE81" i="28"/>
  <c r="W82" i="28"/>
  <c r="X82" i="28"/>
  <c r="Y82" i="28"/>
  <c r="AA82" i="28"/>
  <c r="AE82" i="28"/>
  <c r="W83" i="28"/>
  <c r="X83" i="28"/>
  <c r="Y83" i="28"/>
  <c r="AA83" i="28"/>
  <c r="AE83" i="28"/>
  <c r="W84" i="28"/>
  <c r="X84" i="28"/>
  <c r="Y84" i="28"/>
  <c r="AA84" i="28"/>
  <c r="AE84" i="28"/>
  <c r="W85" i="28"/>
  <c r="X85" i="28"/>
  <c r="Y85" i="28"/>
  <c r="AA85" i="28"/>
  <c r="AE85" i="28"/>
  <c r="W86" i="28"/>
  <c r="X86" i="28"/>
  <c r="Y86" i="28"/>
  <c r="AA86" i="28"/>
  <c r="AE86" i="28"/>
  <c r="W87" i="28"/>
  <c r="X87" i="28"/>
  <c r="Y87" i="28"/>
  <c r="AA87" i="28"/>
  <c r="AE87" i="28"/>
  <c r="W88" i="28"/>
  <c r="X88" i="28"/>
  <c r="Y88" i="28"/>
  <c r="AA88" i="28"/>
  <c r="AE88" i="28"/>
  <c r="W89" i="28"/>
  <c r="X89" i="28"/>
  <c r="Y89" i="28"/>
  <c r="AA89" i="28"/>
  <c r="AE89" i="28"/>
  <c r="W90" i="28"/>
  <c r="X90" i="28"/>
  <c r="Y90" i="28"/>
  <c r="AA90" i="28"/>
  <c r="AE90" i="28"/>
  <c r="W91" i="28"/>
  <c r="X91" i="28"/>
  <c r="Y91" i="28"/>
  <c r="AA91" i="28"/>
  <c r="AE91" i="28"/>
  <c r="W92" i="28"/>
  <c r="X92" i="28"/>
  <c r="Y92" i="28"/>
  <c r="AA92" i="28"/>
  <c r="AE92" i="28"/>
  <c r="W93" i="28"/>
  <c r="X93" i="28"/>
  <c r="Y93" i="28"/>
  <c r="AA93" i="28"/>
  <c r="AE93" i="28"/>
  <c r="W94" i="28"/>
  <c r="X94" i="28"/>
  <c r="Y94" i="28"/>
  <c r="AA94" i="28"/>
  <c r="AE94" i="28"/>
  <c r="W95" i="28"/>
  <c r="X95" i="28"/>
  <c r="Y95" i="28"/>
  <c r="AA95" i="28"/>
  <c r="AE95" i="28"/>
  <c r="W96" i="28"/>
  <c r="X96" i="28"/>
  <c r="Y96" i="28"/>
  <c r="AA96" i="28"/>
  <c r="AE96" i="28"/>
  <c r="W97" i="28"/>
  <c r="X97" i="28"/>
  <c r="Y97" i="28"/>
  <c r="AA97" i="28"/>
  <c r="AE97" i="28"/>
  <c r="W98" i="28"/>
  <c r="X98" i="28"/>
  <c r="Y98" i="28"/>
  <c r="AA98" i="28"/>
  <c r="AE98" i="28"/>
  <c r="W99" i="28"/>
  <c r="X99" i="28"/>
  <c r="Y99" i="28"/>
  <c r="AA99" i="28"/>
  <c r="AE99" i="28"/>
  <c r="AF64" i="28"/>
  <c r="AF65" i="28"/>
  <c r="AF66" i="28"/>
  <c r="AF67" i="28"/>
  <c r="AF68" i="28"/>
  <c r="AF69" i="28"/>
  <c r="AF70" i="28"/>
  <c r="AF71" i="28"/>
  <c r="AF72" i="28"/>
  <c r="AF73" i="28"/>
  <c r="AF74" i="28"/>
  <c r="AF75" i="28"/>
  <c r="AF76" i="28"/>
  <c r="AF77" i="28"/>
  <c r="AF78" i="28"/>
  <c r="AF79" i="28"/>
  <c r="AF80" i="28"/>
  <c r="AF81" i="28"/>
  <c r="AF82" i="28"/>
  <c r="AF83" i="28"/>
  <c r="AF84" i="28"/>
  <c r="AF85" i="28"/>
  <c r="AF86" i="28"/>
  <c r="AF87" i="28"/>
  <c r="AF88" i="28"/>
  <c r="AF89" i="28"/>
  <c r="AF90" i="28"/>
  <c r="AF91" i="28"/>
  <c r="AF92" i="28"/>
  <c r="AF93" i="28"/>
  <c r="AF94" i="28"/>
  <c r="AF95" i="28"/>
  <c r="AF96" i="28"/>
  <c r="AF97" i="28"/>
  <c r="AF98" i="28"/>
  <c r="AF99" i="28"/>
  <c r="J4" i="28"/>
  <c r="K17" i="28"/>
  <c r="G4" i="28"/>
  <c r="H4" i="28"/>
  <c r="I4" i="28"/>
  <c r="J17" i="28"/>
  <c r="H17" i="28"/>
  <c r="L17" i="28"/>
  <c r="Q65" i="28"/>
  <c r="F5" i="28"/>
  <c r="J5" i="28"/>
  <c r="K18" i="28"/>
  <c r="G5" i="28"/>
  <c r="H5" i="28"/>
  <c r="I5" i="28"/>
  <c r="J18" i="28"/>
  <c r="H18" i="28"/>
  <c r="L18" i="28"/>
  <c r="Q66" i="28"/>
  <c r="F6" i="28"/>
  <c r="J6" i="28"/>
  <c r="K19" i="28"/>
  <c r="G6" i="28"/>
  <c r="H6" i="28"/>
  <c r="I6" i="28"/>
  <c r="J19" i="28"/>
  <c r="H19" i="28"/>
  <c r="L19" i="28"/>
  <c r="Q67" i="28"/>
  <c r="F7" i="28"/>
  <c r="J7" i="28"/>
  <c r="K20" i="28"/>
  <c r="G7" i="28"/>
  <c r="H7" i="28"/>
  <c r="I7" i="28"/>
  <c r="J20" i="28"/>
  <c r="H20" i="28"/>
  <c r="L20" i="28"/>
  <c r="J8" i="28"/>
  <c r="K21" i="28"/>
  <c r="G8" i="28"/>
  <c r="H8" i="28"/>
  <c r="I8" i="28"/>
  <c r="J21" i="28"/>
  <c r="H21" i="28"/>
  <c r="L21" i="28"/>
  <c r="J9" i="28"/>
  <c r="K22" i="28"/>
  <c r="G9" i="28"/>
  <c r="H9" i="28"/>
  <c r="I9" i="28"/>
  <c r="J22" i="28"/>
  <c r="H22" i="28"/>
  <c r="L22" i="28"/>
  <c r="J10" i="28"/>
  <c r="K23" i="28"/>
  <c r="G10" i="28"/>
  <c r="H10" i="28"/>
  <c r="I10" i="28"/>
  <c r="J23" i="28"/>
  <c r="H23" i="28"/>
  <c r="L23" i="28"/>
  <c r="J11" i="28"/>
  <c r="K24" i="28"/>
  <c r="G11" i="28"/>
  <c r="H11" i="28"/>
  <c r="I11" i="28"/>
  <c r="J24" i="28"/>
  <c r="H24" i="28"/>
  <c r="L24" i="28"/>
  <c r="J12" i="28"/>
  <c r="K25" i="28"/>
  <c r="G12" i="28"/>
  <c r="H12" i="28"/>
  <c r="I12" i="28"/>
  <c r="J25" i="28"/>
  <c r="H25" i="28"/>
  <c r="L25" i="28"/>
  <c r="AI15" i="28"/>
  <c r="M17" i="28"/>
  <c r="N17" i="28" a="1"/>
  <c r="N17" i="28"/>
  <c r="O17" i="28"/>
  <c r="M18" i="28"/>
  <c r="N18" i="28" a="1"/>
  <c r="N18" i="28"/>
  <c r="O18" i="28"/>
  <c r="M19" i="28"/>
  <c r="N19" i="28" a="1"/>
  <c r="N19" i="28"/>
  <c r="O19" i="28"/>
  <c r="M20" i="28"/>
  <c r="N20" i="28" a="1"/>
  <c r="N20" i="28"/>
  <c r="O20" i="28"/>
  <c r="M21" i="28"/>
  <c r="N21" i="28" a="1"/>
  <c r="N21" i="28"/>
  <c r="O21" i="28"/>
  <c r="M22" i="28"/>
  <c r="N22" i="28" a="1"/>
  <c r="N22" i="28"/>
  <c r="O22" i="28"/>
  <c r="M23" i="28"/>
  <c r="N23" i="28" a="1"/>
  <c r="N23" i="28"/>
  <c r="O23" i="28"/>
  <c r="M24" i="28"/>
  <c r="N24" i="28" a="1"/>
  <c r="N24" i="28"/>
  <c r="O24" i="28"/>
  <c r="M25" i="28"/>
  <c r="N25" i="28" a="1"/>
  <c r="N25" i="28"/>
  <c r="O25" i="28"/>
  <c r="P17" i="28"/>
  <c r="P18" i="28"/>
  <c r="P19" i="28"/>
  <c r="P20" i="28"/>
  <c r="P21" i="28"/>
  <c r="P22" i="28"/>
  <c r="P23" i="28"/>
  <c r="P24" i="28"/>
  <c r="P25" i="28"/>
  <c r="Q17" i="28"/>
  <c r="Q18" i="28"/>
  <c r="Q19" i="28"/>
  <c r="Q20" i="28"/>
  <c r="Q21" i="28"/>
  <c r="Q22" i="28"/>
  <c r="Q23" i="28"/>
  <c r="Q24" i="28"/>
  <c r="Q25" i="28"/>
  <c r="R17" i="28"/>
  <c r="R18" i="28"/>
  <c r="R19" i="28"/>
  <c r="R20" i="28"/>
  <c r="R21" i="28"/>
  <c r="R22" i="28"/>
  <c r="R23" i="28"/>
  <c r="R24" i="28"/>
  <c r="R25" i="28"/>
  <c r="S17" i="28"/>
  <c r="S18" i="28"/>
  <c r="S19" i="28"/>
  <c r="S20" i="28"/>
  <c r="S21" i="28"/>
  <c r="S22" i="28"/>
  <c r="S23" i="28"/>
  <c r="S24" i="28"/>
  <c r="S25" i="28"/>
  <c r="T17" i="28"/>
  <c r="T18" i="28"/>
  <c r="T19" i="28"/>
  <c r="T20" i="28"/>
  <c r="T21" i="28"/>
  <c r="T22" i="28"/>
  <c r="T23" i="28"/>
  <c r="T24" i="28"/>
  <c r="T25" i="28"/>
  <c r="U17" i="28"/>
  <c r="U18" i="28"/>
  <c r="U19" i="28"/>
  <c r="U20" i="28"/>
  <c r="U21" i="28"/>
  <c r="U22" i="28"/>
  <c r="U23" i="28"/>
  <c r="U24" i="28"/>
  <c r="U25" i="28"/>
  <c r="V17" i="28"/>
  <c r="V18" i="28"/>
  <c r="V19" i="28"/>
  <c r="V20" i="28"/>
  <c r="V21" i="28"/>
  <c r="V22" i="28"/>
  <c r="V23" i="28"/>
  <c r="V24" i="28"/>
  <c r="V25"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C18"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C19"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C20"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W22" i="28"/>
  <c r="X17" i="28"/>
  <c r="X18" i="28"/>
  <c r="X19" i="28"/>
  <c r="X20" i="28"/>
  <c r="X21" i="28"/>
  <c r="X22" i="28"/>
  <c r="X23" i="28"/>
  <c r="X24" i="28"/>
  <c r="X25" i="28"/>
  <c r="E4" i="28"/>
  <c r="E5" i="28"/>
  <c r="E6" i="28"/>
  <c r="E7" i="28"/>
  <c r="E8" i="28"/>
  <c r="E9" i="28"/>
  <c r="E10" i="28"/>
  <c r="E11" i="28"/>
  <c r="E12" i="28"/>
  <c r="Q64" i="29"/>
  <c r="F4" i="29"/>
  <c r="V64" i="29"/>
  <c r="V65" i="29"/>
  <c r="V66" i="29"/>
  <c r="V67" i="29"/>
  <c r="V68" i="29"/>
  <c r="V69" i="29"/>
  <c r="V70" i="29"/>
  <c r="V71" i="29"/>
  <c r="V72" i="29"/>
  <c r="V73" i="29"/>
  <c r="V74" i="29"/>
  <c r="V75" i="29"/>
  <c r="V76" i="29"/>
  <c r="V77" i="29"/>
  <c r="V78" i="29"/>
  <c r="V79" i="29"/>
  <c r="V80" i="29"/>
  <c r="V81" i="29"/>
  <c r="V82" i="29"/>
  <c r="V83" i="29"/>
  <c r="V84" i="29"/>
  <c r="V85" i="29"/>
  <c r="V86" i="29"/>
  <c r="V87" i="29"/>
  <c r="V88" i="29"/>
  <c r="V89" i="29"/>
  <c r="V90" i="29"/>
  <c r="V91" i="29"/>
  <c r="V92" i="29"/>
  <c r="V93" i="29"/>
  <c r="V94" i="29"/>
  <c r="V95" i="29"/>
  <c r="V96" i="29"/>
  <c r="V97" i="29"/>
  <c r="V98" i="29"/>
  <c r="V99" i="29"/>
  <c r="W64" i="29"/>
  <c r="X64" i="29"/>
  <c r="Y64" i="29"/>
  <c r="AA64" i="29"/>
  <c r="AE64" i="29"/>
  <c r="W65" i="29"/>
  <c r="X65" i="29"/>
  <c r="Y65" i="29"/>
  <c r="AA65" i="29"/>
  <c r="AE65" i="29"/>
  <c r="W66" i="29"/>
  <c r="X66" i="29"/>
  <c r="Y66" i="29"/>
  <c r="AA66" i="29"/>
  <c r="AE66" i="29"/>
  <c r="W67" i="29"/>
  <c r="X67" i="29"/>
  <c r="Y67" i="29"/>
  <c r="AA67" i="29"/>
  <c r="AE67" i="29"/>
  <c r="W68" i="29"/>
  <c r="X68" i="29"/>
  <c r="Y68" i="29"/>
  <c r="AA68" i="29"/>
  <c r="AE68" i="29"/>
  <c r="W69" i="29"/>
  <c r="X69" i="29"/>
  <c r="Y69" i="29"/>
  <c r="AA69" i="29"/>
  <c r="AE69" i="29"/>
  <c r="W70" i="29"/>
  <c r="X70" i="29"/>
  <c r="Y70" i="29"/>
  <c r="AA70" i="29"/>
  <c r="AE70" i="29"/>
  <c r="W71" i="29"/>
  <c r="X71" i="29"/>
  <c r="Y71" i="29"/>
  <c r="AA71" i="29"/>
  <c r="AE71" i="29"/>
  <c r="W72" i="29"/>
  <c r="X72" i="29"/>
  <c r="Y72" i="29"/>
  <c r="AA72" i="29"/>
  <c r="AE72" i="29"/>
  <c r="W73" i="29"/>
  <c r="X73" i="29"/>
  <c r="Y73" i="29"/>
  <c r="AA73" i="29"/>
  <c r="AE73" i="29"/>
  <c r="W74" i="29"/>
  <c r="X74" i="29"/>
  <c r="Y74" i="29"/>
  <c r="AA74" i="29"/>
  <c r="AE74" i="29"/>
  <c r="W75" i="29"/>
  <c r="X75" i="29"/>
  <c r="Y75" i="29"/>
  <c r="AA75" i="29"/>
  <c r="AE75" i="29"/>
  <c r="W76" i="29"/>
  <c r="X76" i="29"/>
  <c r="Y76" i="29"/>
  <c r="AA76" i="29"/>
  <c r="AE76" i="29"/>
  <c r="W77" i="29"/>
  <c r="X77" i="29"/>
  <c r="Y77" i="29"/>
  <c r="AA77" i="29"/>
  <c r="AE77" i="29"/>
  <c r="W78" i="29"/>
  <c r="X78" i="29"/>
  <c r="Y78" i="29"/>
  <c r="AA78" i="29"/>
  <c r="AE78" i="29"/>
  <c r="W79" i="29"/>
  <c r="X79" i="29"/>
  <c r="Y79" i="29"/>
  <c r="AA79" i="29"/>
  <c r="AE79" i="29"/>
  <c r="W80" i="29"/>
  <c r="X80" i="29"/>
  <c r="Y80" i="29"/>
  <c r="AA80" i="29"/>
  <c r="AE80" i="29"/>
  <c r="W81" i="29"/>
  <c r="X81" i="29"/>
  <c r="Y81" i="29"/>
  <c r="AA81" i="29"/>
  <c r="AE81" i="29"/>
  <c r="W82" i="29"/>
  <c r="X82" i="29"/>
  <c r="Y82" i="29"/>
  <c r="AA82" i="29"/>
  <c r="AE82" i="29"/>
  <c r="W83" i="29"/>
  <c r="X83" i="29"/>
  <c r="Y83" i="29"/>
  <c r="AA83" i="29"/>
  <c r="AE83" i="29"/>
  <c r="W84" i="29"/>
  <c r="X84" i="29"/>
  <c r="Y84" i="29"/>
  <c r="AA84" i="29"/>
  <c r="AE84" i="29"/>
  <c r="W85" i="29"/>
  <c r="X85" i="29"/>
  <c r="Y85" i="29"/>
  <c r="AA85" i="29"/>
  <c r="AE85" i="29"/>
  <c r="W86" i="29"/>
  <c r="X86" i="29"/>
  <c r="Y86" i="29"/>
  <c r="AA86" i="29"/>
  <c r="AE86" i="29"/>
  <c r="W87" i="29"/>
  <c r="X87" i="29"/>
  <c r="Y87" i="29"/>
  <c r="AA87" i="29"/>
  <c r="AE87" i="29"/>
  <c r="W88" i="29"/>
  <c r="X88" i="29"/>
  <c r="Y88" i="29"/>
  <c r="AA88" i="29"/>
  <c r="AE88" i="29"/>
  <c r="W89" i="29"/>
  <c r="X89" i="29"/>
  <c r="Y89" i="29"/>
  <c r="AA89" i="29"/>
  <c r="AE89" i="29"/>
  <c r="W90" i="29"/>
  <c r="X90" i="29"/>
  <c r="Y90" i="29"/>
  <c r="AA90" i="29"/>
  <c r="AE90" i="29"/>
  <c r="W91" i="29"/>
  <c r="X91" i="29"/>
  <c r="Y91" i="29"/>
  <c r="AA91" i="29"/>
  <c r="AE91" i="29"/>
  <c r="W92" i="29"/>
  <c r="X92" i="29"/>
  <c r="Y92" i="29"/>
  <c r="AA92" i="29"/>
  <c r="AE92" i="29"/>
  <c r="W93" i="29"/>
  <c r="X93" i="29"/>
  <c r="Y93" i="29"/>
  <c r="AA93" i="29"/>
  <c r="AE93" i="29"/>
  <c r="W94" i="29"/>
  <c r="X94" i="29"/>
  <c r="Y94" i="29"/>
  <c r="AA94" i="29"/>
  <c r="AE94" i="29"/>
  <c r="W95" i="29"/>
  <c r="X95" i="29"/>
  <c r="Y95" i="29"/>
  <c r="AA95" i="29"/>
  <c r="AE95" i="29"/>
  <c r="W96" i="29"/>
  <c r="X96" i="29"/>
  <c r="Y96" i="29"/>
  <c r="AA96" i="29"/>
  <c r="AE96" i="29"/>
  <c r="W97" i="29"/>
  <c r="X97" i="29"/>
  <c r="Y97" i="29"/>
  <c r="AA97" i="29"/>
  <c r="AE97" i="29"/>
  <c r="W98" i="29"/>
  <c r="X98" i="29"/>
  <c r="Y98" i="29"/>
  <c r="AA98" i="29"/>
  <c r="AE98" i="29"/>
  <c r="W99" i="29"/>
  <c r="X99" i="29"/>
  <c r="Y99" i="29"/>
  <c r="AA99" i="29"/>
  <c r="AE99" i="29"/>
  <c r="AF64" i="29"/>
  <c r="AF65" i="29"/>
  <c r="AF66" i="29"/>
  <c r="AF67" i="29"/>
  <c r="AF68" i="29"/>
  <c r="AF69" i="29"/>
  <c r="AF70" i="29"/>
  <c r="AF71" i="29"/>
  <c r="AF72" i="29"/>
  <c r="AF73" i="29"/>
  <c r="AF74" i="29"/>
  <c r="AF75" i="29"/>
  <c r="AF76" i="29"/>
  <c r="AF77" i="29"/>
  <c r="AF78" i="29"/>
  <c r="AF79" i="29"/>
  <c r="AF80" i="29"/>
  <c r="AF81" i="29"/>
  <c r="AF82" i="29"/>
  <c r="AF83" i="29"/>
  <c r="AF84" i="29"/>
  <c r="AF85" i="29"/>
  <c r="AF86" i="29"/>
  <c r="AF87" i="29"/>
  <c r="AF88" i="29"/>
  <c r="AF89" i="29"/>
  <c r="AF90" i="29"/>
  <c r="AF91" i="29"/>
  <c r="AF92" i="29"/>
  <c r="AF93" i="29"/>
  <c r="AF94" i="29"/>
  <c r="AF95" i="29"/>
  <c r="AF96" i="29"/>
  <c r="AF97" i="29"/>
  <c r="AF98" i="29"/>
  <c r="AF99" i="29"/>
  <c r="J4" i="29"/>
  <c r="K17" i="29"/>
  <c r="G4" i="29"/>
  <c r="H4" i="29"/>
  <c r="I4" i="29"/>
  <c r="J17" i="29"/>
  <c r="H17" i="29"/>
  <c r="L17" i="29"/>
  <c r="Q65" i="29"/>
  <c r="F5" i="29"/>
  <c r="J5" i="29"/>
  <c r="K18" i="29"/>
  <c r="G5" i="29"/>
  <c r="H5" i="29"/>
  <c r="I5" i="29"/>
  <c r="J18" i="29"/>
  <c r="H18" i="29"/>
  <c r="L18" i="29"/>
  <c r="Q66" i="29"/>
  <c r="F6" i="29"/>
  <c r="J6" i="29"/>
  <c r="K19" i="29"/>
  <c r="G6" i="29"/>
  <c r="H6" i="29"/>
  <c r="I6" i="29"/>
  <c r="J19" i="29"/>
  <c r="H19" i="29"/>
  <c r="L19" i="29"/>
  <c r="Q67" i="29"/>
  <c r="F7" i="29"/>
  <c r="J7" i="29"/>
  <c r="K20" i="29"/>
  <c r="G7" i="29"/>
  <c r="H7" i="29"/>
  <c r="I7" i="29"/>
  <c r="J20" i="29"/>
  <c r="H20" i="29"/>
  <c r="L20" i="29"/>
  <c r="J8" i="29"/>
  <c r="K21" i="29"/>
  <c r="G8" i="29"/>
  <c r="H8" i="29"/>
  <c r="I8" i="29"/>
  <c r="J21" i="29"/>
  <c r="H21" i="29"/>
  <c r="L21" i="29"/>
  <c r="J9" i="29"/>
  <c r="K22" i="29"/>
  <c r="G9" i="29"/>
  <c r="H9" i="29"/>
  <c r="I9" i="29"/>
  <c r="J22" i="29"/>
  <c r="H22" i="29"/>
  <c r="L22" i="29"/>
  <c r="J10" i="29"/>
  <c r="K23" i="29"/>
  <c r="G10" i="29"/>
  <c r="H10" i="29"/>
  <c r="I10" i="29"/>
  <c r="J23" i="29"/>
  <c r="H23" i="29"/>
  <c r="L23" i="29"/>
  <c r="J11" i="29"/>
  <c r="K24" i="29"/>
  <c r="G11" i="29"/>
  <c r="H11" i="29"/>
  <c r="I11" i="29"/>
  <c r="J24" i="29"/>
  <c r="H24" i="29"/>
  <c r="L24" i="29"/>
  <c r="J12" i="29"/>
  <c r="K25" i="29"/>
  <c r="G12" i="29"/>
  <c r="H12" i="29"/>
  <c r="I12" i="29"/>
  <c r="J25" i="29"/>
  <c r="H25" i="29"/>
  <c r="L25" i="29"/>
  <c r="AI15" i="29"/>
  <c r="M17" i="29"/>
  <c r="N17" i="29" a="1"/>
  <c r="N17" i="29"/>
  <c r="O17" i="29"/>
  <c r="M18" i="29"/>
  <c r="N18" i="29" a="1"/>
  <c r="N18" i="29"/>
  <c r="O18" i="29"/>
  <c r="M19" i="29"/>
  <c r="N19" i="29" a="1"/>
  <c r="N19" i="29"/>
  <c r="O19" i="29"/>
  <c r="M20" i="29"/>
  <c r="N20" i="29" a="1"/>
  <c r="N20" i="29"/>
  <c r="O20" i="29"/>
  <c r="M21" i="29"/>
  <c r="N21" i="29" a="1"/>
  <c r="N21" i="29"/>
  <c r="O21" i="29"/>
  <c r="M22" i="29"/>
  <c r="N22" i="29" a="1"/>
  <c r="N22" i="29"/>
  <c r="O22" i="29"/>
  <c r="M23" i="29"/>
  <c r="N23" i="29" a="1"/>
  <c r="N23" i="29"/>
  <c r="O23" i="29"/>
  <c r="M24" i="29"/>
  <c r="N24" i="29" a="1"/>
  <c r="N24" i="29"/>
  <c r="O24" i="29"/>
  <c r="M25" i="29"/>
  <c r="N25" i="29" a="1"/>
  <c r="N25" i="29"/>
  <c r="O25" i="29"/>
  <c r="P17" i="29"/>
  <c r="P18" i="29"/>
  <c r="P19" i="29"/>
  <c r="P20" i="29"/>
  <c r="P21" i="29"/>
  <c r="P22" i="29"/>
  <c r="P23" i="29"/>
  <c r="P24" i="29"/>
  <c r="P25" i="29"/>
  <c r="Q17" i="29"/>
  <c r="Q18" i="29"/>
  <c r="Q19" i="29"/>
  <c r="Q20" i="29"/>
  <c r="Q21" i="29"/>
  <c r="Q22" i="29"/>
  <c r="Q23" i="29"/>
  <c r="Q24" i="29"/>
  <c r="Q25" i="29"/>
  <c r="R17" i="29"/>
  <c r="R18" i="29"/>
  <c r="R19" i="29"/>
  <c r="C20" i="29"/>
  <c r="R20" i="29"/>
  <c r="R21" i="29"/>
  <c r="R22" i="29"/>
  <c r="R23" i="29"/>
  <c r="R24" i="29"/>
  <c r="R25" i="29"/>
  <c r="S17" i="29"/>
  <c r="S18" i="29"/>
  <c r="S19" i="29"/>
  <c r="S20" i="29"/>
  <c r="S21" i="29"/>
  <c r="S22" i="29"/>
  <c r="S23" i="29"/>
  <c r="S24" i="29"/>
  <c r="S25" i="29"/>
  <c r="T17" i="29"/>
  <c r="T18" i="29"/>
  <c r="T19" i="29"/>
  <c r="T20" i="29"/>
  <c r="T21" i="29"/>
  <c r="T22" i="29"/>
  <c r="T23" i="29"/>
  <c r="T24" i="29"/>
  <c r="T25" i="29"/>
  <c r="U17" i="29"/>
  <c r="U18" i="29"/>
  <c r="U19" i="29"/>
  <c r="U20" i="29"/>
  <c r="U21" i="29"/>
  <c r="U22" i="29"/>
  <c r="U23" i="29"/>
  <c r="U24" i="29"/>
  <c r="U25" i="29"/>
  <c r="V17" i="29"/>
  <c r="V18" i="29"/>
  <c r="V19" i="29"/>
  <c r="V20" i="29"/>
  <c r="V21" i="29"/>
  <c r="V22" i="29"/>
  <c r="V23" i="29"/>
  <c r="V24" i="29"/>
  <c r="V25" i="29"/>
  <c r="C17"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C18"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C19"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W22" i="29"/>
  <c r="X17" i="29"/>
  <c r="X18" i="29"/>
  <c r="X19" i="29"/>
  <c r="X20" i="29"/>
  <c r="X21" i="29"/>
  <c r="X22" i="29"/>
  <c r="X23" i="29"/>
  <c r="X24" i="29"/>
  <c r="X25" i="29"/>
  <c r="E4" i="29"/>
  <c r="E5" i="29"/>
  <c r="E6" i="29"/>
  <c r="E7" i="29"/>
  <c r="E8" i="29"/>
  <c r="E9" i="29"/>
  <c r="E10" i="29"/>
  <c r="E11" i="29"/>
  <c r="E12" i="29"/>
  <c r="Q64" i="30"/>
  <c r="F4" i="30"/>
  <c r="V64" i="30"/>
  <c r="V65" i="30"/>
  <c r="W65" i="30"/>
  <c r="X65" i="30"/>
  <c r="Y65" i="30"/>
  <c r="AA65" i="30"/>
  <c r="AE65" i="30"/>
  <c r="V66" i="30"/>
  <c r="V67" i="30"/>
  <c r="V68" i="30"/>
  <c r="V69" i="30"/>
  <c r="V70" i="30"/>
  <c r="V71" i="30"/>
  <c r="V72" i="30"/>
  <c r="V73" i="30"/>
  <c r="V74" i="30"/>
  <c r="V75" i="30"/>
  <c r="V76" i="30"/>
  <c r="V77" i="30"/>
  <c r="V78" i="30"/>
  <c r="V79" i="30"/>
  <c r="V80" i="30"/>
  <c r="V81" i="30"/>
  <c r="V82" i="30"/>
  <c r="V83" i="30"/>
  <c r="V84" i="30"/>
  <c r="V85" i="30"/>
  <c r="V86" i="30"/>
  <c r="V87" i="30"/>
  <c r="V88" i="30"/>
  <c r="V89" i="30"/>
  <c r="V90" i="30"/>
  <c r="V91" i="30"/>
  <c r="V92" i="30"/>
  <c r="V93" i="30"/>
  <c r="V94" i="30"/>
  <c r="V95" i="30"/>
  <c r="V96" i="30"/>
  <c r="V97" i="30"/>
  <c r="V98" i="30"/>
  <c r="V99" i="30"/>
  <c r="W64" i="30"/>
  <c r="X64" i="30"/>
  <c r="Y64" i="30"/>
  <c r="AA64" i="30"/>
  <c r="AE64" i="30"/>
  <c r="W66" i="30"/>
  <c r="X66" i="30"/>
  <c r="Y66" i="30"/>
  <c r="AA66" i="30"/>
  <c r="AE66" i="30"/>
  <c r="W67" i="30"/>
  <c r="X67" i="30"/>
  <c r="Y67" i="30"/>
  <c r="AA67" i="30"/>
  <c r="AE67" i="30"/>
  <c r="W68" i="30"/>
  <c r="X68" i="30"/>
  <c r="Y68" i="30"/>
  <c r="AA68" i="30"/>
  <c r="AE68" i="30"/>
  <c r="W69" i="30"/>
  <c r="X69" i="30"/>
  <c r="Y69" i="30"/>
  <c r="AA69" i="30"/>
  <c r="AE69" i="30"/>
  <c r="W70" i="30"/>
  <c r="X70" i="30"/>
  <c r="Y70" i="30"/>
  <c r="AA70" i="30"/>
  <c r="AE70" i="30"/>
  <c r="W71" i="30"/>
  <c r="X71" i="30"/>
  <c r="Y71" i="30"/>
  <c r="AA71" i="30"/>
  <c r="AE71" i="30"/>
  <c r="W72" i="30"/>
  <c r="X72" i="30"/>
  <c r="Y72" i="30"/>
  <c r="AA72" i="30"/>
  <c r="AE72" i="30"/>
  <c r="W73" i="30"/>
  <c r="X73" i="30"/>
  <c r="Y73" i="30"/>
  <c r="AA73" i="30"/>
  <c r="AE73" i="30"/>
  <c r="W74" i="30"/>
  <c r="X74" i="30"/>
  <c r="Y74" i="30"/>
  <c r="AA74" i="30"/>
  <c r="AE74" i="30"/>
  <c r="W75" i="30"/>
  <c r="X75" i="30"/>
  <c r="Y75" i="30"/>
  <c r="AA75" i="30"/>
  <c r="AE75" i="30"/>
  <c r="W76" i="30"/>
  <c r="X76" i="30"/>
  <c r="Y76" i="30"/>
  <c r="AA76" i="30"/>
  <c r="AE76" i="30"/>
  <c r="W77" i="30"/>
  <c r="X77" i="30"/>
  <c r="Y77" i="30"/>
  <c r="AA77" i="30"/>
  <c r="AE77" i="30"/>
  <c r="W78" i="30"/>
  <c r="X78" i="30"/>
  <c r="Y78" i="30"/>
  <c r="AA78" i="30"/>
  <c r="AE78" i="30"/>
  <c r="W79" i="30"/>
  <c r="X79" i="30"/>
  <c r="Y79" i="30"/>
  <c r="AA79" i="30"/>
  <c r="AE79" i="30"/>
  <c r="W80" i="30"/>
  <c r="X80" i="30"/>
  <c r="Y80" i="30"/>
  <c r="AA80" i="30"/>
  <c r="AE80" i="30"/>
  <c r="W81" i="30"/>
  <c r="X81" i="30"/>
  <c r="Y81" i="30"/>
  <c r="AA81" i="30"/>
  <c r="AE81" i="30"/>
  <c r="W82" i="30"/>
  <c r="X82" i="30"/>
  <c r="Y82" i="30"/>
  <c r="AA82" i="30"/>
  <c r="AE82" i="30"/>
  <c r="W83" i="30"/>
  <c r="X83" i="30"/>
  <c r="Y83" i="30"/>
  <c r="AA83" i="30"/>
  <c r="AE83" i="30"/>
  <c r="W84" i="30"/>
  <c r="X84" i="30"/>
  <c r="Y84" i="30"/>
  <c r="AA84" i="30"/>
  <c r="AE84" i="30"/>
  <c r="W85" i="30"/>
  <c r="X85" i="30"/>
  <c r="Y85" i="30"/>
  <c r="AA85" i="30"/>
  <c r="AE85" i="30"/>
  <c r="W86" i="30"/>
  <c r="X86" i="30"/>
  <c r="Y86" i="30"/>
  <c r="AA86" i="30"/>
  <c r="AE86" i="30"/>
  <c r="W87" i="30"/>
  <c r="X87" i="30"/>
  <c r="Y87" i="30"/>
  <c r="AA87" i="30"/>
  <c r="AE87" i="30"/>
  <c r="W88" i="30"/>
  <c r="X88" i="30"/>
  <c r="Y88" i="30"/>
  <c r="AA88" i="30"/>
  <c r="AE88" i="30"/>
  <c r="W89" i="30"/>
  <c r="X89" i="30"/>
  <c r="Y89" i="30"/>
  <c r="AA89" i="30"/>
  <c r="AE89" i="30"/>
  <c r="W90" i="30"/>
  <c r="X90" i="30"/>
  <c r="Y90" i="30"/>
  <c r="AA90" i="30"/>
  <c r="AE90" i="30"/>
  <c r="W91" i="30"/>
  <c r="X91" i="30"/>
  <c r="Y91" i="30"/>
  <c r="AA91" i="30"/>
  <c r="AE91" i="30"/>
  <c r="W92" i="30"/>
  <c r="X92" i="30"/>
  <c r="Y92" i="30"/>
  <c r="AA92" i="30"/>
  <c r="AE92" i="30"/>
  <c r="W93" i="30"/>
  <c r="X93" i="30"/>
  <c r="Y93" i="30"/>
  <c r="AA93" i="30"/>
  <c r="AE93" i="30"/>
  <c r="W94" i="30"/>
  <c r="X94" i="30"/>
  <c r="Y94" i="30"/>
  <c r="AA94" i="30"/>
  <c r="AE94" i="30"/>
  <c r="W95" i="30"/>
  <c r="X95" i="30"/>
  <c r="Y95" i="30"/>
  <c r="AA95" i="30"/>
  <c r="AE95" i="30"/>
  <c r="W96" i="30"/>
  <c r="X96" i="30"/>
  <c r="Y96" i="30"/>
  <c r="AA96" i="30"/>
  <c r="AE96" i="30"/>
  <c r="W97" i="30"/>
  <c r="X97" i="30"/>
  <c r="Y97" i="30"/>
  <c r="AA97" i="30"/>
  <c r="AE97" i="30"/>
  <c r="W98" i="30"/>
  <c r="X98" i="30"/>
  <c r="Y98" i="30"/>
  <c r="AA98" i="30"/>
  <c r="AE98" i="30"/>
  <c r="W99" i="30"/>
  <c r="X99" i="30"/>
  <c r="Y99" i="30"/>
  <c r="AA99" i="30"/>
  <c r="AE99" i="30"/>
  <c r="AF64" i="30"/>
  <c r="AF65" i="30"/>
  <c r="AF66" i="30"/>
  <c r="AF67" i="30"/>
  <c r="AF68" i="30"/>
  <c r="AF69" i="30"/>
  <c r="AF70" i="30"/>
  <c r="AF71" i="30"/>
  <c r="AF72" i="30"/>
  <c r="AF73" i="30"/>
  <c r="AF74" i="30"/>
  <c r="AF75" i="30"/>
  <c r="AF76" i="30"/>
  <c r="AF77" i="30"/>
  <c r="AF78" i="30"/>
  <c r="AF79" i="30"/>
  <c r="AF80" i="30"/>
  <c r="AF81" i="30"/>
  <c r="AF82" i="30"/>
  <c r="AF83" i="30"/>
  <c r="AF84" i="30"/>
  <c r="AF85" i="30"/>
  <c r="AF86" i="30"/>
  <c r="AF87" i="30"/>
  <c r="AF88" i="30"/>
  <c r="AF89" i="30"/>
  <c r="AF90" i="30"/>
  <c r="AF91" i="30"/>
  <c r="AF92" i="30"/>
  <c r="AF93" i="30"/>
  <c r="AF94" i="30"/>
  <c r="AF95" i="30"/>
  <c r="AF96" i="30"/>
  <c r="AF97" i="30"/>
  <c r="AF98" i="30"/>
  <c r="AF99" i="30"/>
  <c r="J4" i="30"/>
  <c r="K17" i="30"/>
  <c r="G4" i="30"/>
  <c r="H4" i="30"/>
  <c r="I4" i="30"/>
  <c r="J17" i="30"/>
  <c r="H17" i="30"/>
  <c r="L17" i="30"/>
  <c r="Q65" i="30"/>
  <c r="F5" i="30"/>
  <c r="J5" i="30"/>
  <c r="K18" i="30"/>
  <c r="G5" i="30"/>
  <c r="H5" i="30"/>
  <c r="I5" i="30"/>
  <c r="J18" i="30"/>
  <c r="H18" i="30"/>
  <c r="L18" i="30"/>
  <c r="Q66" i="30"/>
  <c r="F6" i="30"/>
  <c r="J6" i="30"/>
  <c r="K19" i="30"/>
  <c r="G6" i="30"/>
  <c r="H6" i="30"/>
  <c r="I6" i="30"/>
  <c r="J19" i="30"/>
  <c r="H19" i="30"/>
  <c r="L19" i="30"/>
  <c r="Q67" i="30"/>
  <c r="F7" i="30"/>
  <c r="J7" i="30"/>
  <c r="K20" i="30"/>
  <c r="G7" i="30"/>
  <c r="H7" i="30"/>
  <c r="I7" i="30"/>
  <c r="J20" i="30"/>
  <c r="H20" i="30"/>
  <c r="L20" i="30"/>
  <c r="J8" i="30"/>
  <c r="K21" i="30"/>
  <c r="G8" i="30"/>
  <c r="H8" i="30"/>
  <c r="I8" i="30"/>
  <c r="J21" i="30"/>
  <c r="H21" i="30"/>
  <c r="L21" i="30"/>
  <c r="J9" i="30"/>
  <c r="K22" i="30"/>
  <c r="G9" i="30"/>
  <c r="H9" i="30"/>
  <c r="I9" i="30"/>
  <c r="J22" i="30"/>
  <c r="H22" i="30"/>
  <c r="L22" i="30"/>
  <c r="J10" i="30"/>
  <c r="K23" i="30"/>
  <c r="G10" i="30"/>
  <c r="H10" i="30"/>
  <c r="I10" i="30"/>
  <c r="J23" i="30"/>
  <c r="H23" i="30"/>
  <c r="L23" i="30"/>
  <c r="J11" i="30"/>
  <c r="K24" i="30"/>
  <c r="G11" i="30"/>
  <c r="H11" i="30"/>
  <c r="I11" i="30"/>
  <c r="J24" i="30"/>
  <c r="H24" i="30"/>
  <c r="L24" i="30"/>
  <c r="J12" i="30"/>
  <c r="K25" i="30"/>
  <c r="G12" i="30"/>
  <c r="H12" i="30"/>
  <c r="I12" i="30"/>
  <c r="J25" i="30"/>
  <c r="H25" i="30"/>
  <c r="L25" i="30"/>
  <c r="AI15" i="30"/>
  <c r="M17" i="30"/>
  <c r="N17" i="30" a="1"/>
  <c r="N17" i="30"/>
  <c r="O17" i="30"/>
  <c r="M18" i="30"/>
  <c r="N18" i="30" a="1"/>
  <c r="N18" i="30"/>
  <c r="O18" i="30"/>
  <c r="M19" i="30"/>
  <c r="N19" i="30" a="1"/>
  <c r="N19" i="30"/>
  <c r="O19" i="30"/>
  <c r="M20" i="30"/>
  <c r="N20" i="30" a="1"/>
  <c r="N20" i="30"/>
  <c r="O20" i="30"/>
  <c r="M21" i="30"/>
  <c r="N21" i="30" a="1"/>
  <c r="N21" i="30"/>
  <c r="O21" i="30"/>
  <c r="M22" i="30"/>
  <c r="N22" i="30" a="1"/>
  <c r="N22" i="30"/>
  <c r="O22" i="30"/>
  <c r="M23" i="30"/>
  <c r="N23" i="30" a="1"/>
  <c r="N23" i="30"/>
  <c r="O23" i="30"/>
  <c r="M24" i="30"/>
  <c r="N24" i="30" a="1"/>
  <c r="N24" i="30"/>
  <c r="O24" i="30"/>
  <c r="M25" i="30"/>
  <c r="N25" i="30" a="1"/>
  <c r="N25" i="30"/>
  <c r="O25" i="30"/>
  <c r="P17" i="30"/>
  <c r="P18" i="30"/>
  <c r="P19" i="30"/>
  <c r="P20" i="30"/>
  <c r="P21" i="30"/>
  <c r="P22" i="30"/>
  <c r="P23" i="30"/>
  <c r="P24" i="30"/>
  <c r="P25" i="30"/>
  <c r="Q17" i="30"/>
  <c r="Q18" i="30"/>
  <c r="Q19" i="30"/>
  <c r="C20" i="30"/>
  <c r="Q20" i="30"/>
  <c r="Q21" i="30"/>
  <c r="Q22" i="30"/>
  <c r="Q23" i="30"/>
  <c r="Q24" i="30"/>
  <c r="Q25" i="30"/>
  <c r="R17" i="30"/>
  <c r="R18" i="30"/>
  <c r="R19" i="30"/>
  <c r="R20" i="30"/>
  <c r="R21" i="30"/>
  <c r="R22" i="30"/>
  <c r="R23" i="30"/>
  <c r="R24" i="30"/>
  <c r="R25" i="30"/>
  <c r="S17" i="30"/>
  <c r="S18" i="30"/>
  <c r="S19" i="30"/>
  <c r="S20" i="30"/>
  <c r="S21" i="30"/>
  <c r="S22" i="30"/>
  <c r="S23" i="30"/>
  <c r="S24" i="30"/>
  <c r="S25" i="30"/>
  <c r="T17" i="30"/>
  <c r="T18" i="30"/>
  <c r="T19" i="30"/>
  <c r="T20" i="30"/>
  <c r="T21" i="30"/>
  <c r="T22" i="30"/>
  <c r="T23" i="30"/>
  <c r="T24" i="30"/>
  <c r="T25" i="30"/>
  <c r="U17" i="30"/>
  <c r="U18" i="30"/>
  <c r="U19" i="30"/>
  <c r="U20" i="30"/>
  <c r="U21" i="30"/>
  <c r="U22" i="30"/>
  <c r="U23" i="30"/>
  <c r="U24" i="30"/>
  <c r="U25" i="30"/>
  <c r="V17" i="30"/>
  <c r="V18" i="30"/>
  <c r="V19" i="30"/>
  <c r="V20" i="30"/>
  <c r="V21" i="30"/>
  <c r="V22" i="30"/>
  <c r="V23" i="30"/>
  <c r="V24" i="30"/>
  <c r="V25" i="30"/>
  <c r="C17" i="30"/>
  <c r="E30" i="30" a="1"/>
  <c r="E30" i="30"/>
  <c r="F30" i="30" a="1"/>
  <c r="F30" i="30"/>
  <c r="G30" i="30" a="1"/>
  <c r="H30" i="30" a="1"/>
  <c r="I30" i="30" a="1"/>
  <c r="J30" i="30" a="1"/>
  <c r="K30" i="30" a="1"/>
  <c r="L30" i="30" a="1"/>
  <c r="M30" i="30" a="1"/>
  <c r="N30" i="30" a="1"/>
  <c r="O30" i="30" a="1"/>
  <c r="P30" i="30" a="1"/>
  <c r="Q30" i="30" a="1"/>
  <c r="R30" i="30" a="1"/>
  <c r="S30" i="30" a="1"/>
  <c r="T30" i="30" a="1"/>
  <c r="U30" i="30" a="1"/>
  <c r="V30" i="30" a="1"/>
  <c r="W30" i="30" a="1"/>
  <c r="X30" i="30" a="1"/>
  <c r="Y30" i="30" a="1"/>
  <c r="Z30" i="30" a="1"/>
  <c r="AA30" i="30" a="1"/>
  <c r="AB30" i="30" a="1"/>
  <c r="AC30" i="30" a="1"/>
  <c r="AD30" i="30" a="1"/>
  <c r="AE30" i="30" a="1"/>
  <c r="AF30" i="30" a="1"/>
  <c r="AG30" i="30" a="1"/>
  <c r="AH30" i="30" a="1"/>
  <c r="AI30" i="30" a="1"/>
  <c r="AJ30" i="30" a="1"/>
  <c r="AK30" i="30" a="1"/>
  <c r="AL30" i="30" a="1"/>
  <c r="AM30" i="30" a="1"/>
  <c r="AN30" i="30" a="1"/>
  <c r="AO30" i="30" a="1"/>
  <c r="AP30" i="30" a="1"/>
  <c r="AQ30" i="30" a="1"/>
  <c r="AR30" i="30" a="1"/>
  <c r="AS30" i="30" a="1"/>
  <c r="AT30" i="30" a="1"/>
  <c r="AU30" i="30" a="1"/>
  <c r="AV30" i="30" a="1"/>
  <c r="AW30" i="30" a="1"/>
  <c r="AX30" i="30" a="1"/>
  <c r="AY30" i="30" a="1"/>
  <c r="AZ30" i="30" a="1"/>
  <c r="BA30" i="30" a="1"/>
  <c r="BB30" i="30" a="1"/>
  <c r="BC30" i="30" a="1"/>
  <c r="BD30" i="30" a="1"/>
  <c r="BE30" i="30" a="1"/>
  <c r="BF30" i="30" a="1"/>
  <c r="BG30" i="30" a="1"/>
  <c r="BH30" i="30" a="1"/>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C18" i="30"/>
  <c r="E31" i="30" a="1"/>
  <c r="E31" i="30"/>
  <c r="F31" i="30" a="1"/>
  <c r="F31" i="30"/>
  <c r="G31" i="30" a="1"/>
  <c r="H31" i="30" a="1"/>
  <c r="I31" i="30" a="1"/>
  <c r="J31" i="30" a="1"/>
  <c r="K31" i="30" a="1"/>
  <c r="L31" i="30" a="1"/>
  <c r="M31" i="30" a="1"/>
  <c r="N31" i="30" a="1"/>
  <c r="O31" i="30" a="1"/>
  <c r="P31" i="30" a="1"/>
  <c r="Q31" i="30" a="1"/>
  <c r="R31" i="30" a="1"/>
  <c r="S31" i="30" a="1"/>
  <c r="T31" i="30" a="1"/>
  <c r="U31" i="30" a="1"/>
  <c r="V31" i="30" a="1"/>
  <c r="W31" i="30" a="1"/>
  <c r="X31" i="30" a="1"/>
  <c r="Y31" i="30" a="1"/>
  <c r="Z31" i="30" a="1"/>
  <c r="AA31" i="30" a="1"/>
  <c r="AB31" i="30" a="1"/>
  <c r="AC31" i="30" a="1"/>
  <c r="AD31" i="30" a="1"/>
  <c r="AE31" i="30" a="1"/>
  <c r="AF31" i="30" a="1"/>
  <c r="AG31" i="30" a="1"/>
  <c r="AH31" i="30" a="1"/>
  <c r="AI31" i="30" a="1"/>
  <c r="AJ31" i="30" a="1"/>
  <c r="AK31" i="30" a="1"/>
  <c r="AL31" i="30" a="1"/>
  <c r="AM31" i="30" a="1"/>
  <c r="AN31" i="30" a="1"/>
  <c r="AO31" i="30" a="1"/>
  <c r="AP31" i="30" a="1"/>
  <c r="AQ31" i="30" a="1"/>
  <c r="AR31" i="30" a="1"/>
  <c r="AS31" i="30" a="1"/>
  <c r="AT31" i="30" a="1"/>
  <c r="AU31" i="30" a="1"/>
  <c r="AV31" i="30" a="1"/>
  <c r="AW31" i="30" a="1"/>
  <c r="AX31" i="30" a="1"/>
  <c r="AY31" i="30" a="1"/>
  <c r="AZ31" i="30" a="1"/>
  <c r="BA31" i="30" a="1"/>
  <c r="BB31" i="30" a="1"/>
  <c r="BC31" i="30" a="1"/>
  <c r="BD31" i="30" a="1"/>
  <c r="BE31" i="30" a="1"/>
  <c r="BF31" i="30" a="1"/>
  <c r="BG31" i="30" a="1"/>
  <c r="BH31" i="30" a="1"/>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C19" i="30"/>
  <c r="E32" i="30" a="1"/>
  <c r="E32" i="30"/>
  <c r="F32" i="30" a="1"/>
  <c r="F32" i="30"/>
  <c r="G32" i="30" a="1"/>
  <c r="H32" i="30" a="1"/>
  <c r="I32" i="30" a="1"/>
  <c r="J32" i="30" a="1"/>
  <c r="K32" i="30" a="1"/>
  <c r="L32" i="30" a="1"/>
  <c r="M32" i="30" a="1"/>
  <c r="N32" i="30" a="1"/>
  <c r="O32" i="30" a="1"/>
  <c r="P32" i="30" a="1"/>
  <c r="Q32" i="30" a="1"/>
  <c r="R32" i="30" a="1"/>
  <c r="S32" i="30" a="1"/>
  <c r="T32" i="30" a="1"/>
  <c r="U32" i="30" a="1"/>
  <c r="V32" i="30" a="1"/>
  <c r="W32" i="30" a="1"/>
  <c r="X32" i="30" a="1"/>
  <c r="Y32" i="30" a="1"/>
  <c r="Z32" i="30" a="1"/>
  <c r="AA32" i="30" a="1"/>
  <c r="AB32" i="30" a="1"/>
  <c r="AC32" i="30" a="1"/>
  <c r="AD32" i="30" a="1"/>
  <c r="AE32" i="30" a="1"/>
  <c r="AF32" i="30" a="1"/>
  <c r="AG32" i="30" a="1"/>
  <c r="AH32" i="30" a="1"/>
  <c r="AI32" i="30" a="1"/>
  <c r="AJ32" i="30" a="1"/>
  <c r="AK32" i="30" a="1"/>
  <c r="AL32" i="30" a="1"/>
  <c r="AM32" i="30" a="1"/>
  <c r="AN32" i="30" a="1"/>
  <c r="AO32" i="30" a="1"/>
  <c r="AP32" i="30" a="1"/>
  <c r="AQ32" i="30" a="1"/>
  <c r="AR32" i="30" a="1"/>
  <c r="AS32" i="30" a="1"/>
  <c r="AT32" i="30" a="1"/>
  <c r="AU32" i="30" a="1"/>
  <c r="AV32" i="30" a="1"/>
  <c r="AW32" i="30" a="1"/>
  <c r="AX32" i="30" a="1"/>
  <c r="AY32" i="30" a="1"/>
  <c r="AZ32" i="30" a="1"/>
  <c r="BA32" i="30" a="1"/>
  <c r="BB32" i="30" a="1"/>
  <c r="BC32" i="30" a="1"/>
  <c r="BD32" i="30" a="1"/>
  <c r="BE32" i="30" a="1"/>
  <c r="BF32" i="30" a="1"/>
  <c r="BG32" i="30" a="1"/>
  <c r="BH32" i="30" a="1"/>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W22" i="30"/>
  <c r="X17" i="30"/>
  <c r="X18" i="30"/>
  <c r="X19" i="30"/>
  <c r="X20" i="30"/>
  <c r="X21" i="30"/>
  <c r="X22" i="30"/>
  <c r="X23" i="30"/>
  <c r="X24" i="30"/>
  <c r="X25" i="30"/>
  <c r="E4" i="30"/>
  <c r="E5" i="30"/>
  <c r="E6" i="30"/>
  <c r="E7" i="30"/>
  <c r="E8" i="30"/>
  <c r="E9" i="30"/>
  <c r="E10" i="30"/>
  <c r="E11" i="30"/>
  <c r="E12" i="30"/>
  <c r="Q64" i="31"/>
  <c r="F4" i="31"/>
  <c r="V64" i="31"/>
  <c r="W64" i="31"/>
  <c r="X64" i="31"/>
  <c r="Y64" i="31"/>
  <c r="AA64" i="31"/>
  <c r="AE64" i="31"/>
  <c r="V65" i="31"/>
  <c r="V66" i="31"/>
  <c r="V67" i="31"/>
  <c r="V68" i="31"/>
  <c r="V69" i="31"/>
  <c r="V70" i="31"/>
  <c r="V71" i="31"/>
  <c r="V72" i="31"/>
  <c r="V73" i="31"/>
  <c r="V74" i="31"/>
  <c r="V75" i="31"/>
  <c r="V76" i="31"/>
  <c r="V77" i="31"/>
  <c r="V78" i="31"/>
  <c r="V79" i="31"/>
  <c r="V80" i="31"/>
  <c r="V81" i="31"/>
  <c r="V82" i="31"/>
  <c r="V83" i="31"/>
  <c r="V84" i="31"/>
  <c r="V85" i="31"/>
  <c r="V86" i="31"/>
  <c r="V87" i="31"/>
  <c r="V88" i="31"/>
  <c r="V89" i="31"/>
  <c r="V90" i="31"/>
  <c r="V91" i="31"/>
  <c r="V92" i="31"/>
  <c r="V93" i="31"/>
  <c r="V94" i="31"/>
  <c r="V95" i="31"/>
  <c r="V96" i="31"/>
  <c r="V97" i="31"/>
  <c r="V98" i="31"/>
  <c r="V99" i="31"/>
  <c r="W65" i="31"/>
  <c r="X65" i="31"/>
  <c r="Y65" i="31"/>
  <c r="AA65" i="31"/>
  <c r="AE65" i="31"/>
  <c r="W66" i="31"/>
  <c r="X66" i="31"/>
  <c r="Y66" i="31"/>
  <c r="AA66" i="31"/>
  <c r="AE66" i="31"/>
  <c r="W67" i="31"/>
  <c r="X67" i="31"/>
  <c r="Y67" i="31"/>
  <c r="AA67" i="31"/>
  <c r="AE67" i="31"/>
  <c r="W68" i="31"/>
  <c r="X68" i="31"/>
  <c r="Y68" i="31"/>
  <c r="AA68" i="31"/>
  <c r="AE68" i="31"/>
  <c r="W69" i="31"/>
  <c r="X69" i="31"/>
  <c r="Y69" i="31"/>
  <c r="AA69" i="31"/>
  <c r="AE69" i="31"/>
  <c r="W70" i="31"/>
  <c r="X70" i="31"/>
  <c r="Y70" i="31"/>
  <c r="AA70" i="31"/>
  <c r="AE70" i="31"/>
  <c r="W71" i="31"/>
  <c r="X71" i="31"/>
  <c r="Y71" i="31"/>
  <c r="AA71" i="31"/>
  <c r="AE71" i="31"/>
  <c r="W72" i="31"/>
  <c r="X72" i="31"/>
  <c r="Y72" i="31"/>
  <c r="AA72" i="31"/>
  <c r="AE72" i="31"/>
  <c r="W73" i="31"/>
  <c r="X73" i="31"/>
  <c r="Y73" i="31"/>
  <c r="AA73" i="31"/>
  <c r="AE73" i="31"/>
  <c r="W74" i="31"/>
  <c r="X74" i="31"/>
  <c r="Y74" i="31"/>
  <c r="AA74" i="31"/>
  <c r="AE74" i="31"/>
  <c r="W75" i="31"/>
  <c r="X75" i="31"/>
  <c r="Y75" i="31"/>
  <c r="AA75" i="31"/>
  <c r="AE75" i="31"/>
  <c r="W76" i="31"/>
  <c r="X76" i="31"/>
  <c r="Y76" i="31"/>
  <c r="AA76" i="31"/>
  <c r="AE76" i="31"/>
  <c r="W77" i="31"/>
  <c r="X77" i="31"/>
  <c r="Y77" i="31"/>
  <c r="AA77" i="31"/>
  <c r="AE77" i="31"/>
  <c r="W78" i="31"/>
  <c r="X78" i="31"/>
  <c r="Y78" i="31"/>
  <c r="AA78" i="31"/>
  <c r="AE78" i="31"/>
  <c r="W79" i="31"/>
  <c r="X79" i="31"/>
  <c r="Y79" i="31"/>
  <c r="AA79" i="31"/>
  <c r="AE79" i="31"/>
  <c r="W80" i="31"/>
  <c r="X80" i="31"/>
  <c r="Y80" i="31"/>
  <c r="AA80" i="31"/>
  <c r="AE80" i="31"/>
  <c r="W81" i="31"/>
  <c r="X81" i="31"/>
  <c r="Y81" i="31"/>
  <c r="AA81" i="31"/>
  <c r="AE81" i="31"/>
  <c r="W82" i="31"/>
  <c r="X82" i="31"/>
  <c r="Y82" i="31"/>
  <c r="AA82" i="31"/>
  <c r="AE82" i="31"/>
  <c r="W83" i="31"/>
  <c r="X83" i="31"/>
  <c r="Y83" i="31"/>
  <c r="AA83" i="31"/>
  <c r="AE83" i="31"/>
  <c r="W84" i="31"/>
  <c r="X84" i="31"/>
  <c r="Y84" i="31"/>
  <c r="AA84" i="31"/>
  <c r="AE84" i="31"/>
  <c r="W85" i="31"/>
  <c r="X85" i="31"/>
  <c r="Y85" i="31"/>
  <c r="AA85" i="31"/>
  <c r="AE85" i="31"/>
  <c r="W86" i="31"/>
  <c r="X86" i="31"/>
  <c r="Y86" i="31"/>
  <c r="AA86" i="31"/>
  <c r="AE86" i="31"/>
  <c r="W87" i="31"/>
  <c r="X87" i="31"/>
  <c r="Y87" i="31"/>
  <c r="AA87" i="31"/>
  <c r="AE87" i="31"/>
  <c r="W88" i="31"/>
  <c r="X88" i="31"/>
  <c r="Y88" i="31"/>
  <c r="AA88" i="31"/>
  <c r="AE88" i="31"/>
  <c r="W89" i="31"/>
  <c r="X89" i="31"/>
  <c r="Y89" i="31"/>
  <c r="AA89" i="31"/>
  <c r="AE89" i="31"/>
  <c r="W90" i="31"/>
  <c r="X90" i="31"/>
  <c r="Y90" i="31"/>
  <c r="AA90" i="31"/>
  <c r="AE90" i="31"/>
  <c r="W91" i="31"/>
  <c r="X91" i="31"/>
  <c r="Y91" i="31"/>
  <c r="AA91" i="31"/>
  <c r="AE91" i="31"/>
  <c r="W92" i="31"/>
  <c r="X92" i="31"/>
  <c r="Y92" i="31"/>
  <c r="AA92" i="31"/>
  <c r="AE92" i="31"/>
  <c r="W93" i="31"/>
  <c r="X93" i="31"/>
  <c r="Y93" i="31"/>
  <c r="AA93" i="31"/>
  <c r="AE93" i="31"/>
  <c r="W94" i="31"/>
  <c r="X94" i="31"/>
  <c r="Y94" i="31"/>
  <c r="AA94" i="31"/>
  <c r="AE94" i="31"/>
  <c r="W95" i="31"/>
  <c r="X95" i="31"/>
  <c r="Y95" i="31"/>
  <c r="AA95" i="31"/>
  <c r="AE95" i="31"/>
  <c r="W96" i="31"/>
  <c r="X96" i="31"/>
  <c r="Y96" i="31"/>
  <c r="AA96" i="31"/>
  <c r="AE96" i="31"/>
  <c r="W97" i="31"/>
  <c r="X97" i="31"/>
  <c r="Y97" i="31"/>
  <c r="AA97" i="31"/>
  <c r="AE97" i="31"/>
  <c r="W98" i="31"/>
  <c r="X98" i="31"/>
  <c r="Y98" i="31"/>
  <c r="AA98" i="31"/>
  <c r="AE98" i="31"/>
  <c r="W99" i="31"/>
  <c r="X99" i="31"/>
  <c r="Y99" i="31"/>
  <c r="AA99" i="31"/>
  <c r="AE99" i="31"/>
  <c r="AF64" i="31"/>
  <c r="AF65" i="31"/>
  <c r="AF66" i="31"/>
  <c r="AF67" i="31"/>
  <c r="AF68" i="31"/>
  <c r="AF69" i="31"/>
  <c r="AF70" i="31"/>
  <c r="AF71" i="31"/>
  <c r="AF72" i="31"/>
  <c r="AF73" i="31"/>
  <c r="AF74" i="31"/>
  <c r="AF75" i="31"/>
  <c r="AF76" i="31"/>
  <c r="AF77" i="31"/>
  <c r="AF78" i="31"/>
  <c r="AF79" i="31"/>
  <c r="AF80" i="31"/>
  <c r="AF81" i="31"/>
  <c r="AF82" i="31"/>
  <c r="AF83" i="31"/>
  <c r="AF84" i="31"/>
  <c r="AF85" i="31"/>
  <c r="AF86" i="31"/>
  <c r="AF87" i="31"/>
  <c r="AF88" i="31"/>
  <c r="AF89" i="31"/>
  <c r="AF90" i="31"/>
  <c r="AF91" i="31"/>
  <c r="AF92" i="31"/>
  <c r="AF93" i="31"/>
  <c r="AF94" i="31"/>
  <c r="AF95" i="31"/>
  <c r="AF96" i="31"/>
  <c r="AF97" i="31"/>
  <c r="AF98" i="31"/>
  <c r="AF99" i="31"/>
  <c r="J4" i="31"/>
  <c r="K17" i="31"/>
  <c r="G4" i="31"/>
  <c r="H4" i="31"/>
  <c r="I4" i="31"/>
  <c r="J17" i="31"/>
  <c r="H17" i="31"/>
  <c r="L17" i="31"/>
  <c r="Q65" i="31"/>
  <c r="F5" i="31"/>
  <c r="J5" i="31"/>
  <c r="K18" i="31"/>
  <c r="G5" i="31"/>
  <c r="H5" i="31"/>
  <c r="I5" i="31"/>
  <c r="J18" i="31"/>
  <c r="H18" i="31"/>
  <c r="L18" i="31"/>
  <c r="Q66" i="31"/>
  <c r="F6" i="31"/>
  <c r="J6" i="31"/>
  <c r="K19" i="31"/>
  <c r="G6" i="31"/>
  <c r="H6" i="31"/>
  <c r="I6" i="31"/>
  <c r="J19" i="31"/>
  <c r="H19" i="31"/>
  <c r="L19" i="31"/>
  <c r="Q67" i="31"/>
  <c r="F7" i="31"/>
  <c r="J7" i="31"/>
  <c r="K20" i="31"/>
  <c r="G7" i="31"/>
  <c r="H7" i="31"/>
  <c r="I7" i="31"/>
  <c r="J20" i="31"/>
  <c r="H20" i="31"/>
  <c r="L20" i="31"/>
  <c r="J8" i="31"/>
  <c r="K21" i="31"/>
  <c r="G8" i="31"/>
  <c r="H8" i="31"/>
  <c r="I8" i="31"/>
  <c r="J21" i="31"/>
  <c r="H21" i="31"/>
  <c r="L21" i="31"/>
  <c r="J9" i="31"/>
  <c r="K22" i="31"/>
  <c r="G9" i="31"/>
  <c r="H9" i="31"/>
  <c r="I9" i="31"/>
  <c r="J22" i="31"/>
  <c r="H22" i="31"/>
  <c r="L22" i="31"/>
  <c r="J10" i="31"/>
  <c r="K23" i="31"/>
  <c r="G10" i="31"/>
  <c r="H10" i="31"/>
  <c r="I10" i="31"/>
  <c r="J23" i="31"/>
  <c r="H23" i="31"/>
  <c r="L23" i="31"/>
  <c r="J11" i="31"/>
  <c r="K24" i="31"/>
  <c r="G11" i="31"/>
  <c r="H11" i="31"/>
  <c r="I11" i="31"/>
  <c r="J24" i="31"/>
  <c r="H24" i="31"/>
  <c r="L24" i="31"/>
  <c r="J12" i="31"/>
  <c r="K25" i="31"/>
  <c r="G12" i="31"/>
  <c r="H12" i="31"/>
  <c r="I12" i="31"/>
  <c r="J25" i="31"/>
  <c r="H25" i="31"/>
  <c r="L25" i="31"/>
  <c r="AI15" i="31"/>
  <c r="M17" i="31"/>
  <c r="N17" i="31" a="1"/>
  <c r="N17" i="31"/>
  <c r="C17" i="31"/>
  <c r="O17" i="31"/>
  <c r="M18" i="31"/>
  <c r="N18" i="31" a="1"/>
  <c r="N18" i="31"/>
  <c r="C18" i="31"/>
  <c r="O18" i="31"/>
  <c r="M19" i="31"/>
  <c r="N19" i="31" a="1"/>
  <c r="N19" i="31"/>
  <c r="C19" i="31"/>
  <c r="O19" i="31"/>
  <c r="M20" i="31"/>
  <c r="N20" i="31" a="1"/>
  <c r="N20" i="31"/>
  <c r="C20" i="31"/>
  <c r="O20" i="31"/>
  <c r="M21" i="31"/>
  <c r="N21" i="31" a="1"/>
  <c r="N21" i="31"/>
  <c r="O21" i="31"/>
  <c r="M22" i="31"/>
  <c r="N22" i="31" a="1"/>
  <c r="N22" i="31"/>
  <c r="O22" i="31"/>
  <c r="M23" i="31"/>
  <c r="N23" i="31" a="1"/>
  <c r="N23" i="31"/>
  <c r="O23" i="31"/>
  <c r="M24" i="31"/>
  <c r="N24" i="31" a="1"/>
  <c r="N24" i="31"/>
  <c r="O24" i="31"/>
  <c r="M25" i="31"/>
  <c r="N25" i="31" a="1"/>
  <c r="N25" i="31"/>
  <c r="O25" i="31"/>
  <c r="P17" i="31"/>
  <c r="P18" i="31"/>
  <c r="P19" i="31"/>
  <c r="P20" i="31"/>
  <c r="P21" i="31"/>
  <c r="P22" i="31"/>
  <c r="P23" i="31"/>
  <c r="P24" i="31"/>
  <c r="P25" i="31"/>
  <c r="Q17" i="31"/>
  <c r="Q18" i="31"/>
  <c r="Q19" i="31"/>
  <c r="Q20" i="31"/>
  <c r="Q21" i="31"/>
  <c r="Q22" i="31"/>
  <c r="Q23" i="31"/>
  <c r="Q24" i="31"/>
  <c r="Q25" i="31"/>
  <c r="R17" i="31"/>
  <c r="R18" i="31"/>
  <c r="R19" i="31"/>
  <c r="R20" i="31"/>
  <c r="R21" i="31"/>
  <c r="R22" i="31"/>
  <c r="R23" i="31"/>
  <c r="R24" i="31"/>
  <c r="R25" i="31"/>
  <c r="S17" i="31"/>
  <c r="S18" i="31"/>
  <c r="S19" i="31"/>
  <c r="S20" i="31"/>
  <c r="S21" i="31"/>
  <c r="S22" i="31"/>
  <c r="S23" i="31"/>
  <c r="S24" i="31"/>
  <c r="S25" i="31"/>
  <c r="T17" i="31"/>
  <c r="T18" i="31"/>
  <c r="T19" i="31"/>
  <c r="T20" i="31"/>
  <c r="T21" i="31"/>
  <c r="T22" i="31"/>
  <c r="T23" i="31"/>
  <c r="T24" i="31"/>
  <c r="T25" i="31"/>
  <c r="U17" i="31"/>
  <c r="U18" i="31"/>
  <c r="U19" i="31"/>
  <c r="U20" i="31"/>
  <c r="U21" i="31"/>
  <c r="U22" i="31"/>
  <c r="U23" i="31"/>
  <c r="U24" i="31"/>
  <c r="U25" i="31"/>
  <c r="V17" i="31"/>
  <c r="V18" i="31"/>
  <c r="V19" i="31"/>
  <c r="V20" i="31"/>
  <c r="V21" i="31"/>
  <c r="V22" i="31"/>
  <c r="V23" i="31"/>
  <c r="V24" i="31"/>
  <c r="V25" i="31"/>
  <c r="BR52" i="31"/>
  <c r="BS51" i="31"/>
  <c r="BT51" i="31"/>
  <c r="BT52" i="31"/>
  <c r="BU51" i="31"/>
  <c r="BU52" i="31"/>
  <c r="BV51" i="31"/>
  <c r="BV52" i="31"/>
  <c r="BW52" i="31"/>
  <c r="BX52" i="31"/>
  <c r="BY52" i="31"/>
  <c r="BZ52" i="31"/>
  <c r="CA52" i="31"/>
  <c r="BR53" i="31"/>
  <c r="BS53" i="31"/>
  <c r="BU53" i="31"/>
  <c r="BV53" i="31"/>
  <c r="BW53" i="31"/>
  <c r="BX53" i="31"/>
  <c r="BY53" i="31"/>
  <c r="BZ53" i="31"/>
  <c r="CA53" i="31"/>
  <c r="BR54" i="31"/>
  <c r="BS54" i="31"/>
  <c r="BT54" i="31"/>
  <c r="BV54" i="31"/>
  <c r="BW54" i="31"/>
  <c r="BX54" i="31"/>
  <c r="BY54" i="31"/>
  <c r="BZ54" i="31"/>
  <c r="CA54" i="31"/>
  <c r="BR55" i="31"/>
  <c r="BS55" i="31"/>
  <c r="BT55" i="31"/>
  <c r="BU55" i="31"/>
  <c r="BW55" i="31"/>
  <c r="BX55" i="31"/>
  <c r="BY55" i="31"/>
  <c r="BZ55" i="31"/>
  <c r="CA55" i="31"/>
  <c r="BS56" i="31"/>
  <c r="BT56" i="31"/>
  <c r="BU56" i="31"/>
  <c r="BV56" i="31"/>
  <c r="BX56" i="31"/>
  <c r="BY56" i="31"/>
  <c r="BZ56" i="31"/>
  <c r="CA56" i="31"/>
  <c r="BS57" i="31"/>
  <c r="BT57" i="31"/>
  <c r="BU57" i="31"/>
  <c r="BV57" i="31"/>
  <c r="BW57" i="31"/>
  <c r="BY57" i="31"/>
  <c r="BZ57" i="31"/>
  <c r="CA57" i="31"/>
  <c r="BS58" i="31"/>
  <c r="BT58" i="31"/>
  <c r="BU58" i="31"/>
  <c r="BV58" i="31"/>
  <c r="BW58" i="31"/>
  <c r="BX58" i="31"/>
  <c r="BZ58" i="31"/>
  <c r="CA58" i="31"/>
  <c r="BS59" i="31"/>
  <c r="BT59" i="31"/>
  <c r="BU59" i="31"/>
  <c r="BV59" i="31"/>
  <c r="BW59" i="31"/>
  <c r="BX59" i="31"/>
  <c r="BY59" i="31"/>
  <c r="CA59" i="31"/>
  <c r="BS60" i="31"/>
  <c r="BT60" i="31"/>
  <c r="BU60" i="31"/>
  <c r="BV60" i="31"/>
  <c r="BW60" i="31"/>
  <c r="BX60" i="31"/>
  <c r="BY60" i="31"/>
  <c r="BZ60" i="31"/>
  <c r="E30" i="31" a="1"/>
  <c r="E30" i="31"/>
  <c r="F30" i="31" a="1"/>
  <c r="F30" i="31"/>
  <c r="G30" i="31" a="1"/>
  <c r="H30" i="31" a="1"/>
  <c r="I30" i="31" a="1"/>
  <c r="J30" i="31" a="1"/>
  <c r="K30" i="31" a="1"/>
  <c r="L30" i="31" a="1"/>
  <c r="M30" i="31" a="1"/>
  <c r="N30" i="31" a="1"/>
  <c r="O30" i="31" a="1"/>
  <c r="P30" i="31" a="1"/>
  <c r="Q30" i="31" a="1"/>
  <c r="R30" i="31" a="1"/>
  <c r="S30" i="31" a="1"/>
  <c r="T30" i="31" a="1"/>
  <c r="U30" i="31" a="1"/>
  <c r="V30" i="31" a="1"/>
  <c r="W30" i="31" a="1"/>
  <c r="X30" i="31" a="1"/>
  <c r="Y30" i="31" a="1"/>
  <c r="Z30" i="31" a="1"/>
  <c r="AA30" i="31" a="1"/>
  <c r="AB30" i="31" a="1"/>
  <c r="AC30" i="31" a="1"/>
  <c r="AD30" i="31" a="1"/>
  <c r="AE30" i="31" a="1"/>
  <c r="AF30" i="31" a="1"/>
  <c r="AG30" i="31" a="1"/>
  <c r="AH30" i="31" a="1"/>
  <c r="AI30" i="31" a="1"/>
  <c r="AJ30" i="31" a="1"/>
  <c r="AK30" i="31" a="1"/>
  <c r="AL30" i="31" a="1"/>
  <c r="AM30" i="31" a="1"/>
  <c r="AN30" i="31" a="1"/>
  <c r="AO30" i="31" a="1"/>
  <c r="AP30" i="31" a="1"/>
  <c r="AQ30" i="31" a="1"/>
  <c r="AR30" i="31" a="1"/>
  <c r="AS30" i="31" a="1"/>
  <c r="AT30" i="31" a="1"/>
  <c r="AU30" i="31" a="1"/>
  <c r="AV30" i="31" a="1"/>
  <c r="AW30" i="31" a="1"/>
  <c r="AX30" i="31" a="1"/>
  <c r="AY30" i="31" a="1"/>
  <c r="AZ30" i="31" a="1"/>
  <c r="BA30" i="31" a="1"/>
  <c r="BB30" i="31" a="1"/>
  <c r="BC30" i="31" a="1"/>
  <c r="BD30" i="31" a="1"/>
  <c r="BE30" i="31" a="1"/>
  <c r="BF30" i="31" a="1"/>
  <c r="BG30" i="31" a="1"/>
  <c r="BH30" i="31" a="1"/>
  <c r="BI30" i="31" a="1"/>
  <c r="BJ30" i="31" a="1"/>
  <c r="BK30" i="31" a="1"/>
  <c r="BL30" i="31" a="1"/>
  <c r="BM30" i="31" a="1"/>
  <c r="BN30" i="31" a="1"/>
  <c r="BO30" i="31" a="1"/>
  <c r="BP30" i="31" a="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AA17" i="31"/>
  <c r="BR41" i="31"/>
  <c r="BS40" i="31"/>
  <c r="BT40" i="31"/>
  <c r="BR30" i="31"/>
  <c r="BT29" i="31"/>
  <c r="BT30" i="31"/>
  <c r="BR31" i="31"/>
  <c r="BS29" i="31"/>
  <c r="BS31" i="31"/>
  <c r="BT41" i="31"/>
  <c r="BU40" i="31"/>
  <c r="BU29" i="31"/>
  <c r="BU30" i="31"/>
  <c r="BR32" i="31"/>
  <c r="BS32" i="31"/>
  <c r="BU41" i="31"/>
  <c r="BV40" i="31"/>
  <c r="BV29" i="31"/>
  <c r="BV30" i="31"/>
  <c r="BR33" i="31"/>
  <c r="BS33" i="31"/>
  <c r="BV41" i="31"/>
  <c r="BW30" i="31"/>
  <c r="BS34" i="31"/>
  <c r="BW41" i="31"/>
  <c r="BX30" i="31"/>
  <c r="BS35" i="31"/>
  <c r="BX41" i="31"/>
  <c r="BY30" i="31"/>
  <c r="BS36" i="31"/>
  <c r="BY41" i="31"/>
  <c r="BZ30" i="31"/>
  <c r="BS37" i="31"/>
  <c r="BZ41" i="31"/>
  <c r="CA30" i="31"/>
  <c r="BS38" i="31"/>
  <c r="CA41" i="31"/>
  <c r="BR42" i="31"/>
  <c r="BS42" i="31"/>
  <c r="BU31" i="31"/>
  <c r="BT32" i="31"/>
  <c r="BU42" i="31"/>
  <c r="BV31" i="31"/>
  <c r="BT33" i="31"/>
  <c r="BV42" i="31"/>
  <c r="BW31" i="31"/>
  <c r="BT34" i="31"/>
  <c r="BW42" i="31"/>
  <c r="BX31" i="31"/>
  <c r="BT35" i="31"/>
  <c r="BX42" i="31"/>
  <c r="BY31" i="31"/>
  <c r="BT36" i="31"/>
  <c r="BY42" i="31"/>
  <c r="BZ31" i="31"/>
  <c r="BT37" i="31"/>
  <c r="BZ42" i="31"/>
  <c r="CA31" i="31"/>
  <c r="BT38" i="31"/>
  <c r="CA42" i="31"/>
  <c r="BR43" i="31"/>
  <c r="BS43" i="31"/>
  <c r="BT43" i="31"/>
  <c r="BV32" i="31"/>
  <c r="BU33" i="31"/>
  <c r="BV43" i="31"/>
  <c r="BW32" i="31"/>
  <c r="BU34" i="31"/>
  <c r="BW43" i="31"/>
  <c r="BX32" i="31"/>
  <c r="BU35" i="31"/>
  <c r="BX43" i="31"/>
  <c r="BY32" i="31"/>
  <c r="BU36" i="31"/>
  <c r="BY43" i="31"/>
  <c r="BZ32" i="31"/>
  <c r="BU37" i="31"/>
  <c r="BZ43" i="31"/>
  <c r="CA32" i="31"/>
  <c r="BU38" i="31"/>
  <c r="CA43" i="31"/>
  <c r="BR44" i="31"/>
  <c r="BS44" i="31"/>
  <c r="BT44" i="31"/>
  <c r="BU44" i="31"/>
  <c r="BW33" i="31"/>
  <c r="BV34" i="31"/>
  <c r="BW44" i="31"/>
  <c r="BX33" i="31"/>
  <c r="BV35" i="31"/>
  <c r="BX44" i="31"/>
  <c r="BY33" i="31"/>
  <c r="BV36" i="31"/>
  <c r="BY44" i="31"/>
  <c r="BZ33" i="31"/>
  <c r="BV37" i="31"/>
  <c r="BZ44" i="31"/>
  <c r="CA33" i="31"/>
  <c r="BV38" i="31"/>
  <c r="CA44" i="31"/>
  <c r="BS45" i="31"/>
  <c r="BT45" i="31"/>
  <c r="BU45" i="31"/>
  <c r="BV45" i="31"/>
  <c r="BX34" i="31"/>
  <c r="BW35" i="31"/>
  <c r="BX45" i="31"/>
  <c r="BY34" i="31"/>
  <c r="BW36" i="31"/>
  <c r="BY45" i="31"/>
  <c r="BZ34" i="31"/>
  <c r="BW37" i="31"/>
  <c r="BZ45" i="31"/>
  <c r="CA34" i="31"/>
  <c r="BW38" i="31"/>
  <c r="CA45" i="31"/>
  <c r="BS46" i="31"/>
  <c r="BT46" i="31"/>
  <c r="BU46" i="31"/>
  <c r="BV46" i="31"/>
  <c r="BW46" i="31"/>
  <c r="BY35" i="31"/>
  <c r="BX36" i="31"/>
  <c r="BY46" i="31"/>
  <c r="BZ35" i="31"/>
  <c r="BX37" i="31"/>
  <c r="BZ46" i="31"/>
  <c r="CA35" i="31"/>
  <c r="BX38" i="31"/>
  <c r="CA46" i="31"/>
  <c r="BS47" i="31"/>
  <c r="BT47" i="31"/>
  <c r="BU47" i="31"/>
  <c r="BV47" i="31"/>
  <c r="BW47" i="31"/>
  <c r="BX47" i="31"/>
  <c r="BZ36" i="31"/>
  <c r="BY37" i="31"/>
  <c r="BZ47" i="31"/>
  <c r="CA36" i="31"/>
  <c r="BY38" i="31"/>
  <c r="CA47" i="31"/>
  <c r="BS48" i="31"/>
  <c r="BT48" i="31"/>
  <c r="BU48" i="31"/>
  <c r="BV48" i="31"/>
  <c r="BW48" i="31"/>
  <c r="BX48" i="31"/>
  <c r="BY48" i="31"/>
  <c r="CA37" i="31"/>
  <c r="BZ38" i="31"/>
  <c r="CA48" i="31"/>
  <c r="BS49" i="31"/>
  <c r="BT49" i="31"/>
  <c r="BU49" i="31"/>
  <c r="BV49" i="31"/>
  <c r="BW49" i="31"/>
  <c r="BX49" i="31"/>
  <c r="BY49" i="31"/>
  <c r="BZ49" i="31"/>
  <c r="E41" i="31" a="1"/>
  <c r="E41" i="31"/>
  <c r="F41" i="31" a="1"/>
  <c r="F41" i="31"/>
  <c r="G41" i="31" a="1"/>
  <c r="H41" i="31" a="1"/>
  <c r="I41" i="31" a="1"/>
  <c r="J41" i="31" a="1"/>
  <c r="K41" i="31" a="1"/>
  <c r="L41" i="31" a="1"/>
  <c r="M41" i="31" a="1"/>
  <c r="N41" i="31" a="1"/>
  <c r="O41" i="31" a="1"/>
  <c r="P41" i="31" a="1"/>
  <c r="Q41" i="31" a="1"/>
  <c r="R41" i="31" a="1"/>
  <c r="S41" i="31" a="1"/>
  <c r="T41" i="31" a="1"/>
  <c r="U41" i="31" a="1"/>
  <c r="V41" i="31" a="1"/>
  <c r="W41" i="31" a="1"/>
  <c r="X41" i="31" a="1"/>
  <c r="Y41" i="31" a="1"/>
  <c r="Z41" i="31" a="1"/>
  <c r="AA41" i="31" a="1"/>
  <c r="AB41" i="31" a="1"/>
  <c r="AC41" i="31" a="1"/>
  <c r="AD41" i="31" a="1"/>
  <c r="AE41" i="31" a="1"/>
  <c r="AF41" i="31" a="1"/>
  <c r="AG41" i="31" a="1"/>
  <c r="AH41" i="31" a="1"/>
  <c r="AI41" i="31" a="1"/>
  <c r="AJ41" i="31" a="1"/>
  <c r="AK41" i="31" a="1"/>
  <c r="AL41" i="31" a="1"/>
  <c r="AM41" i="31" a="1"/>
  <c r="AN41" i="31" a="1"/>
  <c r="AO41" i="31" a="1"/>
  <c r="AP41" i="31" a="1"/>
  <c r="AQ41" i="31" a="1"/>
  <c r="AR41" i="31" a="1"/>
  <c r="AS41" i="31" a="1"/>
  <c r="AT41" i="31" a="1"/>
  <c r="AU41" i="31" a="1"/>
  <c r="AV41" i="31" a="1"/>
  <c r="AW41" i="31" a="1"/>
  <c r="AX41" i="31" a="1"/>
  <c r="AY41" i="31" a="1"/>
  <c r="AZ41" i="31" a="1"/>
  <c r="BA41" i="31" a="1"/>
  <c r="BB41" i="31" a="1"/>
  <c r="BC41" i="31" a="1"/>
  <c r="BD41" i="31" a="1"/>
  <c r="BE41" i="31" a="1"/>
  <c r="BF41" i="31" a="1"/>
  <c r="BG41" i="31" a="1"/>
  <c r="BH41" i="31" a="1"/>
  <c r="BI41" i="31" a="1"/>
  <c r="BJ41" i="31" a="1"/>
  <c r="BK41" i="31" a="1"/>
  <c r="BL41" i="31" a="1"/>
  <c r="BM41" i="31" a="1"/>
  <c r="BN41" i="31" a="1"/>
  <c r="BO41" i="31" a="1"/>
  <c r="BP41" i="31" a="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AB17" i="31"/>
  <c r="E52" i="31" a="1"/>
  <c r="E52" i="31"/>
  <c r="F52" i="31" a="1"/>
  <c r="F52" i="31"/>
  <c r="G52" i="31" a="1"/>
  <c r="H52" i="31" a="1"/>
  <c r="I52" i="31" a="1"/>
  <c r="J52" i="31" a="1"/>
  <c r="K52" i="31" a="1"/>
  <c r="L52" i="31" a="1"/>
  <c r="M52" i="31" a="1"/>
  <c r="N52" i="31" a="1"/>
  <c r="O52" i="31" a="1"/>
  <c r="P52" i="31" a="1"/>
  <c r="Q52" i="31" a="1"/>
  <c r="R52" i="31" a="1"/>
  <c r="S52" i="31" a="1"/>
  <c r="T52" i="31" a="1"/>
  <c r="U52" i="31" a="1"/>
  <c r="V52" i="31" a="1"/>
  <c r="W52" i="31" a="1"/>
  <c r="X52" i="31" a="1"/>
  <c r="Y52" i="31" a="1"/>
  <c r="Z52" i="31" a="1"/>
  <c r="AA52" i="31" a="1"/>
  <c r="AB52" i="31" a="1"/>
  <c r="AC52" i="31" a="1"/>
  <c r="AD52" i="31" a="1"/>
  <c r="AE52" i="31" a="1"/>
  <c r="AF52" i="31" a="1"/>
  <c r="AG52" i="31" a="1"/>
  <c r="AH52" i="31" a="1"/>
  <c r="AI52" i="31" a="1"/>
  <c r="AJ52" i="31" a="1"/>
  <c r="AK52" i="31" a="1"/>
  <c r="AL52" i="31" a="1"/>
  <c r="AM52" i="31" a="1"/>
  <c r="AN52" i="31" a="1"/>
  <c r="AO52" i="31" a="1"/>
  <c r="AP52" i="31" a="1"/>
  <c r="AQ52" i="31" a="1"/>
  <c r="AR52" i="31" a="1"/>
  <c r="AS52" i="31" a="1"/>
  <c r="AT52" i="31" a="1"/>
  <c r="AU52" i="31" a="1"/>
  <c r="AV52" i="31" a="1"/>
  <c r="AW52" i="31" a="1"/>
  <c r="AX52" i="31" a="1"/>
  <c r="AY52" i="31" a="1"/>
  <c r="AZ52" i="31" a="1"/>
  <c r="BA52" i="31" a="1"/>
  <c r="BB52" i="31" a="1"/>
  <c r="BC52" i="31" a="1"/>
  <c r="BD52" i="31" a="1"/>
  <c r="BE52" i="31" a="1"/>
  <c r="BF52" i="31" a="1"/>
  <c r="BG52" i="31" a="1"/>
  <c r="BH52" i="31" a="1"/>
  <c r="BI52" i="31" a="1"/>
  <c r="BJ52" i="31" a="1"/>
  <c r="BK52" i="31" a="1"/>
  <c r="BL52" i="31" a="1"/>
  <c r="BM52" i="31" a="1"/>
  <c r="BN52" i="31" a="1"/>
  <c r="BO52" i="31" a="1"/>
  <c r="BP52" i="31" a="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AC17" i="31"/>
  <c r="W17" i="31"/>
  <c r="E31" i="31" a="1"/>
  <c r="E31" i="31"/>
  <c r="F31" i="31" a="1"/>
  <c r="F31" i="31"/>
  <c r="G31" i="31" a="1"/>
  <c r="H31" i="31" a="1"/>
  <c r="I31" i="31" a="1"/>
  <c r="J31" i="31" a="1"/>
  <c r="K31" i="31" a="1"/>
  <c r="L31" i="31" a="1"/>
  <c r="M31" i="31" a="1"/>
  <c r="N31" i="31" a="1"/>
  <c r="O31" i="31" a="1"/>
  <c r="P31" i="31" a="1"/>
  <c r="Q31" i="31" a="1"/>
  <c r="R31" i="31" a="1"/>
  <c r="S31" i="31" a="1"/>
  <c r="T31" i="31" a="1"/>
  <c r="U31" i="31" a="1"/>
  <c r="V31" i="31" a="1"/>
  <c r="W31" i="31" a="1"/>
  <c r="X31" i="31" a="1"/>
  <c r="Y31" i="31" a="1"/>
  <c r="Z31" i="31" a="1"/>
  <c r="AA31" i="31" a="1"/>
  <c r="AB31" i="31" a="1"/>
  <c r="AC31" i="31" a="1"/>
  <c r="AD31" i="31" a="1"/>
  <c r="AE31" i="31" a="1"/>
  <c r="AF31" i="31" a="1"/>
  <c r="AG31" i="31" a="1"/>
  <c r="AH31" i="31" a="1"/>
  <c r="AI31" i="31" a="1"/>
  <c r="AJ31" i="31" a="1"/>
  <c r="AK31" i="31" a="1"/>
  <c r="AL31" i="31" a="1"/>
  <c r="AM31" i="31" a="1"/>
  <c r="AN31" i="31" a="1"/>
  <c r="AO31" i="31" a="1"/>
  <c r="AP31" i="31" a="1"/>
  <c r="AQ31" i="31" a="1"/>
  <c r="AR31" i="31" a="1"/>
  <c r="AS31" i="31" a="1"/>
  <c r="AT31" i="31" a="1"/>
  <c r="AU31" i="31" a="1"/>
  <c r="AV31" i="31" a="1"/>
  <c r="AW31" i="31" a="1"/>
  <c r="AX31" i="31" a="1"/>
  <c r="AY31" i="31" a="1"/>
  <c r="AZ31" i="31" a="1"/>
  <c r="BA31" i="31" a="1"/>
  <c r="BB31" i="31" a="1"/>
  <c r="BC31" i="31" a="1"/>
  <c r="BD31" i="31" a="1"/>
  <c r="BE31" i="31" a="1"/>
  <c r="BF31" i="31" a="1"/>
  <c r="BG31" i="31" a="1"/>
  <c r="BH31" i="31" a="1"/>
  <c r="BI31" i="31" a="1"/>
  <c r="BJ31" i="31" a="1"/>
  <c r="BK31" i="31" a="1"/>
  <c r="BL31" i="31" a="1"/>
  <c r="BM31" i="31" a="1"/>
  <c r="BN31" i="31" a="1"/>
  <c r="BO31" i="31" a="1"/>
  <c r="BP31" i="31" a="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AA18" i="31"/>
  <c r="E42" i="31" a="1"/>
  <c r="E42" i="31"/>
  <c r="F42" i="31" a="1"/>
  <c r="F42" i="31"/>
  <c r="G42" i="31" a="1"/>
  <c r="H42" i="31" a="1"/>
  <c r="I42" i="31" a="1"/>
  <c r="J42" i="31" a="1"/>
  <c r="K42" i="31" a="1"/>
  <c r="L42" i="31" a="1"/>
  <c r="M42" i="31" a="1"/>
  <c r="N42" i="31" a="1"/>
  <c r="O42" i="31" a="1"/>
  <c r="P42" i="31" a="1"/>
  <c r="Q42" i="31" a="1"/>
  <c r="R42" i="31" a="1"/>
  <c r="S42" i="31" a="1"/>
  <c r="T42" i="31" a="1"/>
  <c r="U42" i="31" a="1"/>
  <c r="V42" i="31" a="1"/>
  <c r="W42" i="31" a="1"/>
  <c r="X42" i="31" a="1"/>
  <c r="Y42" i="31" a="1"/>
  <c r="Z42" i="31" a="1"/>
  <c r="AA42" i="31" a="1"/>
  <c r="AB42" i="31" a="1"/>
  <c r="AC42" i="31" a="1"/>
  <c r="AD42" i="31" a="1"/>
  <c r="AE42" i="31" a="1"/>
  <c r="AF42" i="31" a="1"/>
  <c r="AG42" i="31" a="1"/>
  <c r="AH42" i="31" a="1"/>
  <c r="AI42" i="31" a="1"/>
  <c r="AJ42" i="31" a="1"/>
  <c r="AK42" i="31" a="1"/>
  <c r="AL42" i="31" a="1"/>
  <c r="AM42" i="31" a="1"/>
  <c r="AN42" i="31" a="1"/>
  <c r="AO42" i="31" a="1"/>
  <c r="AP42" i="31" a="1"/>
  <c r="AQ42" i="31" a="1"/>
  <c r="AR42" i="31" a="1"/>
  <c r="AS42" i="31" a="1"/>
  <c r="AT42" i="31" a="1"/>
  <c r="AU42" i="31" a="1"/>
  <c r="AV42" i="31" a="1"/>
  <c r="AW42" i="31" a="1"/>
  <c r="AX42" i="31" a="1"/>
  <c r="AY42" i="31" a="1"/>
  <c r="AZ42" i="31" a="1"/>
  <c r="BA42" i="31" a="1"/>
  <c r="BB42" i="31" a="1"/>
  <c r="BC42" i="31" a="1"/>
  <c r="BD42" i="31" a="1"/>
  <c r="BE42" i="31" a="1"/>
  <c r="BF42" i="31" a="1"/>
  <c r="BG42" i="31" a="1"/>
  <c r="BH42" i="31" a="1"/>
  <c r="BI42" i="31" a="1"/>
  <c r="BJ42" i="31" a="1"/>
  <c r="BK42" i="31" a="1"/>
  <c r="BL42" i="31" a="1"/>
  <c r="BM42" i="31" a="1"/>
  <c r="BN42" i="31" a="1"/>
  <c r="BO42" i="31" a="1"/>
  <c r="BP42" i="31" a="1"/>
  <c r="G42" i="31"/>
  <c r="H42" i="31"/>
  <c r="I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AB18" i="31"/>
  <c r="E53" i="31" a="1"/>
  <c r="E53" i="31"/>
  <c r="F53" i="31" a="1"/>
  <c r="F53" i="31"/>
  <c r="G53" i="31" a="1"/>
  <c r="H53" i="31" a="1"/>
  <c r="I53" i="31" a="1"/>
  <c r="J53" i="31" a="1"/>
  <c r="K53" i="31" a="1"/>
  <c r="L53" i="31" a="1"/>
  <c r="M53" i="31" a="1"/>
  <c r="N53" i="31" a="1"/>
  <c r="O53" i="31" a="1"/>
  <c r="P53" i="31" a="1"/>
  <c r="Q53" i="31" a="1"/>
  <c r="R53" i="31" a="1"/>
  <c r="S53" i="31" a="1"/>
  <c r="T53" i="31" a="1"/>
  <c r="U53" i="31" a="1"/>
  <c r="V53" i="31" a="1"/>
  <c r="W53" i="31" a="1"/>
  <c r="X53" i="31" a="1"/>
  <c r="Y53" i="31" a="1"/>
  <c r="Z53" i="31" a="1"/>
  <c r="AA53" i="31" a="1"/>
  <c r="AB53" i="31" a="1"/>
  <c r="AC53" i="31" a="1"/>
  <c r="AD53" i="31" a="1"/>
  <c r="AE53" i="31" a="1"/>
  <c r="AF53" i="31" a="1"/>
  <c r="AG53" i="31" a="1"/>
  <c r="AH53" i="31" a="1"/>
  <c r="AI53" i="31" a="1"/>
  <c r="AJ53" i="31" a="1"/>
  <c r="AK53" i="31" a="1"/>
  <c r="AL53" i="31" a="1"/>
  <c r="AM53" i="31" a="1"/>
  <c r="AN53" i="31" a="1"/>
  <c r="AO53" i="31" a="1"/>
  <c r="AP53" i="31" a="1"/>
  <c r="AQ53" i="31" a="1"/>
  <c r="AR53" i="31" a="1"/>
  <c r="AS53" i="31" a="1"/>
  <c r="AT53" i="31" a="1"/>
  <c r="AU53" i="31" a="1"/>
  <c r="AV53" i="31" a="1"/>
  <c r="AW53" i="31" a="1"/>
  <c r="AX53" i="31" a="1"/>
  <c r="AY53" i="31" a="1"/>
  <c r="AZ53" i="31" a="1"/>
  <c r="BA53" i="31" a="1"/>
  <c r="BB53" i="31" a="1"/>
  <c r="BC53" i="31" a="1"/>
  <c r="BD53" i="31" a="1"/>
  <c r="BE53" i="31" a="1"/>
  <c r="BF53" i="31" a="1"/>
  <c r="BG53" i="31" a="1"/>
  <c r="BH53" i="31" a="1"/>
  <c r="BI53" i="31" a="1"/>
  <c r="BJ53" i="31" a="1"/>
  <c r="BK53" i="31" a="1"/>
  <c r="BL53" i="31" a="1"/>
  <c r="BM53" i="31" a="1"/>
  <c r="BN53" i="31" a="1"/>
  <c r="BO53" i="31" a="1"/>
  <c r="BP53" i="31" a="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AC18" i="31"/>
  <c r="W18" i="31"/>
  <c r="E32" i="31" a="1"/>
  <c r="E32" i="31"/>
  <c r="F32" i="31" a="1"/>
  <c r="F32" i="31"/>
  <c r="G32" i="31" a="1"/>
  <c r="H32" i="31" a="1"/>
  <c r="I32" i="31" a="1"/>
  <c r="J32" i="31" a="1"/>
  <c r="K32" i="31" a="1"/>
  <c r="L32" i="31" a="1"/>
  <c r="M32" i="31" a="1"/>
  <c r="N32" i="31" a="1"/>
  <c r="O32" i="31" a="1"/>
  <c r="P32" i="31" a="1"/>
  <c r="Q32" i="31" a="1"/>
  <c r="R32" i="31" a="1"/>
  <c r="S32" i="31" a="1"/>
  <c r="T32" i="31" a="1"/>
  <c r="U32" i="31" a="1"/>
  <c r="V32" i="31" a="1"/>
  <c r="W32" i="31" a="1"/>
  <c r="X32" i="31" a="1"/>
  <c r="Y32" i="31" a="1"/>
  <c r="Z32" i="31" a="1"/>
  <c r="AA32" i="31" a="1"/>
  <c r="AB32" i="31" a="1"/>
  <c r="AC32" i="31" a="1"/>
  <c r="AD32" i="31" a="1"/>
  <c r="AE32" i="31" a="1"/>
  <c r="AF32" i="31" a="1"/>
  <c r="AG32" i="31" a="1"/>
  <c r="AH32" i="31" a="1"/>
  <c r="AI32" i="31" a="1"/>
  <c r="AJ32" i="31" a="1"/>
  <c r="AK32" i="31" a="1"/>
  <c r="AL32" i="31" a="1"/>
  <c r="AM32" i="31" a="1"/>
  <c r="AN32" i="31" a="1"/>
  <c r="AO32" i="31" a="1"/>
  <c r="AP32" i="31" a="1"/>
  <c r="AQ32" i="31" a="1"/>
  <c r="AR32" i="31" a="1"/>
  <c r="AS32" i="31" a="1"/>
  <c r="AT32" i="31" a="1"/>
  <c r="AU32" i="31" a="1"/>
  <c r="AV32" i="31" a="1"/>
  <c r="AW32" i="31" a="1"/>
  <c r="AX32" i="31" a="1"/>
  <c r="AY32" i="31" a="1"/>
  <c r="AZ32" i="31" a="1"/>
  <c r="BA32" i="31" a="1"/>
  <c r="BB32" i="31" a="1"/>
  <c r="BC32" i="31" a="1"/>
  <c r="BD32" i="31" a="1"/>
  <c r="BE32" i="31" a="1"/>
  <c r="BF32" i="31" a="1"/>
  <c r="BG32" i="31" a="1"/>
  <c r="BH32" i="31" a="1"/>
  <c r="BI32" i="31" a="1"/>
  <c r="BJ32" i="31" a="1"/>
  <c r="BK32" i="31" a="1"/>
  <c r="BL32" i="31" a="1"/>
  <c r="BM32" i="31" a="1"/>
  <c r="BN32" i="31" a="1"/>
  <c r="BO32" i="31" a="1"/>
  <c r="BP32" i="31" a="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AA19" i="31"/>
  <c r="E43" i="31" a="1"/>
  <c r="E43" i="31"/>
  <c r="F43" i="31" a="1"/>
  <c r="F43" i="31"/>
  <c r="G43" i="31" a="1"/>
  <c r="H43" i="31" a="1"/>
  <c r="I43" i="31" a="1"/>
  <c r="J43" i="31" a="1"/>
  <c r="K43" i="31" a="1"/>
  <c r="L43" i="31" a="1"/>
  <c r="M43" i="31" a="1"/>
  <c r="N43" i="31" a="1"/>
  <c r="O43" i="31" a="1"/>
  <c r="P43" i="31" a="1"/>
  <c r="Q43" i="31" a="1"/>
  <c r="R43" i="31" a="1"/>
  <c r="S43" i="31" a="1"/>
  <c r="T43" i="31" a="1"/>
  <c r="U43" i="31" a="1"/>
  <c r="V43" i="31" a="1"/>
  <c r="W43" i="31" a="1"/>
  <c r="X43" i="31" a="1"/>
  <c r="Y43" i="31" a="1"/>
  <c r="Z43" i="31" a="1"/>
  <c r="AA43" i="31" a="1"/>
  <c r="AB43" i="31" a="1"/>
  <c r="AC43" i="31" a="1"/>
  <c r="AD43" i="31" a="1"/>
  <c r="AE43" i="31" a="1"/>
  <c r="AF43" i="31" a="1"/>
  <c r="AG43" i="31" a="1"/>
  <c r="AH43" i="31" a="1"/>
  <c r="AI43" i="31" a="1"/>
  <c r="AJ43" i="31" a="1"/>
  <c r="AK43" i="31" a="1"/>
  <c r="AL43" i="31" a="1"/>
  <c r="AM43" i="31" a="1"/>
  <c r="AN43" i="31" a="1"/>
  <c r="AO43" i="31" a="1"/>
  <c r="AP43" i="31" a="1"/>
  <c r="AQ43" i="31" a="1"/>
  <c r="AR43" i="31" a="1"/>
  <c r="AS43" i="31" a="1"/>
  <c r="AT43" i="31" a="1"/>
  <c r="AU43" i="31" a="1"/>
  <c r="AV43" i="31" a="1"/>
  <c r="AW43" i="31" a="1"/>
  <c r="AX43" i="31" a="1"/>
  <c r="AY43" i="31" a="1"/>
  <c r="AZ43" i="31" a="1"/>
  <c r="BA43" i="31" a="1"/>
  <c r="BB43" i="31" a="1"/>
  <c r="BC43" i="31" a="1"/>
  <c r="BD43" i="31" a="1"/>
  <c r="BE43" i="31" a="1"/>
  <c r="BF43" i="31" a="1"/>
  <c r="BG43" i="31" a="1"/>
  <c r="BH43" i="31" a="1"/>
  <c r="BI43" i="31" a="1"/>
  <c r="BJ43" i="31" a="1"/>
  <c r="BK43" i="31" a="1"/>
  <c r="BL43" i="31" a="1"/>
  <c r="BM43" i="31" a="1"/>
  <c r="BN43" i="31" a="1"/>
  <c r="BO43" i="31" a="1"/>
  <c r="BP43" i="31" a="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AB19" i="31"/>
  <c r="E54" i="31" a="1"/>
  <c r="E54" i="31"/>
  <c r="F54" i="31" a="1"/>
  <c r="F54" i="31"/>
  <c r="G54" i="31" a="1"/>
  <c r="H54" i="31" a="1"/>
  <c r="I54" i="31" a="1"/>
  <c r="J54" i="31" a="1"/>
  <c r="K54" i="31" a="1"/>
  <c r="L54" i="31" a="1"/>
  <c r="M54" i="31" a="1"/>
  <c r="N54" i="31" a="1"/>
  <c r="O54" i="31" a="1"/>
  <c r="P54" i="31" a="1"/>
  <c r="Q54" i="31" a="1"/>
  <c r="R54" i="31" a="1"/>
  <c r="S54" i="31" a="1"/>
  <c r="T54" i="31" a="1"/>
  <c r="U54" i="31" a="1"/>
  <c r="V54" i="31" a="1"/>
  <c r="W54" i="31" a="1"/>
  <c r="X54" i="31" a="1"/>
  <c r="Y54" i="31" a="1"/>
  <c r="Z54" i="31" a="1"/>
  <c r="AA54" i="31" a="1"/>
  <c r="AB54" i="31" a="1"/>
  <c r="AC54" i="31" a="1"/>
  <c r="AD54" i="31" a="1"/>
  <c r="AE54" i="31" a="1"/>
  <c r="AF54" i="31" a="1"/>
  <c r="AG54" i="31" a="1"/>
  <c r="AH54" i="31" a="1"/>
  <c r="AI54" i="31" a="1"/>
  <c r="AJ54" i="31" a="1"/>
  <c r="AK54" i="31" a="1"/>
  <c r="AL54" i="31" a="1"/>
  <c r="AM54" i="31" a="1"/>
  <c r="AN54" i="31" a="1"/>
  <c r="AO54" i="31" a="1"/>
  <c r="AP54" i="31" a="1"/>
  <c r="AQ54" i="31" a="1"/>
  <c r="AR54" i="31" a="1"/>
  <c r="AS54" i="31" a="1"/>
  <c r="AT54" i="31" a="1"/>
  <c r="AU54" i="31" a="1"/>
  <c r="AV54" i="31" a="1"/>
  <c r="AW54" i="31" a="1"/>
  <c r="AX54" i="31" a="1"/>
  <c r="AY54" i="31" a="1"/>
  <c r="AZ54" i="31" a="1"/>
  <c r="BA54" i="31" a="1"/>
  <c r="BB54" i="31" a="1"/>
  <c r="BC54" i="31" a="1"/>
  <c r="BD54" i="31" a="1"/>
  <c r="BE54" i="31" a="1"/>
  <c r="BF54" i="31" a="1"/>
  <c r="BG54" i="31" a="1"/>
  <c r="BH54" i="31" a="1"/>
  <c r="BI54" i="31" a="1"/>
  <c r="BJ54" i="31" a="1"/>
  <c r="BK54" i="31" a="1"/>
  <c r="BL54" i="31" a="1"/>
  <c r="BM54" i="31" a="1"/>
  <c r="BN54" i="31" a="1"/>
  <c r="BO54" i="31" a="1"/>
  <c r="BP54" i="31" a="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AC19" i="31"/>
  <c r="W19" i="31"/>
  <c r="E33" i="31" a="1"/>
  <c r="E33" i="31"/>
  <c r="F33" i="31" a="1"/>
  <c r="F33" i="31"/>
  <c r="G33" i="31" a="1"/>
  <c r="H33" i="31" a="1"/>
  <c r="I33" i="31" a="1"/>
  <c r="J33" i="31" a="1"/>
  <c r="K33" i="31" a="1"/>
  <c r="L33" i="31" a="1"/>
  <c r="M33" i="31" a="1"/>
  <c r="N33" i="31" a="1"/>
  <c r="O33" i="31" a="1"/>
  <c r="P33" i="31" a="1"/>
  <c r="Q33" i="31" a="1"/>
  <c r="R33" i="31" a="1"/>
  <c r="S33" i="31" a="1"/>
  <c r="T33" i="31" a="1"/>
  <c r="U33" i="31" a="1"/>
  <c r="V33" i="31" a="1"/>
  <c r="W33" i="31" a="1"/>
  <c r="X33" i="31" a="1"/>
  <c r="Y33" i="31" a="1"/>
  <c r="Z33" i="31" a="1"/>
  <c r="AA33" i="31" a="1"/>
  <c r="AB33" i="31" a="1"/>
  <c r="AC33" i="31" a="1"/>
  <c r="AD33" i="31" a="1"/>
  <c r="AE33" i="31" a="1"/>
  <c r="AF33" i="31" a="1"/>
  <c r="AG33" i="31" a="1"/>
  <c r="AH33" i="31" a="1"/>
  <c r="AI33" i="31" a="1"/>
  <c r="AJ33" i="31" a="1"/>
  <c r="AK33" i="31" a="1"/>
  <c r="AL33" i="31" a="1"/>
  <c r="AM33" i="31" a="1"/>
  <c r="AN33" i="31" a="1"/>
  <c r="AO33" i="31" a="1"/>
  <c r="AP33" i="31" a="1"/>
  <c r="AQ33" i="31" a="1"/>
  <c r="AR33" i="31" a="1"/>
  <c r="AS33" i="31" a="1"/>
  <c r="AT33" i="31" a="1"/>
  <c r="AU33" i="31" a="1"/>
  <c r="AV33" i="31" a="1"/>
  <c r="AW33" i="31" a="1"/>
  <c r="AX33" i="31" a="1"/>
  <c r="AY33" i="31" a="1"/>
  <c r="AZ33" i="31" a="1"/>
  <c r="BA33" i="31" a="1"/>
  <c r="BB33" i="31" a="1"/>
  <c r="BC33" i="31" a="1"/>
  <c r="BD33" i="31" a="1"/>
  <c r="BE33" i="31" a="1"/>
  <c r="BF33" i="31" a="1"/>
  <c r="BG33" i="31" a="1"/>
  <c r="BH33" i="31" a="1"/>
  <c r="BI33" i="31" a="1"/>
  <c r="BJ33" i="31" a="1"/>
  <c r="BK33" i="31" a="1"/>
  <c r="BL33" i="31" a="1"/>
  <c r="BM33" i="31" a="1"/>
  <c r="BN33" i="31" a="1"/>
  <c r="BO33" i="31" a="1"/>
  <c r="BP33" i="31" a="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Y33" i="31"/>
  <c r="AZ33" i="31"/>
  <c r="BA33" i="31"/>
  <c r="BB33" i="31"/>
  <c r="BC33" i="31"/>
  <c r="BD33" i="31"/>
  <c r="BE33" i="31"/>
  <c r="BF33" i="31"/>
  <c r="BG33" i="31"/>
  <c r="BH33" i="31"/>
  <c r="BI33" i="31"/>
  <c r="BJ33" i="31"/>
  <c r="BK33" i="31"/>
  <c r="BL33" i="31"/>
  <c r="BM33" i="31"/>
  <c r="BN33" i="31"/>
  <c r="BO33" i="31"/>
  <c r="BP33" i="31"/>
  <c r="AA20" i="31"/>
  <c r="E44" i="31" a="1"/>
  <c r="E44" i="31"/>
  <c r="F44" i="31" a="1"/>
  <c r="F44" i="31"/>
  <c r="G44" i="31" a="1"/>
  <c r="H44" i="31" a="1"/>
  <c r="I44" i="31" a="1"/>
  <c r="J44" i="31" a="1"/>
  <c r="K44" i="31" a="1"/>
  <c r="L44" i="31" a="1"/>
  <c r="M44" i="31" a="1"/>
  <c r="N44" i="31" a="1"/>
  <c r="O44" i="31" a="1"/>
  <c r="P44" i="31" a="1"/>
  <c r="Q44" i="31" a="1"/>
  <c r="R44" i="31" a="1"/>
  <c r="S44" i="31" a="1"/>
  <c r="T44" i="31" a="1"/>
  <c r="U44" i="31" a="1"/>
  <c r="V44" i="31" a="1"/>
  <c r="W44" i="31" a="1"/>
  <c r="X44" i="31" a="1"/>
  <c r="Y44" i="31" a="1"/>
  <c r="Z44" i="31" a="1"/>
  <c r="AA44" i="31" a="1"/>
  <c r="AB44" i="31" a="1"/>
  <c r="AC44" i="31" a="1"/>
  <c r="AD44" i="31" a="1"/>
  <c r="AE44" i="31" a="1"/>
  <c r="AF44" i="31" a="1"/>
  <c r="AG44" i="31" a="1"/>
  <c r="AH44" i="31" a="1"/>
  <c r="AI44" i="31" a="1"/>
  <c r="AJ44" i="31" a="1"/>
  <c r="AK44" i="31" a="1"/>
  <c r="AL44" i="31" a="1"/>
  <c r="AM44" i="31" a="1"/>
  <c r="AN44" i="31" a="1"/>
  <c r="AO44" i="31" a="1"/>
  <c r="AP44" i="31" a="1"/>
  <c r="AQ44" i="31" a="1"/>
  <c r="AR44" i="31" a="1"/>
  <c r="AS44" i="31" a="1"/>
  <c r="AT44" i="31" a="1"/>
  <c r="AU44" i="31" a="1"/>
  <c r="AV44" i="31" a="1"/>
  <c r="AW44" i="31" a="1"/>
  <c r="AX44" i="31" a="1"/>
  <c r="AY44" i="31" a="1"/>
  <c r="AZ44" i="31" a="1"/>
  <c r="BA44" i="31" a="1"/>
  <c r="BB44" i="31" a="1"/>
  <c r="BC44" i="31" a="1"/>
  <c r="BD44" i="31" a="1"/>
  <c r="BE44" i="31" a="1"/>
  <c r="BF44" i="31" a="1"/>
  <c r="BG44" i="31" a="1"/>
  <c r="BH44" i="31" a="1"/>
  <c r="BI44" i="31" a="1"/>
  <c r="BJ44" i="31" a="1"/>
  <c r="BK44" i="31" a="1"/>
  <c r="BL44" i="31" a="1"/>
  <c r="BM44" i="31" a="1"/>
  <c r="BN44" i="31" a="1"/>
  <c r="BO44" i="31" a="1"/>
  <c r="BP44" i="31" a="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AB20" i="31"/>
  <c r="E55" i="31" a="1"/>
  <c r="E55" i="31"/>
  <c r="F55" i="31" a="1"/>
  <c r="F55" i="31"/>
  <c r="G55" i="31" a="1"/>
  <c r="H55" i="31" a="1"/>
  <c r="I55" i="31" a="1"/>
  <c r="J55" i="31" a="1"/>
  <c r="K55" i="31" a="1"/>
  <c r="L55" i="31" a="1"/>
  <c r="M55" i="31" a="1"/>
  <c r="N55" i="31" a="1"/>
  <c r="O55" i="31" a="1"/>
  <c r="P55" i="31" a="1"/>
  <c r="Q55" i="31" a="1"/>
  <c r="R55" i="31" a="1"/>
  <c r="S55" i="31" a="1"/>
  <c r="T55" i="31" a="1"/>
  <c r="U55" i="31" a="1"/>
  <c r="V55" i="31" a="1"/>
  <c r="W55" i="31" a="1"/>
  <c r="X55" i="31" a="1"/>
  <c r="Y55" i="31" a="1"/>
  <c r="Z55" i="31" a="1"/>
  <c r="AA55" i="31" a="1"/>
  <c r="AB55" i="31" a="1"/>
  <c r="AC55" i="31" a="1"/>
  <c r="AD55" i="31" a="1"/>
  <c r="AE55" i="31" a="1"/>
  <c r="AF55" i="31" a="1"/>
  <c r="AG55" i="31" a="1"/>
  <c r="AH55" i="31" a="1"/>
  <c r="AI55" i="31" a="1"/>
  <c r="AJ55" i="31" a="1"/>
  <c r="AK55" i="31" a="1"/>
  <c r="AL55" i="31" a="1"/>
  <c r="AM55" i="31" a="1"/>
  <c r="AN55" i="31" a="1"/>
  <c r="AO55" i="31" a="1"/>
  <c r="AP55" i="31" a="1"/>
  <c r="AQ55" i="31" a="1"/>
  <c r="AR55" i="31" a="1"/>
  <c r="AS55" i="31" a="1"/>
  <c r="AT55" i="31" a="1"/>
  <c r="AU55" i="31" a="1"/>
  <c r="AV55" i="31" a="1"/>
  <c r="AW55" i="31" a="1"/>
  <c r="AX55" i="31" a="1"/>
  <c r="AY55" i="31" a="1"/>
  <c r="AZ55" i="31" a="1"/>
  <c r="BA55" i="31" a="1"/>
  <c r="BB55" i="31" a="1"/>
  <c r="BC55" i="31" a="1"/>
  <c r="BD55" i="31" a="1"/>
  <c r="BE55" i="31" a="1"/>
  <c r="BF55" i="31" a="1"/>
  <c r="BG55" i="31" a="1"/>
  <c r="BH55" i="31" a="1"/>
  <c r="BI55" i="31" a="1"/>
  <c r="BJ55" i="31" a="1"/>
  <c r="BK55" i="31" a="1"/>
  <c r="BL55" i="31" a="1"/>
  <c r="BM55" i="31" a="1"/>
  <c r="BN55" i="31" a="1"/>
  <c r="BO55" i="31" a="1"/>
  <c r="BP55" i="31" a="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AC20" i="31"/>
  <c r="W20" i="31"/>
  <c r="E34" i="31" a="1"/>
  <c r="E34" i="31"/>
  <c r="F34" i="31" a="1"/>
  <c r="F34" i="31"/>
  <c r="G34" i="31" a="1"/>
  <c r="H34" i="31" a="1"/>
  <c r="I34" i="31" a="1"/>
  <c r="J34" i="31" a="1"/>
  <c r="K34" i="31" a="1"/>
  <c r="L34" i="31" a="1"/>
  <c r="M34" i="31" a="1"/>
  <c r="N34" i="31" a="1"/>
  <c r="O34" i="31" a="1"/>
  <c r="P34" i="31" a="1"/>
  <c r="Q34" i="31" a="1"/>
  <c r="R34" i="31" a="1"/>
  <c r="S34" i="31" a="1"/>
  <c r="T34" i="31" a="1"/>
  <c r="U34" i="31" a="1"/>
  <c r="V34" i="31" a="1"/>
  <c r="W34" i="31" a="1"/>
  <c r="X34" i="31" a="1"/>
  <c r="Y34" i="31" a="1"/>
  <c r="Z34" i="31" a="1"/>
  <c r="AA34" i="31" a="1"/>
  <c r="AB34" i="31" a="1"/>
  <c r="AC34" i="31" a="1"/>
  <c r="AD34" i="31" a="1"/>
  <c r="AE34" i="31" a="1"/>
  <c r="AF34" i="31" a="1"/>
  <c r="AG34" i="31" a="1"/>
  <c r="AH34" i="31" a="1"/>
  <c r="AI34" i="31" a="1"/>
  <c r="AJ34" i="31" a="1"/>
  <c r="AK34" i="31" a="1"/>
  <c r="AL34" i="31" a="1"/>
  <c r="AM34" i="31" a="1"/>
  <c r="AN34" i="31" a="1"/>
  <c r="AO34" i="31" a="1"/>
  <c r="AP34" i="31" a="1"/>
  <c r="AQ34" i="31" a="1"/>
  <c r="AR34" i="31" a="1"/>
  <c r="AS34" i="31" a="1"/>
  <c r="AT34" i="31" a="1"/>
  <c r="AU34" i="31" a="1"/>
  <c r="AV34" i="31" a="1"/>
  <c r="AW34" i="31" a="1"/>
  <c r="AX34" i="31" a="1"/>
  <c r="AY34" i="31" a="1"/>
  <c r="AZ34" i="31" a="1"/>
  <c r="BA34" i="31" a="1"/>
  <c r="BB34" i="31" a="1"/>
  <c r="BC34" i="31" a="1"/>
  <c r="BD34" i="31" a="1"/>
  <c r="BE34" i="31" a="1"/>
  <c r="BF34" i="31" a="1"/>
  <c r="BG34" i="31" a="1"/>
  <c r="BH34" i="31" a="1"/>
  <c r="BI34" i="31" a="1"/>
  <c r="BJ34" i="31" a="1"/>
  <c r="BK34" i="31" a="1"/>
  <c r="BL34" i="31" a="1"/>
  <c r="BM34" i="31" a="1"/>
  <c r="BN34" i="31" a="1"/>
  <c r="BO34" i="31" a="1"/>
  <c r="BP34" i="31" a="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B34" i="31"/>
  <c r="BC34" i="31"/>
  <c r="BD34" i="31"/>
  <c r="BE34" i="31"/>
  <c r="BF34" i="31"/>
  <c r="BG34" i="31"/>
  <c r="BH34" i="31"/>
  <c r="BI34" i="31"/>
  <c r="BJ34" i="31"/>
  <c r="BK34" i="31"/>
  <c r="BL34" i="31"/>
  <c r="BM34" i="31"/>
  <c r="BN34" i="31"/>
  <c r="BO34" i="31"/>
  <c r="BP34" i="31"/>
  <c r="AA21" i="31"/>
  <c r="E45" i="31" a="1"/>
  <c r="E45" i="31"/>
  <c r="F45" i="31" a="1"/>
  <c r="F45" i="31"/>
  <c r="G45" i="31" a="1"/>
  <c r="H45" i="31" a="1"/>
  <c r="I45" i="31" a="1"/>
  <c r="J45" i="31" a="1"/>
  <c r="K45" i="31" a="1"/>
  <c r="L45" i="31" a="1"/>
  <c r="M45" i="31" a="1"/>
  <c r="N45" i="31" a="1"/>
  <c r="O45" i="31" a="1"/>
  <c r="P45" i="31" a="1"/>
  <c r="Q45" i="31" a="1"/>
  <c r="R45" i="31" a="1"/>
  <c r="S45" i="31" a="1"/>
  <c r="T45" i="31" a="1"/>
  <c r="U45" i="31" a="1"/>
  <c r="V45" i="31" a="1"/>
  <c r="W45" i="31" a="1"/>
  <c r="X45" i="31" a="1"/>
  <c r="Y45" i="31" a="1"/>
  <c r="Z45" i="31" a="1"/>
  <c r="AA45" i="31" a="1"/>
  <c r="AB45" i="31" a="1"/>
  <c r="AC45" i="31" a="1"/>
  <c r="AD45" i="31" a="1"/>
  <c r="AE45" i="31" a="1"/>
  <c r="AF45" i="31" a="1"/>
  <c r="AG45" i="31" a="1"/>
  <c r="AH45" i="31" a="1"/>
  <c r="AI45" i="31" a="1"/>
  <c r="AJ45" i="31" a="1"/>
  <c r="AK45" i="31" a="1"/>
  <c r="AL45" i="31" a="1"/>
  <c r="AM45" i="31" a="1"/>
  <c r="AN45" i="31" a="1"/>
  <c r="AO45" i="31" a="1"/>
  <c r="AP45" i="31" a="1"/>
  <c r="AQ45" i="31" a="1"/>
  <c r="AR45" i="31" a="1"/>
  <c r="AS45" i="31" a="1"/>
  <c r="AT45" i="31" a="1"/>
  <c r="AU45" i="31" a="1"/>
  <c r="AV45" i="31" a="1"/>
  <c r="AW45" i="31" a="1"/>
  <c r="AX45" i="31" a="1"/>
  <c r="AY45" i="31" a="1"/>
  <c r="AZ45" i="31" a="1"/>
  <c r="BA45" i="31" a="1"/>
  <c r="BB45" i="31" a="1"/>
  <c r="BC45" i="31" a="1"/>
  <c r="BD45" i="31" a="1"/>
  <c r="BE45" i="31" a="1"/>
  <c r="BF45" i="31" a="1"/>
  <c r="BG45" i="31" a="1"/>
  <c r="BH45" i="31" a="1"/>
  <c r="BI45" i="31" a="1"/>
  <c r="BJ45" i="31" a="1"/>
  <c r="BK45" i="31" a="1"/>
  <c r="BL45" i="31" a="1"/>
  <c r="BM45" i="31" a="1"/>
  <c r="BN45" i="31" a="1"/>
  <c r="BO45" i="31" a="1"/>
  <c r="BP45" i="31" a="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AB21" i="31"/>
  <c r="E56" i="31" a="1"/>
  <c r="E56" i="31"/>
  <c r="F56" i="31" a="1"/>
  <c r="F56" i="31"/>
  <c r="G56" i="31" a="1"/>
  <c r="H56" i="31" a="1"/>
  <c r="I56" i="31" a="1"/>
  <c r="J56" i="31" a="1"/>
  <c r="K56" i="31" a="1"/>
  <c r="L56" i="31" a="1"/>
  <c r="M56" i="31" a="1"/>
  <c r="N56" i="31" a="1"/>
  <c r="O56" i="31" a="1"/>
  <c r="P56" i="31" a="1"/>
  <c r="Q56" i="31" a="1"/>
  <c r="R56" i="31" a="1"/>
  <c r="S56" i="31" a="1"/>
  <c r="T56" i="31" a="1"/>
  <c r="U56" i="31" a="1"/>
  <c r="V56" i="31" a="1"/>
  <c r="W56" i="31" a="1"/>
  <c r="X56" i="31" a="1"/>
  <c r="Y56" i="31" a="1"/>
  <c r="Z56" i="31" a="1"/>
  <c r="AA56" i="31" a="1"/>
  <c r="AB56" i="31" a="1"/>
  <c r="AC56" i="31" a="1"/>
  <c r="AD56" i="31" a="1"/>
  <c r="AE56" i="31" a="1"/>
  <c r="AF56" i="31" a="1"/>
  <c r="AG56" i="31" a="1"/>
  <c r="AH56" i="31" a="1"/>
  <c r="AI56" i="31" a="1"/>
  <c r="AJ56" i="31" a="1"/>
  <c r="AK56" i="31" a="1"/>
  <c r="AL56" i="31" a="1"/>
  <c r="AM56" i="31" a="1"/>
  <c r="AN56" i="31" a="1"/>
  <c r="AO56" i="31" a="1"/>
  <c r="AP56" i="31" a="1"/>
  <c r="AQ56" i="31" a="1"/>
  <c r="AR56" i="31" a="1"/>
  <c r="AS56" i="31" a="1"/>
  <c r="AT56" i="31" a="1"/>
  <c r="AU56" i="31" a="1"/>
  <c r="AV56" i="31" a="1"/>
  <c r="AW56" i="31" a="1"/>
  <c r="AX56" i="31" a="1"/>
  <c r="AY56" i="31" a="1"/>
  <c r="AZ56" i="31" a="1"/>
  <c r="BA56" i="31" a="1"/>
  <c r="BB56" i="31" a="1"/>
  <c r="BC56" i="31" a="1"/>
  <c r="BD56" i="31" a="1"/>
  <c r="BE56" i="31" a="1"/>
  <c r="BF56" i="31" a="1"/>
  <c r="BG56" i="31" a="1"/>
  <c r="BH56" i="31" a="1"/>
  <c r="BI56" i="31" a="1"/>
  <c r="BJ56" i="31" a="1"/>
  <c r="BK56" i="31" a="1"/>
  <c r="BL56" i="31" a="1"/>
  <c r="BM56" i="31" a="1"/>
  <c r="BN56" i="31" a="1"/>
  <c r="BO56" i="31" a="1"/>
  <c r="BP56" i="31" a="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AC21" i="31"/>
  <c r="W21" i="31"/>
  <c r="E35" i="31" a="1"/>
  <c r="E35" i="31"/>
  <c r="F35" i="31" a="1"/>
  <c r="F35" i="31"/>
  <c r="G35" i="31" a="1"/>
  <c r="H35" i="31" a="1"/>
  <c r="I35" i="31" a="1"/>
  <c r="J35" i="31" a="1"/>
  <c r="K35" i="31" a="1"/>
  <c r="L35" i="31" a="1"/>
  <c r="M35" i="31" a="1"/>
  <c r="N35" i="31" a="1"/>
  <c r="O35" i="31" a="1"/>
  <c r="P35" i="31" a="1"/>
  <c r="Q35" i="31" a="1"/>
  <c r="R35" i="31" a="1"/>
  <c r="S35" i="31" a="1"/>
  <c r="T35" i="31" a="1"/>
  <c r="U35" i="31" a="1"/>
  <c r="V35" i="31" a="1"/>
  <c r="W35" i="31" a="1"/>
  <c r="X35" i="31" a="1"/>
  <c r="Y35" i="31" a="1"/>
  <c r="Z35" i="31" a="1"/>
  <c r="AA35" i="31" a="1"/>
  <c r="AB35" i="31" a="1"/>
  <c r="AC35" i="31" a="1"/>
  <c r="AD35" i="31" a="1"/>
  <c r="AE35" i="31" a="1"/>
  <c r="AF35" i="31" a="1"/>
  <c r="AG35" i="31" a="1"/>
  <c r="AH35" i="31" a="1"/>
  <c r="AI35" i="31" a="1"/>
  <c r="AJ35" i="31" a="1"/>
  <c r="AK35" i="31" a="1"/>
  <c r="AL35" i="31" a="1"/>
  <c r="AM35" i="31" a="1"/>
  <c r="AN35" i="31" a="1"/>
  <c r="AO35" i="31" a="1"/>
  <c r="AP35" i="31" a="1"/>
  <c r="AQ35" i="31" a="1"/>
  <c r="AR35" i="31" a="1"/>
  <c r="AS35" i="31" a="1"/>
  <c r="AT35" i="31" a="1"/>
  <c r="AU35" i="31" a="1"/>
  <c r="AV35" i="31" a="1"/>
  <c r="AW35" i="31" a="1"/>
  <c r="AX35" i="31" a="1"/>
  <c r="AY35" i="31" a="1"/>
  <c r="AZ35" i="31" a="1"/>
  <c r="BA35" i="31" a="1"/>
  <c r="BB35" i="31" a="1"/>
  <c r="BC35" i="31" a="1"/>
  <c r="BD35" i="31" a="1"/>
  <c r="BE35" i="31" a="1"/>
  <c r="BF35" i="31" a="1"/>
  <c r="BG35" i="31" a="1"/>
  <c r="BH35" i="31" a="1"/>
  <c r="BI35" i="31" a="1"/>
  <c r="BJ35" i="31" a="1"/>
  <c r="BK35" i="31" a="1"/>
  <c r="BL35" i="31" a="1"/>
  <c r="BM35" i="31" a="1"/>
  <c r="BN35" i="31" a="1"/>
  <c r="BO35" i="31" a="1"/>
  <c r="BP35" i="31" a="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AA22" i="31"/>
  <c r="E46" i="31" a="1"/>
  <c r="E46" i="31"/>
  <c r="F46" i="31" a="1"/>
  <c r="F46" i="31"/>
  <c r="G46" i="31" a="1"/>
  <c r="H46" i="31" a="1"/>
  <c r="I46" i="31" a="1"/>
  <c r="J46" i="31" a="1"/>
  <c r="K46" i="31" a="1"/>
  <c r="L46" i="31" a="1"/>
  <c r="M46" i="31" a="1"/>
  <c r="N46" i="31" a="1"/>
  <c r="O46" i="31" a="1"/>
  <c r="P46" i="31" a="1"/>
  <c r="Q46" i="31" a="1"/>
  <c r="R46" i="31" a="1"/>
  <c r="S46" i="31" a="1"/>
  <c r="T46" i="31" a="1"/>
  <c r="U46" i="31" a="1"/>
  <c r="V46" i="31" a="1"/>
  <c r="W46" i="31" a="1"/>
  <c r="X46" i="31" a="1"/>
  <c r="Y46" i="31" a="1"/>
  <c r="Z46" i="31" a="1"/>
  <c r="AA46" i="31" a="1"/>
  <c r="AB46" i="31" a="1"/>
  <c r="AC46" i="31" a="1"/>
  <c r="AD46" i="31" a="1"/>
  <c r="AE46" i="31" a="1"/>
  <c r="AF46" i="31" a="1"/>
  <c r="AG46" i="31" a="1"/>
  <c r="AH46" i="31" a="1"/>
  <c r="AI46" i="31" a="1"/>
  <c r="AJ46" i="31" a="1"/>
  <c r="AK46" i="31" a="1"/>
  <c r="AL46" i="31" a="1"/>
  <c r="AM46" i="31" a="1"/>
  <c r="AN46" i="31" a="1"/>
  <c r="AO46" i="31" a="1"/>
  <c r="AP46" i="31" a="1"/>
  <c r="AQ46" i="31" a="1"/>
  <c r="AR46" i="31" a="1"/>
  <c r="AS46" i="31" a="1"/>
  <c r="AT46" i="31" a="1"/>
  <c r="AU46" i="31" a="1"/>
  <c r="AV46" i="31" a="1"/>
  <c r="AW46" i="31" a="1"/>
  <c r="AX46" i="31" a="1"/>
  <c r="AY46" i="31" a="1"/>
  <c r="AZ46" i="31" a="1"/>
  <c r="BA46" i="31" a="1"/>
  <c r="BB46" i="31" a="1"/>
  <c r="BC46" i="31" a="1"/>
  <c r="BD46" i="31" a="1"/>
  <c r="BE46" i="31" a="1"/>
  <c r="BF46" i="31" a="1"/>
  <c r="BG46" i="31" a="1"/>
  <c r="BH46" i="31" a="1"/>
  <c r="BI46" i="31" a="1"/>
  <c r="BJ46" i="31" a="1"/>
  <c r="BK46" i="31" a="1"/>
  <c r="BL46" i="31" a="1"/>
  <c r="BM46" i="31" a="1"/>
  <c r="BN46" i="31" a="1"/>
  <c r="BO46" i="31" a="1"/>
  <c r="BP46" i="31" a="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AB22" i="31"/>
  <c r="E57" i="31" a="1"/>
  <c r="E57" i="31"/>
  <c r="F57" i="31" a="1"/>
  <c r="F57" i="31"/>
  <c r="G57" i="31" a="1"/>
  <c r="H57" i="31" a="1"/>
  <c r="I57" i="31" a="1"/>
  <c r="J57" i="31" a="1"/>
  <c r="K57" i="31" a="1"/>
  <c r="L57" i="31" a="1"/>
  <c r="M57" i="31" a="1"/>
  <c r="N57" i="31" a="1"/>
  <c r="O57" i="31" a="1"/>
  <c r="P57" i="31" a="1"/>
  <c r="Q57" i="31" a="1"/>
  <c r="R57" i="31" a="1"/>
  <c r="S57" i="31" a="1"/>
  <c r="T57" i="31" a="1"/>
  <c r="U57" i="31" a="1"/>
  <c r="V57" i="31" a="1"/>
  <c r="W57" i="31" a="1"/>
  <c r="X57" i="31" a="1"/>
  <c r="Y57" i="31" a="1"/>
  <c r="Z57" i="31" a="1"/>
  <c r="AA57" i="31" a="1"/>
  <c r="AB57" i="31" a="1"/>
  <c r="AC57" i="31" a="1"/>
  <c r="AD57" i="31" a="1"/>
  <c r="AE57" i="31" a="1"/>
  <c r="AF57" i="31" a="1"/>
  <c r="AG57" i="31" a="1"/>
  <c r="AH57" i="31" a="1"/>
  <c r="AI57" i="31" a="1"/>
  <c r="AJ57" i="31" a="1"/>
  <c r="AK57" i="31" a="1"/>
  <c r="AL57" i="31" a="1"/>
  <c r="AM57" i="31" a="1"/>
  <c r="AN57" i="31" a="1"/>
  <c r="AO57" i="31" a="1"/>
  <c r="AP57" i="31" a="1"/>
  <c r="AQ57" i="31" a="1"/>
  <c r="AR57" i="31" a="1"/>
  <c r="AS57" i="31" a="1"/>
  <c r="AT57" i="31" a="1"/>
  <c r="AU57" i="31" a="1"/>
  <c r="AV57" i="31" a="1"/>
  <c r="AW57" i="31" a="1"/>
  <c r="AX57" i="31" a="1"/>
  <c r="AY57" i="31" a="1"/>
  <c r="AZ57" i="31" a="1"/>
  <c r="BA57" i="31" a="1"/>
  <c r="BB57" i="31" a="1"/>
  <c r="BC57" i="31" a="1"/>
  <c r="BD57" i="31" a="1"/>
  <c r="BE57" i="31" a="1"/>
  <c r="BF57" i="31" a="1"/>
  <c r="BG57" i="31" a="1"/>
  <c r="BH57" i="31" a="1"/>
  <c r="BI57" i="31" a="1"/>
  <c r="BJ57" i="31" a="1"/>
  <c r="BK57" i="31" a="1"/>
  <c r="BL57" i="31" a="1"/>
  <c r="BM57" i="31" a="1"/>
  <c r="BN57" i="31" a="1"/>
  <c r="BO57" i="31" a="1"/>
  <c r="BP57" i="31" a="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AC22" i="31"/>
  <c r="W22" i="31"/>
  <c r="X17" i="31"/>
  <c r="X18" i="31"/>
  <c r="X19" i="31"/>
  <c r="X20" i="31"/>
  <c r="X21" i="31"/>
  <c r="X22" i="31"/>
  <c r="X23" i="31"/>
  <c r="X24" i="31"/>
  <c r="X25" i="31"/>
  <c r="E4" i="31"/>
  <c r="E5" i="31"/>
  <c r="E6" i="31"/>
  <c r="E7" i="31"/>
  <c r="E8" i="31"/>
  <c r="E9" i="31"/>
  <c r="E10" i="31"/>
  <c r="E11" i="31"/>
  <c r="E12" i="31"/>
  <c r="Z17" i="31"/>
  <c r="Z18" i="31"/>
  <c r="Z19" i="31"/>
  <c r="Z20" i="31"/>
  <c r="Q67" i="17"/>
  <c r="F7" i="17"/>
  <c r="Q68" i="17"/>
  <c r="F8" i="17"/>
  <c r="Q64" i="17"/>
  <c r="F4" i="17"/>
  <c r="Q65" i="17"/>
  <c r="F5" i="17"/>
  <c r="Q66" i="17"/>
  <c r="F6" i="17"/>
  <c r="Q66" i="35"/>
  <c r="F6" i="35"/>
  <c r="Q64" i="35"/>
  <c r="F4" i="35"/>
  <c r="Q65" i="35"/>
  <c r="F5" i="35"/>
  <c r="Q67" i="25"/>
  <c r="F7" i="25"/>
  <c r="Q68" i="25"/>
  <c r="F8" i="25"/>
  <c r="Q64" i="25"/>
  <c r="F4" i="25"/>
  <c r="Q65" i="25"/>
  <c r="F5" i="25"/>
  <c r="Q66" i="25"/>
  <c r="F6" i="25"/>
  <c r="C17" i="17"/>
  <c r="C18" i="17"/>
  <c r="C19" i="17"/>
  <c r="C20" i="17"/>
  <c r="BR52" i="17"/>
  <c r="BT51" i="17"/>
  <c r="BU51" i="17"/>
  <c r="BV51" i="17"/>
  <c r="BW51" i="17"/>
  <c r="BR53" i="17"/>
  <c r="BS51" i="17"/>
  <c r="BR54" i="17"/>
  <c r="BR55" i="17"/>
  <c r="BR56" i="17"/>
  <c r="C21" i="17"/>
  <c r="BR30" i="17"/>
  <c r="BT29" i="17"/>
  <c r="BR31" i="17"/>
  <c r="BS29" i="17"/>
  <c r="BU29" i="17"/>
  <c r="BR32" i="17"/>
  <c r="BV40" i="17"/>
  <c r="BV29" i="17"/>
  <c r="BR33" i="17"/>
  <c r="BW40" i="17"/>
  <c r="BW29" i="17"/>
  <c r="BR34" i="17"/>
  <c r="BR44" i="17"/>
  <c r="BR45" i="17"/>
  <c r="BR41" i="17"/>
  <c r="BS40" i="17"/>
  <c r="BT40" i="17"/>
  <c r="BU40" i="17"/>
  <c r="BR42" i="17"/>
  <c r="BR43" i="17"/>
  <c r="C17" i="25"/>
  <c r="C18" i="25"/>
  <c r="C19" i="25"/>
  <c r="C20" i="25"/>
  <c r="BR52" i="25"/>
  <c r="BT51" i="25"/>
  <c r="BU51" i="25"/>
  <c r="BV51" i="25"/>
  <c r="BW51" i="25"/>
  <c r="BR53" i="25"/>
  <c r="BS51" i="25"/>
  <c r="BR54" i="25"/>
  <c r="BR55" i="25"/>
  <c r="BR56" i="25"/>
  <c r="C21" i="25"/>
  <c r="BR30" i="25"/>
  <c r="BT29" i="25"/>
  <c r="BR31" i="25"/>
  <c r="BS29" i="25"/>
  <c r="BU29" i="25"/>
  <c r="BR32" i="25"/>
  <c r="BV40" i="25"/>
  <c r="BV29" i="25"/>
  <c r="BR33" i="25"/>
  <c r="BW40" i="25"/>
  <c r="BW29" i="25"/>
  <c r="BR34" i="25"/>
  <c r="BR44" i="25"/>
  <c r="BR45" i="25"/>
  <c r="BR41" i="25"/>
  <c r="BS40" i="25"/>
  <c r="BT40" i="25"/>
  <c r="BU40" i="25"/>
  <c r="BR42" i="25"/>
  <c r="BR43" i="25"/>
  <c r="BR52" i="35"/>
  <c r="BT51" i="35"/>
  <c r="BU51" i="35"/>
  <c r="BR53" i="35"/>
  <c r="BS51" i="35"/>
  <c r="BR54" i="35"/>
  <c r="C17" i="35"/>
  <c r="C19" i="35"/>
  <c r="BR30" i="35"/>
  <c r="BT29" i="35"/>
  <c r="BR31" i="35"/>
  <c r="BS29" i="35"/>
  <c r="BU40" i="35"/>
  <c r="BU29" i="35"/>
  <c r="BR32" i="35"/>
  <c r="BR43" i="35"/>
  <c r="C18" i="35"/>
  <c r="BR41" i="35"/>
  <c r="BS40" i="35"/>
  <c r="BT40" i="35"/>
  <c r="BR42" i="35"/>
  <c r="K4" i="31"/>
  <c r="K5" i="31"/>
  <c r="K6" i="31"/>
  <c r="K7" i="31"/>
  <c r="K8" i="31"/>
  <c r="K9" i="31"/>
  <c r="K10" i="31"/>
  <c r="K11" i="31"/>
  <c r="K12" i="31"/>
  <c r="K13" i="31"/>
  <c r="F13" i="31"/>
  <c r="AE16" i="40" a="1"/>
  <c r="AE16" i="40"/>
  <c r="D4" i="31"/>
  <c r="D5" i="31"/>
  <c r="D6" i="31"/>
  <c r="D7" i="31"/>
  <c r="D8" i="31"/>
  <c r="D9" i="31"/>
  <c r="D10" i="31"/>
  <c r="D11" i="31"/>
  <c r="D12" i="31"/>
  <c r="C4" i="31"/>
  <c r="C5" i="31"/>
  <c r="L4" i="31"/>
  <c r="M4" i="31"/>
  <c r="N4" i="31"/>
  <c r="L5" i="31"/>
  <c r="M5" i="31"/>
  <c r="N5" i="31"/>
  <c r="C6" i="31"/>
  <c r="L6" i="31"/>
  <c r="M6" i="31"/>
  <c r="N6" i="31"/>
  <c r="C7" i="31"/>
  <c r="L7" i="31"/>
  <c r="M7" i="31"/>
  <c r="N7" i="31"/>
  <c r="C8" i="31"/>
  <c r="L8" i="31"/>
  <c r="M8" i="31"/>
  <c r="N8" i="31"/>
  <c r="C9" i="31"/>
  <c r="L9" i="31"/>
  <c r="M9" i="31"/>
  <c r="N9" i="31"/>
  <c r="C10" i="31"/>
  <c r="L10" i="31"/>
  <c r="M10" i="31"/>
  <c r="N10" i="31"/>
  <c r="C11" i="31"/>
  <c r="L11" i="31"/>
  <c r="M11" i="31"/>
  <c r="N11" i="31"/>
  <c r="C12" i="31"/>
  <c r="L12" i="31"/>
  <c r="M12" i="31"/>
  <c r="N12" i="31"/>
  <c r="R12" i="40"/>
  <c r="I73" i="40"/>
  <c r="K4" i="30"/>
  <c r="K5" i="30"/>
  <c r="K6" i="30"/>
  <c r="K7" i="30"/>
  <c r="K8" i="30"/>
  <c r="K9" i="30"/>
  <c r="K10" i="30"/>
  <c r="K11" i="30"/>
  <c r="K12" i="30"/>
  <c r="K13" i="30"/>
  <c r="F13" i="30"/>
  <c r="AE23" i="40" a="1"/>
  <c r="AE23" i="40"/>
  <c r="D4" i="30"/>
  <c r="D5" i="30"/>
  <c r="D6" i="30"/>
  <c r="D7" i="30"/>
  <c r="D8" i="30"/>
  <c r="D9" i="30"/>
  <c r="D10" i="30"/>
  <c r="D11" i="30"/>
  <c r="D12" i="30"/>
  <c r="C4" i="30"/>
  <c r="C5" i="30"/>
  <c r="C6" i="30"/>
  <c r="R19" i="40"/>
  <c r="I69" i="40"/>
  <c r="K4" i="29"/>
  <c r="K5" i="29"/>
  <c r="K6" i="29"/>
  <c r="K7" i="29"/>
  <c r="K8" i="29"/>
  <c r="K9" i="29"/>
  <c r="K10" i="29"/>
  <c r="K11" i="29"/>
  <c r="K12" i="29"/>
  <c r="K13" i="29"/>
  <c r="F13" i="29"/>
  <c r="AE30" i="40" a="1"/>
  <c r="AE30" i="40"/>
  <c r="D4" i="29"/>
  <c r="D5" i="29"/>
  <c r="D6" i="29"/>
  <c r="D7" i="29"/>
  <c r="D8" i="29"/>
  <c r="D9" i="29"/>
  <c r="D10" i="29"/>
  <c r="D11" i="29"/>
  <c r="D12" i="29"/>
  <c r="C4" i="29"/>
  <c r="C5" i="29"/>
  <c r="C6" i="29"/>
  <c r="C7" i="29"/>
  <c r="R26" i="40"/>
  <c r="I65" i="40"/>
  <c r="K4" i="28"/>
  <c r="K5" i="28"/>
  <c r="K6" i="28"/>
  <c r="K7" i="28"/>
  <c r="K8" i="28"/>
  <c r="K9" i="28"/>
  <c r="K10" i="28"/>
  <c r="K11" i="28"/>
  <c r="K12" i="28"/>
  <c r="K13" i="28"/>
  <c r="F13" i="28"/>
  <c r="AE37" i="40" a="1"/>
  <c r="AE37" i="40"/>
  <c r="D4" i="28"/>
  <c r="D5" i="28"/>
  <c r="D6" i="28"/>
  <c r="D7" i="28"/>
  <c r="D8" i="28"/>
  <c r="D9" i="28"/>
  <c r="D10" i="28"/>
  <c r="D11" i="28"/>
  <c r="D12" i="28"/>
  <c r="C4" i="28"/>
  <c r="C5" i="28"/>
  <c r="C6" i="28"/>
  <c r="R33" i="40"/>
  <c r="I61" i="40"/>
  <c r="K4" i="27"/>
  <c r="K5" i="27"/>
  <c r="K6" i="27"/>
  <c r="K7" i="27"/>
  <c r="K8" i="27"/>
  <c r="K9" i="27"/>
  <c r="K10" i="27"/>
  <c r="K11" i="27"/>
  <c r="K12" i="27"/>
  <c r="K13" i="27"/>
  <c r="F13" i="27"/>
  <c r="AE44" i="40" a="1"/>
  <c r="AE44" i="40"/>
  <c r="D4" i="27"/>
  <c r="D5" i="27"/>
  <c r="D6" i="27"/>
  <c r="D7" i="27"/>
  <c r="D8" i="27"/>
  <c r="D9" i="27"/>
  <c r="D10" i="27"/>
  <c r="D11" i="27"/>
  <c r="D12" i="27"/>
  <c r="C4" i="27"/>
  <c r="C5" i="27"/>
  <c r="C6" i="27"/>
  <c r="R40" i="40"/>
  <c r="I57" i="40"/>
  <c r="R15" i="40"/>
  <c r="I76" i="40"/>
  <c r="R14" i="40"/>
  <c r="I75" i="40"/>
  <c r="R13" i="40"/>
  <c r="I74" i="40"/>
  <c r="C7" i="30"/>
  <c r="R22" i="40"/>
  <c r="I72" i="40"/>
  <c r="R21" i="40"/>
  <c r="I71" i="40"/>
  <c r="R20" i="40"/>
  <c r="I70" i="40"/>
  <c r="R29" i="40"/>
  <c r="I68" i="40"/>
  <c r="R28" i="40"/>
  <c r="I67" i="40"/>
  <c r="R27" i="40"/>
  <c r="I66" i="40"/>
  <c r="C7" i="28"/>
  <c r="R36" i="40"/>
  <c r="I64" i="40"/>
  <c r="R35" i="40"/>
  <c r="I63" i="40"/>
  <c r="R34" i="40"/>
  <c r="I62" i="40"/>
  <c r="C7" i="27"/>
  <c r="R43" i="40"/>
  <c r="I60" i="40"/>
  <c r="R42" i="40"/>
  <c r="I59" i="40"/>
  <c r="R41" i="40"/>
  <c r="I58" i="40"/>
  <c r="K4" i="26"/>
  <c r="K5" i="26"/>
  <c r="K6" i="26"/>
  <c r="K7" i="26"/>
  <c r="K8" i="26"/>
  <c r="K9" i="26"/>
  <c r="K10" i="26"/>
  <c r="K11" i="26"/>
  <c r="K12" i="26"/>
  <c r="K13" i="26"/>
  <c r="D4" i="26"/>
  <c r="D5" i="26"/>
  <c r="D6" i="26"/>
  <c r="D7" i="26"/>
  <c r="D8" i="26"/>
  <c r="D9" i="26"/>
  <c r="D10" i="26"/>
  <c r="D11" i="26"/>
  <c r="D12" i="26"/>
  <c r="C4" i="26"/>
  <c r="C5" i="26"/>
  <c r="C6" i="26"/>
  <c r="R50" i="40"/>
  <c r="I56" i="40"/>
  <c r="C7" i="26"/>
  <c r="R49" i="40"/>
  <c r="I55" i="40"/>
  <c r="R48" i="40"/>
  <c r="I54" i="40"/>
  <c r="R47" i="40"/>
  <c r="I53" i="40"/>
  <c r="E49" i="9"/>
  <c r="AD7" i="6"/>
  <c r="Q68" i="3"/>
  <c r="F8" i="3"/>
  <c r="Q67" i="3"/>
  <c r="F7" i="3"/>
  <c r="Q64" i="3"/>
  <c r="F4" i="3"/>
  <c r="Q65" i="3"/>
  <c r="F5" i="3"/>
  <c r="Q66" i="3"/>
  <c r="F6" i="3"/>
  <c r="C17" i="3"/>
  <c r="C18" i="3"/>
  <c r="C19" i="3"/>
  <c r="C20" i="3"/>
  <c r="BR52" i="3"/>
  <c r="BT51" i="3"/>
  <c r="BU51" i="3"/>
  <c r="BV51" i="3"/>
  <c r="BW51" i="3"/>
  <c r="BR53" i="3"/>
  <c r="BS51" i="3"/>
  <c r="BR54" i="3"/>
  <c r="BR55" i="3"/>
  <c r="BR56" i="3"/>
  <c r="BR30" i="3"/>
  <c r="BT29" i="3"/>
  <c r="BR31" i="3"/>
  <c r="BS29" i="3"/>
  <c r="BU29" i="3"/>
  <c r="BR32" i="3"/>
  <c r="BV40" i="3"/>
  <c r="BV29" i="3"/>
  <c r="BR33" i="3"/>
  <c r="BW29" i="3"/>
  <c r="BR34" i="3"/>
  <c r="BR44" i="3"/>
  <c r="C21" i="3"/>
  <c r="BW40" i="3"/>
  <c r="BR45" i="3"/>
  <c r="BR41" i="3"/>
  <c r="BS40" i="3"/>
  <c r="BT40" i="3"/>
  <c r="BU40" i="3"/>
  <c r="BR42" i="3"/>
  <c r="BR43" i="3"/>
  <c r="AE22" i="31"/>
  <c r="AE21" i="31"/>
  <c r="AE20" i="31"/>
  <c r="AE19" i="31"/>
  <c r="AE18" i="31"/>
  <c r="AE17" i="31"/>
  <c r="AE22" i="30"/>
  <c r="AE21" i="30"/>
  <c r="AE20" i="30"/>
  <c r="AE19" i="30"/>
  <c r="AE18" i="30"/>
  <c r="AE17" i="30"/>
  <c r="AE22" i="29"/>
  <c r="AE21" i="29"/>
  <c r="AE20" i="29"/>
  <c r="AE19" i="29"/>
  <c r="AE18" i="29"/>
  <c r="AE17" i="29"/>
  <c r="AE22" i="28"/>
  <c r="AE21" i="28"/>
  <c r="AE20" i="28"/>
  <c r="AE19" i="28"/>
  <c r="AE18" i="28"/>
  <c r="AE17" i="28"/>
  <c r="AE22" i="27"/>
  <c r="AE21" i="27"/>
  <c r="AE20" i="27"/>
  <c r="AE19" i="27"/>
  <c r="AE18" i="27"/>
  <c r="AE17" i="27"/>
  <c r="AE22" i="26"/>
  <c r="AE21" i="26"/>
  <c r="AE20" i="26"/>
  <c r="AE19" i="26"/>
  <c r="AE18" i="26"/>
  <c r="AE17" i="26"/>
  <c r="AE22" i="35"/>
  <c r="AE21" i="35"/>
  <c r="AE20" i="35"/>
  <c r="AE19" i="35"/>
  <c r="AE18" i="35"/>
  <c r="AE17" i="35"/>
  <c r="AE22" i="25"/>
  <c r="AE21" i="25"/>
  <c r="AE20" i="25"/>
  <c r="AE19" i="25"/>
  <c r="AE18" i="25"/>
  <c r="AE17" i="25"/>
  <c r="AE22" i="17"/>
  <c r="AE21" i="17"/>
  <c r="AE20" i="17"/>
  <c r="AE19" i="17"/>
  <c r="AE18" i="17"/>
  <c r="AE17" i="17"/>
  <c r="AE22" i="3"/>
  <c r="AE21" i="3"/>
  <c r="AE20" i="3"/>
  <c r="AE19" i="3"/>
  <c r="AE18" i="3"/>
  <c r="AE17" i="3"/>
  <c r="Q45" i="40"/>
  <c r="Q38" i="40"/>
  <c r="Q31" i="40"/>
  <c r="Q24" i="40"/>
  <c r="Q17" i="40"/>
  <c r="V100" i="31"/>
  <c r="W100" i="31"/>
  <c r="X100" i="31"/>
  <c r="Y100" i="31"/>
  <c r="AA100" i="31"/>
  <c r="AF100" i="31"/>
  <c r="AE100" i="31"/>
  <c r="AB100" i="31"/>
  <c r="Z100" i="31"/>
  <c r="AB99" i="31"/>
  <c r="Z99" i="31"/>
  <c r="AB98" i="31"/>
  <c r="Z98" i="31"/>
  <c r="AB97" i="31"/>
  <c r="Z97" i="31"/>
  <c r="AB96" i="31"/>
  <c r="Z96" i="31"/>
  <c r="AB95" i="31"/>
  <c r="Z95" i="31"/>
  <c r="AB94" i="31"/>
  <c r="Z94" i="31"/>
  <c r="AB93" i="31"/>
  <c r="Z93" i="31"/>
  <c r="AB92" i="31"/>
  <c r="Z92" i="31"/>
  <c r="AB91" i="31"/>
  <c r="Z91" i="31"/>
  <c r="AB90" i="31"/>
  <c r="Z90" i="31"/>
  <c r="AB89" i="31"/>
  <c r="Z89" i="31"/>
  <c r="AB88" i="31"/>
  <c r="Z88" i="31"/>
  <c r="AB87" i="31"/>
  <c r="Z87" i="31"/>
  <c r="AB86" i="31"/>
  <c r="Z86" i="31"/>
  <c r="AB85" i="31"/>
  <c r="Z85" i="31"/>
  <c r="AB84" i="31"/>
  <c r="Z84" i="31"/>
  <c r="AB83" i="31"/>
  <c r="Z83" i="31"/>
  <c r="V100" i="30"/>
  <c r="W100" i="30"/>
  <c r="X100" i="30"/>
  <c r="Y100" i="30"/>
  <c r="AA100" i="30"/>
  <c r="AF100" i="30"/>
  <c r="AE100" i="30"/>
  <c r="AB100" i="30"/>
  <c r="Z100" i="30"/>
  <c r="AB99" i="30"/>
  <c r="Z99" i="30"/>
  <c r="AB98" i="30"/>
  <c r="Z98" i="30"/>
  <c r="AB97" i="30"/>
  <c r="Z97" i="30"/>
  <c r="AB96" i="30"/>
  <c r="Z96" i="30"/>
  <c r="AB95" i="30"/>
  <c r="Z95" i="30"/>
  <c r="AB94" i="30"/>
  <c r="Z94" i="30"/>
  <c r="AB93" i="30"/>
  <c r="Z93" i="30"/>
  <c r="AB92" i="30"/>
  <c r="Z92" i="30"/>
  <c r="AB91" i="30"/>
  <c r="Z91" i="30"/>
  <c r="AB90" i="30"/>
  <c r="Z90" i="30"/>
  <c r="AB89" i="30"/>
  <c r="Z89" i="30"/>
  <c r="AB88" i="30"/>
  <c r="Z88" i="30"/>
  <c r="AB87" i="30"/>
  <c r="Z87" i="30"/>
  <c r="AB86" i="30"/>
  <c r="Z86" i="30"/>
  <c r="AB85" i="30"/>
  <c r="Z85" i="30"/>
  <c r="AB84" i="30"/>
  <c r="Z84" i="30"/>
  <c r="AB83" i="30"/>
  <c r="Z83" i="30"/>
  <c r="V100" i="29"/>
  <c r="W100" i="29"/>
  <c r="X100" i="29"/>
  <c r="Y100" i="29"/>
  <c r="AA100" i="29"/>
  <c r="AF100" i="29"/>
  <c r="AE100" i="29"/>
  <c r="AB100" i="29"/>
  <c r="Z100" i="29"/>
  <c r="AB99" i="29"/>
  <c r="Z99" i="29"/>
  <c r="AB98" i="29"/>
  <c r="Z98" i="29"/>
  <c r="AB97" i="29"/>
  <c r="Z97" i="29"/>
  <c r="AB96" i="29"/>
  <c r="Z96" i="29"/>
  <c r="AB95" i="29"/>
  <c r="Z95" i="29"/>
  <c r="AB94" i="29"/>
  <c r="Z94" i="29"/>
  <c r="AB93" i="29"/>
  <c r="Z93" i="29"/>
  <c r="AB92" i="29"/>
  <c r="Z92" i="29"/>
  <c r="AB91" i="29"/>
  <c r="Z91" i="29"/>
  <c r="AB90" i="29"/>
  <c r="Z90" i="29"/>
  <c r="AB89" i="29"/>
  <c r="Z89" i="29"/>
  <c r="AB88" i="29"/>
  <c r="Z88" i="29"/>
  <c r="AB87" i="29"/>
  <c r="Z87" i="29"/>
  <c r="AB86" i="29"/>
  <c r="Z86" i="29"/>
  <c r="AB85" i="29"/>
  <c r="Z85" i="29"/>
  <c r="AB84" i="29"/>
  <c r="Z84" i="29"/>
  <c r="AB83" i="29"/>
  <c r="Z83" i="29"/>
  <c r="V100" i="28"/>
  <c r="W100" i="28"/>
  <c r="X100" i="28"/>
  <c r="Y100" i="28"/>
  <c r="AA100" i="28"/>
  <c r="AF100" i="28"/>
  <c r="AE100" i="28"/>
  <c r="AB100" i="28"/>
  <c r="Z100" i="28"/>
  <c r="AB99" i="28"/>
  <c r="Z99" i="28"/>
  <c r="AB98" i="28"/>
  <c r="Z98" i="28"/>
  <c r="AB97" i="28"/>
  <c r="Z97" i="28"/>
  <c r="AB96" i="28"/>
  <c r="Z96" i="28"/>
  <c r="AB95" i="28"/>
  <c r="Z95" i="28"/>
  <c r="AB94" i="28"/>
  <c r="Z94" i="28"/>
  <c r="AB93" i="28"/>
  <c r="Z93" i="28"/>
  <c r="AB92" i="28"/>
  <c r="Z92" i="28"/>
  <c r="AB91" i="28"/>
  <c r="Z91" i="28"/>
  <c r="AB90" i="28"/>
  <c r="Z90" i="28"/>
  <c r="AB89" i="28"/>
  <c r="Z89" i="28"/>
  <c r="AB88" i="28"/>
  <c r="Z88" i="28"/>
  <c r="AB87" i="28"/>
  <c r="Z87" i="28"/>
  <c r="AB86" i="28"/>
  <c r="Z86" i="28"/>
  <c r="AB85" i="28"/>
  <c r="Z85" i="28"/>
  <c r="AB84" i="28"/>
  <c r="Z84" i="28"/>
  <c r="AB83" i="28"/>
  <c r="Z83" i="28"/>
  <c r="V100" i="27"/>
  <c r="W100" i="27"/>
  <c r="X100" i="27"/>
  <c r="Y100" i="27"/>
  <c r="AA100" i="27"/>
  <c r="AF100" i="27"/>
  <c r="AE100" i="27"/>
  <c r="AB100" i="27"/>
  <c r="Z100" i="27"/>
  <c r="AB99" i="27"/>
  <c r="Z99" i="27"/>
  <c r="AB98" i="27"/>
  <c r="Z98" i="27"/>
  <c r="AB97" i="27"/>
  <c r="Z97" i="27"/>
  <c r="AB96" i="27"/>
  <c r="Z96" i="27"/>
  <c r="AB95" i="27"/>
  <c r="Z95" i="27"/>
  <c r="AB94" i="27"/>
  <c r="Z94" i="27"/>
  <c r="AB93" i="27"/>
  <c r="Z93" i="27"/>
  <c r="AB92" i="27"/>
  <c r="Z92" i="27"/>
  <c r="AB91" i="27"/>
  <c r="Z91" i="27"/>
  <c r="AB90" i="27"/>
  <c r="Z90" i="27"/>
  <c r="AB89" i="27"/>
  <c r="Z89" i="27"/>
  <c r="AB88" i="27"/>
  <c r="Z88" i="27"/>
  <c r="AB87" i="27"/>
  <c r="Z87" i="27"/>
  <c r="AB86" i="27"/>
  <c r="Z86" i="27"/>
  <c r="AB85" i="27"/>
  <c r="Z85" i="27"/>
  <c r="AB84" i="27"/>
  <c r="Z84" i="27"/>
  <c r="AB83" i="27"/>
  <c r="Z83" i="27"/>
  <c r="H52" i="40"/>
  <c r="Y17" i="31"/>
  <c r="Y18" i="31"/>
  <c r="Y19" i="31"/>
  <c r="Y20" i="31"/>
  <c r="S12" i="40"/>
  <c r="AF39" i="40"/>
  <c r="C47" i="40" a="1"/>
  <c r="C47" i="40"/>
  <c r="C12" i="40" a="1"/>
  <c r="C12" i="40"/>
  <c r="AA100" i="26"/>
  <c r="AE100" i="26"/>
  <c r="AF100" i="26"/>
  <c r="Y17" i="26"/>
  <c r="Y18" i="26"/>
  <c r="Y19" i="26"/>
  <c r="Y20" i="26"/>
  <c r="Y17" i="30"/>
  <c r="Y18" i="30"/>
  <c r="Y19" i="30"/>
  <c r="Y20" i="30"/>
  <c r="L4" i="30"/>
  <c r="M4" i="30"/>
  <c r="N4" i="30"/>
  <c r="L5" i="30"/>
  <c r="M5" i="30"/>
  <c r="N5" i="30"/>
  <c r="L6" i="30"/>
  <c r="M6" i="30"/>
  <c r="N6" i="30"/>
  <c r="L7" i="30"/>
  <c r="M7" i="30"/>
  <c r="N7" i="30"/>
  <c r="C8" i="30"/>
  <c r="L8" i="30"/>
  <c r="M8" i="30"/>
  <c r="N8" i="30"/>
  <c r="C9" i="30"/>
  <c r="L9" i="30"/>
  <c r="M9" i="30"/>
  <c r="N9" i="30"/>
  <c r="C10" i="30"/>
  <c r="L10" i="30"/>
  <c r="M10" i="30"/>
  <c r="N10" i="30"/>
  <c r="C11" i="30"/>
  <c r="L11" i="30"/>
  <c r="M11" i="30"/>
  <c r="N11" i="30"/>
  <c r="C12" i="30"/>
  <c r="L12" i="30"/>
  <c r="M12" i="30"/>
  <c r="N12" i="30"/>
  <c r="Y17" i="29"/>
  <c r="Y18" i="29"/>
  <c r="Y19" i="29"/>
  <c r="Y20" i="29"/>
  <c r="L4" i="29"/>
  <c r="M4" i="29"/>
  <c r="N4" i="29"/>
  <c r="L5" i="29"/>
  <c r="M5" i="29"/>
  <c r="N5" i="29"/>
  <c r="L6" i="29"/>
  <c r="M6" i="29"/>
  <c r="N6" i="29"/>
  <c r="L7" i="29"/>
  <c r="M7" i="29"/>
  <c r="N7" i="29"/>
  <c r="C8" i="29"/>
  <c r="L8" i="29"/>
  <c r="M8" i="29"/>
  <c r="N8" i="29"/>
  <c r="C9" i="29"/>
  <c r="L9" i="29"/>
  <c r="M9" i="29"/>
  <c r="N9" i="29"/>
  <c r="C10" i="29"/>
  <c r="L10" i="29"/>
  <c r="M10" i="29"/>
  <c r="N10" i="29"/>
  <c r="C11" i="29"/>
  <c r="L11" i="29"/>
  <c r="M11" i="29"/>
  <c r="N11" i="29"/>
  <c r="C12" i="29"/>
  <c r="L12" i="29"/>
  <c r="M12" i="29"/>
  <c r="N12" i="29"/>
  <c r="Y17" i="28"/>
  <c r="Y18" i="28"/>
  <c r="Y19" i="28"/>
  <c r="Y20" i="28"/>
  <c r="L4" i="28"/>
  <c r="M4" i="28"/>
  <c r="N4" i="28"/>
  <c r="L5" i="28"/>
  <c r="M5" i="28"/>
  <c r="N5" i="28"/>
  <c r="L6" i="28"/>
  <c r="M6" i="28"/>
  <c r="N6" i="28"/>
  <c r="L7" i="28"/>
  <c r="M7" i="28"/>
  <c r="N7" i="28"/>
  <c r="C8" i="28"/>
  <c r="L8" i="28"/>
  <c r="M8" i="28"/>
  <c r="N8" i="28"/>
  <c r="C9" i="28"/>
  <c r="L9" i="28"/>
  <c r="M9" i="28"/>
  <c r="N9" i="28"/>
  <c r="C10" i="28"/>
  <c r="L10" i="28"/>
  <c r="M10" i="28"/>
  <c r="N10" i="28"/>
  <c r="C11" i="28"/>
  <c r="L11" i="28"/>
  <c r="M11" i="28"/>
  <c r="N11" i="28"/>
  <c r="C12" i="28"/>
  <c r="L12" i="28"/>
  <c r="M12" i="28"/>
  <c r="N12" i="28"/>
  <c r="Y17" i="27"/>
  <c r="Y18" i="27"/>
  <c r="Y19" i="27"/>
  <c r="Y20" i="27"/>
  <c r="L4" i="27"/>
  <c r="M4" i="27"/>
  <c r="N4" i="27"/>
  <c r="L5" i="27"/>
  <c r="M5" i="27"/>
  <c r="N5" i="27"/>
  <c r="L6" i="27"/>
  <c r="M6" i="27"/>
  <c r="N6" i="27"/>
  <c r="L7" i="27"/>
  <c r="M7" i="27"/>
  <c r="N7" i="27"/>
  <c r="C8" i="27"/>
  <c r="L8" i="27"/>
  <c r="M8" i="27"/>
  <c r="N8" i="27"/>
  <c r="C9" i="27"/>
  <c r="L9" i="27"/>
  <c r="M9" i="27"/>
  <c r="N9" i="27"/>
  <c r="C10" i="27"/>
  <c r="L10" i="27"/>
  <c r="M10" i="27"/>
  <c r="N10" i="27"/>
  <c r="C11" i="27"/>
  <c r="L11" i="27"/>
  <c r="M11" i="27"/>
  <c r="N11" i="27"/>
  <c r="C12" i="27"/>
  <c r="L12" i="27"/>
  <c r="M12" i="27"/>
  <c r="N12" i="27"/>
  <c r="L4" i="26"/>
  <c r="M4" i="26"/>
  <c r="N4" i="26"/>
  <c r="L5" i="26"/>
  <c r="M5" i="26"/>
  <c r="N5" i="26"/>
  <c r="L6" i="26"/>
  <c r="M6" i="26"/>
  <c r="N6" i="26"/>
  <c r="L7" i="26"/>
  <c r="M7" i="26"/>
  <c r="N7" i="26"/>
  <c r="C8" i="26"/>
  <c r="L8" i="26"/>
  <c r="M8" i="26"/>
  <c r="N8" i="26"/>
  <c r="C9" i="26"/>
  <c r="L9" i="26"/>
  <c r="M9" i="26"/>
  <c r="N9" i="26"/>
  <c r="C10" i="26"/>
  <c r="L10" i="26"/>
  <c r="M10" i="26"/>
  <c r="N10" i="26"/>
  <c r="C11" i="26"/>
  <c r="L11" i="26"/>
  <c r="M11" i="26"/>
  <c r="N11" i="26"/>
  <c r="C12" i="26"/>
  <c r="L12" i="26"/>
  <c r="M12" i="26"/>
  <c r="N12" i="26"/>
  <c r="Q68" i="28"/>
  <c r="Q69" i="28"/>
  <c r="Q70" i="28"/>
  <c r="Q71" i="28"/>
  <c r="Q72" i="28"/>
  <c r="F8" i="26"/>
  <c r="F9" i="26"/>
  <c r="F10" i="26"/>
  <c r="F11" i="26"/>
  <c r="F12" i="26"/>
  <c r="BW51" i="26"/>
  <c r="BX51" i="26"/>
  <c r="BY51" i="26"/>
  <c r="BZ51" i="26"/>
  <c r="CA51" i="26"/>
  <c r="BR56" i="26"/>
  <c r="BR57" i="26"/>
  <c r="BR58" i="26"/>
  <c r="BR59" i="26"/>
  <c r="BR60" i="26"/>
  <c r="C21" i="26"/>
  <c r="C22" i="26"/>
  <c r="C23" i="26"/>
  <c r="C24" i="26"/>
  <c r="C25" i="26"/>
  <c r="BW29" i="26"/>
  <c r="BR34" i="26"/>
  <c r="BX29" i="26"/>
  <c r="BR35" i="26"/>
  <c r="BY29" i="26"/>
  <c r="BR36" i="26"/>
  <c r="BZ29" i="26"/>
  <c r="BR37" i="26"/>
  <c r="CA29" i="26"/>
  <c r="BR38" i="26"/>
  <c r="BW40" i="26"/>
  <c r="BX40" i="26"/>
  <c r="BY40" i="26"/>
  <c r="BZ40" i="26"/>
  <c r="CA40" i="26"/>
  <c r="BR45" i="26"/>
  <c r="BR46" i="26"/>
  <c r="BR47" i="26"/>
  <c r="BR48" i="26"/>
  <c r="BR49" i="26"/>
  <c r="AA50" i="40"/>
  <c r="Z50" i="40"/>
  <c r="Y50" i="40"/>
  <c r="W50" i="40"/>
  <c r="V50" i="40"/>
  <c r="U50" i="40"/>
  <c r="T50" i="40"/>
  <c r="S50" i="40"/>
  <c r="Q47" i="40"/>
  <c r="Q48" i="40"/>
  <c r="Q49" i="40"/>
  <c r="Q50" i="40"/>
  <c r="AA49" i="40"/>
  <c r="Z49" i="40"/>
  <c r="Y49" i="40"/>
  <c r="W49" i="40"/>
  <c r="V49" i="40"/>
  <c r="U49" i="40"/>
  <c r="T49" i="40"/>
  <c r="S49" i="40"/>
  <c r="AA48" i="40"/>
  <c r="Z48" i="40"/>
  <c r="Y48" i="40"/>
  <c r="W48" i="40"/>
  <c r="V48" i="40"/>
  <c r="U48" i="40"/>
  <c r="T48" i="40"/>
  <c r="S48" i="40"/>
  <c r="AA47" i="40"/>
  <c r="Z47" i="40"/>
  <c r="Y47" i="40"/>
  <c r="W47" i="40"/>
  <c r="V47" i="40"/>
  <c r="U47" i="40"/>
  <c r="T47" i="40"/>
  <c r="S47" i="40"/>
  <c r="F8" i="27"/>
  <c r="F9" i="27"/>
  <c r="F10" i="27"/>
  <c r="F11" i="27"/>
  <c r="F12" i="27"/>
  <c r="BW51" i="27"/>
  <c r="BX51" i="27"/>
  <c r="BY51" i="27"/>
  <c r="BZ51" i="27"/>
  <c r="CA51" i="27"/>
  <c r="BR56" i="27"/>
  <c r="BR57" i="27"/>
  <c r="BR58" i="27"/>
  <c r="BR59" i="27"/>
  <c r="BR60" i="27"/>
  <c r="C21" i="27"/>
  <c r="C22" i="27"/>
  <c r="C23" i="27"/>
  <c r="C24" i="27"/>
  <c r="C25" i="27"/>
  <c r="BW29" i="27"/>
  <c r="BR34" i="27"/>
  <c r="BX29" i="27"/>
  <c r="BR35" i="27"/>
  <c r="BY29" i="27"/>
  <c r="BR36" i="27"/>
  <c r="BZ29" i="27"/>
  <c r="BR37" i="27"/>
  <c r="CA29" i="27"/>
  <c r="BR38" i="27"/>
  <c r="BW40" i="27"/>
  <c r="BX40" i="27"/>
  <c r="BY40" i="27"/>
  <c r="BZ40" i="27"/>
  <c r="CA40" i="27"/>
  <c r="BR45" i="27"/>
  <c r="BR46" i="27"/>
  <c r="BR47" i="27"/>
  <c r="BR48" i="27"/>
  <c r="BR49" i="27"/>
  <c r="AA43" i="40"/>
  <c r="Z43" i="40"/>
  <c r="Y43" i="40"/>
  <c r="W43" i="40"/>
  <c r="V43" i="40"/>
  <c r="U43" i="40"/>
  <c r="T43" i="40"/>
  <c r="S43" i="40"/>
  <c r="Q40" i="40"/>
  <c r="Q41" i="40"/>
  <c r="Q42" i="40"/>
  <c r="Q43" i="40"/>
  <c r="AA42" i="40"/>
  <c r="Z42" i="40"/>
  <c r="Y42" i="40"/>
  <c r="W42" i="40"/>
  <c r="V42" i="40"/>
  <c r="U42" i="40"/>
  <c r="T42" i="40"/>
  <c r="S42" i="40"/>
  <c r="AA41" i="40"/>
  <c r="Z41" i="40"/>
  <c r="Y41" i="40"/>
  <c r="W41" i="40"/>
  <c r="V41" i="40"/>
  <c r="U41" i="40"/>
  <c r="T41" i="40"/>
  <c r="S41" i="40"/>
  <c r="AA40" i="40"/>
  <c r="Z40" i="40"/>
  <c r="Y40" i="40"/>
  <c r="W40" i="40"/>
  <c r="V40" i="40"/>
  <c r="U40" i="40"/>
  <c r="T40" i="40"/>
  <c r="S40" i="40"/>
  <c r="F8" i="28"/>
  <c r="F9" i="28"/>
  <c r="F10" i="28"/>
  <c r="F11" i="28"/>
  <c r="F12" i="28"/>
  <c r="BW51" i="28"/>
  <c r="BX51" i="28"/>
  <c r="BY51" i="28"/>
  <c r="BZ51" i="28"/>
  <c r="CA51" i="28"/>
  <c r="BR56" i="28"/>
  <c r="BR57" i="28"/>
  <c r="BR58" i="28"/>
  <c r="BR59" i="28"/>
  <c r="BR60" i="28"/>
  <c r="C21" i="28"/>
  <c r="C22" i="28"/>
  <c r="C23" i="28"/>
  <c r="C24" i="28"/>
  <c r="C25" i="28"/>
  <c r="BW29" i="28"/>
  <c r="BR34" i="28"/>
  <c r="BX29" i="28"/>
  <c r="BR35" i="28"/>
  <c r="BY29" i="28"/>
  <c r="BR36" i="28"/>
  <c r="BZ29" i="28"/>
  <c r="BR37" i="28"/>
  <c r="CA29" i="28"/>
  <c r="BR38" i="28"/>
  <c r="BW40" i="28"/>
  <c r="BX40" i="28"/>
  <c r="BY40" i="28"/>
  <c r="BZ40" i="28"/>
  <c r="CA40" i="28"/>
  <c r="BR45" i="28"/>
  <c r="BR46" i="28"/>
  <c r="BR47" i="28"/>
  <c r="BR48" i="28"/>
  <c r="BR49" i="28"/>
  <c r="AA36" i="40"/>
  <c r="Z36" i="40"/>
  <c r="Y36" i="40"/>
  <c r="W36" i="40"/>
  <c r="V36" i="40"/>
  <c r="U36" i="40"/>
  <c r="T36" i="40"/>
  <c r="S36" i="40"/>
  <c r="Q33" i="40"/>
  <c r="Q34" i="40"/>
  <c r="Q35" i="40"/>
  <c r="Q36" i="40"/>
  <c r="AA35" i="40"/>
  <c r="Z35" i="40"/>
  <c r="Y35" i="40"/>
  <c r="W35" i="40"/>
  <c r="V35" i="40"/>
  <c r="U35" i="40"/>
  <c r="T35" i="40"/>
  <c r="S35" i="40"/>
  <c r="AA34" i="40"/>
  <c r="Z34" i="40"/>
  <c r="Y34" i="40"/>
  <c r="W34" i="40"/>
  <c r="V34" i="40"/>
  <c r="U34" i="40"/>
  <c r="T34" i="40"/>
  <c r="S34" i="40"/>
  <c r="AA33" i="40"/>
  <c r="Z33" i="40"/>
  <c r="Y33" i="40"/>
  <c r="W33" i="40"/>
  <c r="V33" i="40"/>
  <c r="U33" i="40"/>
  <c r="T33" i="40"/>
  <c r="S33" i="40"/>
  <c r="AA22" i="40"/>
  <c r="Z22" i="40"/>
  <c r="Y22" i="40"/>
  <c r="W22" i="40"/>
  <c r="V22" i="40"/>
  <c r="U22" i="40"/>
  <c r="T22" i="40"/>
  <c r="S22" i="40"/>
  <c r="Q19" i="40"/>
  <c r="Q20" i="40"/>
  <c r="Q21" i="40"/>
  <c r="Q22" i="40"/>
  <c r="AA21" i="40"/>
  <c r="Z21" i="40"/>
  <c r="Y21" i="40"/>
  <c r="W21" i="40"/>
  <c r="V21" i="40"/>
  <c r="U21" i="40"/>
  <c r="T21" i="40"/>
  <c r="S21" i="40"/>
  <c r="AA20" i="40"/>
  <c r="Z20" i="40"/>
  <c r="Y20" i="40"/>
  <c r="W20" i="40"/>
  <c r="V20" i="40"/>
  <c r="U20" i="40"/>
  <c r="T20" i="40"/>
  <c r="S20" i="40"/>
  <c r="AA19" i="40"/>
  <c r="Z19" i="40"/>
  <c r="Y19" i="40"/>
  <c r="W19" i="40"/>
  <c r="V19" i="40"/>
  <c r="U19" i="40"/>
  <c r="T19" i="40"/>
  <c r="S19" i="40"/>
  <c r="F8" i="29"/>
  <c r="F9" i="29"/>
  <c r="F10" i="29"/>
  <c r="F11" i="29"/>
  <c r="F12" i="29"/>
  <c r="BW51" i="29"/>
  <c r="BX51" i="29"/>
  <c r="BY51" i="29"/>
  <c r="BZ51" i="29"/>
  <c r="CA51" i="29"/>
  <c r="BR56" i="29"/>
  <c r="BR57" i="29"/>
  <c r="BR58" i="29"/>
  <c r="BR59" i="29"/>
  <c r="BR60" i="29"/>
  <c r="C21" i="29"/>
  <c r="C22" i="29"/>
  <c r="C23" i="29"/>
  <c r="C24" i="29"/>
  <c r="C25" i="29"/>
  <c r="BW29" i="29"/>
  <c r="BR34" i="29"/>
  <c r="BX29" i="29"/>
  <c r="BR35" i="29"/>
  <c r="BY29" i="29"/>
  <c r="BR36" i="29"/>
  <c r="BZ29" i="29"/>
  <c r="BR37" i="29"/>
  <c r="CA29" i="29"/>
  <c r="BR38" i="29"/>
  <c r="BW40" i="29"/>
  <c r="BX40" i="29"/>
  <c r="BY40" i="29"/>
  <c r="BZ40" i="29"/>
  <c r="CA40" i="29"/>
  <c r="BR45" i="29"/>
  <c r="BR46" i="29"/>
  <c r="BR47" i="29"/>
  <c r="BR48" i="29"/>
  <c r="BR49" i="29"/>
  <c r="AA29" i="40"/>
  <c r="Z29" i="40"/>
  <c r="Y29" i="40"/>
  <c r="W29" i="40"/>
  <c r="V29" i="40"/>
  <c r="U29" i="40"/>
  <c r="T29" i="40"/>
  <c r="S29" i="40"/>
  <c r="Q26" i="40"/>
  <c r="Q27" i="40"/>
  <c r="Q28" i="40"/>
  <c r="Q29" i="40"/>
  <c r="AA28" i="40"/>
  <c r="Z28" i="40"/>
  <c r="Y28" i="40"/>
  <c r="W28" i="40"/>
  <c r="V28" i="40"/>
  <c r="U28" i="40"/>
  <c r="T28" i="40"/>
  <c r="S28" i="40"/>
  <c r="AA27" i="40"/>
  <c r="Z27" i="40"/>
  <c r="Y27" i="40"/>
  <c r="W27" i="40"/>
  <c r="V27" i="40"/>
  <c r="U27" i="40"/>
  <c r="T27" i="40"/>
  <c r="S27" i="40"/>
  <c r="AA26" i="40"/>
  <c r="Z26" i="40"/>
  <c r="Y26" i="40"/>
  <c r="W26" i="40"/>
  <c r="V26" i="40"/>
  <c r="U26" i="40"/>
  <c r="T26" i="40"/>
  <c r="S26" i="40"/>
  <c r="AF46" i="40"/>
  <c r="AF32" i="40"/>
  <c r="AF25" i="40"/>
  <c r="AF18" i="40"/>
  <c r="X50" i="40"/>
  <c r="X49" i="40"/>
  <c r="X48" i="40"/>
  <c r="X47" i="40"/>
  <c r="E27" i="9"/>
  <c r="AA46" i="40"/>
  <c r="E26" i="9"/>
  <c r="Z46" i="40"/>
  <c r="E25" i="9"/>
  <c r="W46" i="40"/>
  <c r="E24" i="9"/>
  <c r="V46" i="40"/>
  <c r="E23" i="9"/>
  <c r="U46" i="40"/>
  <c r="E22" i="9"/>
  <c r="T46" i="40"/>
  <c r="E21" i="9"/>
  <c r="S46" i="40"/>
  <c r="X43" i="40"/>
  <c r="X42" i="40"/>
  <c r="X41" i="40"/>
  <c r="X40" i="40"/>
  <c r="AA39" i="40"/>
  <c r="Z39" i="40"/>
  <c r="W39" i="40"/>
  <c r="V39" i="40"/>
  <c r="U39" i="40"/>
  <c r="T39" i="40"/>
  <c r="S39" i="40"/>
  <c r="X36" i="40"/>
  <c r="X35" i="40"/>
  <c r="X34" i="40"/>
  <c r="X33" i="40"/>
  <c r="AA32" i="40"/>
  <c r="Z32" i="40"/>
  <c r="W32" i="40"/>
  <c r="V32" i="40"/>
  <c r="U32" i="40"/>
  <c r="T32" i="40"/>
  <c r="S32" i="40"/>
  <c r="X29" i="40"/>
  <c r="X28" i="40"/>
  <c r="X27" i="40"/>
  <c r="X26" i="40"/>
  <c r="AA25" i="40"/>
  <c r="Z25" i="40"/>
  <c r="W25" i="40"/>
  <c r="V25" i="40"/>
  <c r="U25" i="40"/>
  <c r="T25" i="40"/>
  <c r="S25" i="40"/>
  <c r="X22" i="40"/>
  <c r="X21" i="40"/>
  <c r="X20" i="40"/>
  <c r="X19" i="40"/>
  <c r="AA18" i="40"/>
  <c r="Z18" i="40"/>
  <c r="W18" i="40"/>
  <c r="V18" i="40"/>
  <c r="U18" i="40"/>
  <c r="T18" i="40"/>
  <c r="S18" i="40"/>
  <c r="AA15" i="40"/>
  <c r="Z15" i="40"/>
  <c r="Y15" i="40"/>
  <c r="W15" i="40"/>
  <c r="V15" i="40"/>
  <c r="U15" i="40"/>
  <c r="T15" i="40"/>
  <c r="S15" i="40"/>
  <c r="X13" i="40"/>
  <c r="X14" i="40"/>
  <c r="X15" i="40"/>
  <c r="X12" i="40"/>
  <c r="AA14" i="40"/>
  <c r="Z14" i="40"/>
  <c r="Y14" i="40"/>
  <c r="W14" i="40"/>
  <c r="V14" i="40"/>
  <c r="U14" i="40"/>
  <c r="T14" i="40"/>
  <c r="S14" i="40"/>
  <c r="AA13" i="40"/>
  <c r="Z13" i="40"/>
  <c r="Y13" i="40"/>
  <c r="W13" i="40"/>
  <c r="V13" i="40"/>
  <c r="U13" i="40"/>
  <c r="T13" i="40"/>
  <c r="S13" i="40"/>
  <c r="AA12" i="40"/>
  <c r="Z12" i="40"/>
  <c r="Y12" i="40"/>
  <c r="W12" i="40"/>
  <c r="V12" i="40"/>
  <c r="U12" i="40"/>
  <c r="T12" i="40"/>
  <c r="Q12" i="40"/>
  <c r="Q13" i="40"/>
  <c r="Q14" i="40"/>
  <c r="Q15" i="40"/>
  <c r="AA11" i="40"/>
  <c r="Z11" i="40"/>
  <c r="W11" i="40"/>
  <c r="V11" i="40"/>
  <c r="U11" i="40"/>
  <c r="T11" i="40"/>
  <c r="S11" i="40"/>
  <c r="M23" i="40"/>
  <c r="C24" i="40" a="1"/>
  <c r="C24" i="40"/>
  <c r="E24" i="40"/>
  <c r="M24" i="40"/>
  <c r="C25" i="40" a="1"/>
  <c r="C25" i="40"/>
  <c r="E25" i="40"/>
  <c r="M25" i="40"/>
  <c r="C26" i="40" a="1"/>
  <c r="C26" i="40"/>
  <c r="E26" i="40"/>
  <c r="M26" i="40"/>
  <c r="C27" i="40" a="1"/>
  <c r="C27" i="40"/>
  <c r="E27" i="40"/>
  <c r="M27" i="40"/>
  <c r="C28" i="40" a="1"/>
  <c r="C28" i="40"/>
  <c r="E28" i="40"/>
  <c r="M28" i="40"/>
  <c r="C29" i="40" a="1"/>
  <c r="C29" i="40"/>
  <c r="E29" i="40"/>
  <c r="M29" i="40"/>
  <c r="C30" i="40" a="1"/>
  <c r="C30" i="40"/>
  <c r="E30" i="40"/>
  <c r="M30" i="40"/>
  <c r="C31" i="40" a="1"/>
  <c r="C31" i="40"/>
  <c r="E31" i="40"/>
  <c r="M31" i="40"/>
  <c r="C32" i="40" a="1"/>
  <c r="C32" i="40"/>
  <c r="E32" i="40"/>
  <c r="M32" i="40"/>
  <c r="C33" i="40" a="1"/>
  <c r="C33" i="40"/>
  <c r="E33" i="40"/>
  <c r="M33" i="40"/>
  <c r="C34" i="40" a="1"/>
  <c r="C34" i="40"/>
  <c r="E34" i="40"/>
  <c r="M34" i="40"/>
  <c r="C35" i="40" a="1"/>
  <c r="C35" i="40"/>
  <c r="E35" i="40"/>
  <c r="M35" i="40"/>
  <c r="C36" i="40" a="1"/>
  <c r="C36" i="40"/>
  <c r="E36" i="40"/>
  <c r="M36" i="40"/>
  <c r="C37" i="40" a="1"/>
  <c r="C37" i="40"/>
  <c r="E37" i="40"/>
  <c r="M37" i="40"/>
  <c r="C38" i="40" a="1"/>
  <c r="C38" i="40"/>
  <c r="E38" i="40"/>
  <c r="M38" i="40"/>
  <c r="C39" i="40" a="1"/>
  <c r="C39" i="40"/>
  <c r="E39" i="40"/>
  <c r="M39" i="40"/>
  <c r="C40" i="40" a="1"/>
  <c r="C40" i="40"/>
  <c r="E40" i="40"/>
  <c r="M40" i="40"/>
  <c r="C41" i="40" a="1"/>
  <c r="C41" i="40"/>
  <c r="E41" i="40"/>
  <c r="M41" i="40"/>
  <c r="C42" i="40" a="1"/>
  <c r="C42" i="40"/>
  <c r="E42" i="40"/>
  <c r="M42" i="40"/>
  <c r="C43" i="40" a="1"/>
  <c r="C43" i="40"/>
  <c r="E43" i="40"/>
  <c r="M43" i="40"/>
  <c r="C44" i="40" a="1"/>
  <c r="C44" i="40"/>
  <c r="E44" i="40"/>
  <c r="M44" i="40"/>
  <c r="C45" i="40" a="1"/>
  <c r="C45" i="40"/>
  <c r="E45" i="40"/>
  <c r="M45" i="40"/>
  <c r="C46" i="40" a="1"/>
  <c r="C46" i="40"/>
  <c r="E46" i="40"/>
  <c r="M46" i="40"/>
  <c r="E47" i="40"/>
  <c r="M47" i="40"/>
  <c r="Q10" i="40"/>
  <c r="E103" i="9"/>
  <c r="AD7" i="40"/>
  <c r="AF11" i="40"/>
  <c r="AD10" i="40"/>
  <c r="AE18" i="40"/>
  <c r="AE25" i="40"/>
  <c r="AE32" i="40"/>
  <c r="AE39" i="40"/>
  <c r="AE46" i="40"/>
  <c r="I52" i="40"/>
  <c r="C50" i="40"/>
  <c r="M22" i="40"/>
  <c r="C22" i="40" a="1"/>
  <c r="C22" i="40"/>
  <c r="E22" i="40"/>
  <c r="M21" i="40"/>
  <c r="C21" i="40" a="1"/>
  <c r="C21" i="40"/>
  <c r="E21" i="40"/>
  <c r="M20" i="40"/>
  <c r="C20" i="40" a="1"/>
  <c r="C20" i="40"/>
  <c r="E20" i="40"/>
  <c r="M19" i="40"/>
  <c r="C19" i="40" a="1"/>
  <c r="C19" i="40"/>
  <c r="E19" i="40"/>
  <c r="M18" i="40"/>
  <c r="C18" i="40" a="1"/>
  <c r="C18" i="40"/>
  <c r="E18" i="40"/>
  <c r="M17" i="40"/>
  <c r="C17" i="40" a="1"/>
  <c r="C17" i="40"/>
  <c r="E17" i="40"/>
  <c r="M16" i="40"/>
  <c r="C16" i="40" a="1"/>
  <c r="C16" i="40"/>
  <c r="E16" i="40"/>
  <c r="M15" i="40"/>
  <c r="C15" i="40" a="1"/>
  <c r="C15" i="40"/>
  <c r="E15" i="40"/>
  <c r="M14" i="40"/>
  <c r="C14" i="40" a="1"/>
  <c r="C14" i="40"/>
  <c r="E14" i="40"/>
  <c r="M13" i="40"/>
  <c r="C13" i="40" a="1"/>
  <c r="C13" i="40"/>
  <c r="E13" i="40"/>
  <c r="AE11" i="40"/>
  <c r="M12" i="40"/>
  <c r="E12" i="40"/>
  <c r="L11" i="40"/>
  <c r="I11" i="40"/>
  <c r="E11" i="40"/>
  <c r="D11" i="40"/>
  <c r="E33" i="9"/>
  <c r="C11" i="40"/>
  <c r="O10" i="40"/>
  <c r="E69" i="9"/>
  <c r="C10" i="40"/>
  <c r="L7" i="40"/>
  <c r="I5" i="40"/>
  <c r="I4" i="40"/>
  <c r="I3" i="40"/>
  <c r="I2" i="40"/>
  <c r="E12" i="39"/>
  <c r="E13" i="39"/>
  <c r="C15" i="24" a="1"/>
  <c r="C15" i="24"/>
  <c r="C12" i="24" a="1"/>
  <c r="C12" i="24"/>
  <c r="E17" i="24"/>
  <c r="E18" i="24"/>
  <c r="C10" i="39"/>
  <c r="I20" i="39"/>
  <c r="F20" i="39"/>
  <c r="I18" i="39"/>
  <c r="P16" i="39"/>
  <c r="M16" i="39"/>
  <c r="F16" i="39"/>
  <c r="E16" i="39"/>
  <c r="P15" i="39"/>
  <c r="M15" i="39"/>
  <c r="F15" i="39"/>
  <c r="E15" i="39"/>
  <c r="U12" i="39"/>
  <c r="C14" i="39"/>
  <c r="P13" i="39"/>
  <c r="M13" i="39"/>
  <c r="P12" i="39"/>
  <c r="M12" i="39"/>
  <c r="O11" i="39"/>
  <c r="L11" i="39"/>
  <c r="I11" i="39"/>
  <c r="E11" i="39"/>
  <c r="D11" i="39"/>
  <c r="C11" i="39"/>
  <c r="R9" i="39"/>
  <c r="J7" i="39"/>
  <c r="H5" i="39"/>
  <c r="H4" i="39"/>
  <c r="H3" i="39"/>
  <c r="H2" i="39"/>
  <c r="E136" i="9"/>
  <c r="J71" i="9"/>
  <c r="E139" i="9"/>
  <c r="E46" i="22" a="1"/>
  <c r="E46" i="22"/>
  <c r="F46" i="22"/>
  <c r="G46" i="22"/>
  <c r="E47" i="22" a="1"/>
  <c r="E47" i="22"/>
  <c r="F47" i="22"/>
  <c r="G47" i="22"/>
  <c r="E48" i="22" a="1"/>
  <c r="E48" i="22"/>
  <c r="F48" i="22"/>
  <c r="G48" i="22"/>
  <c r="E49" i="22" a="1"/>
  <c r="E49" i="22"/>
  <c r="F49" i="22"/>
  <c r="G49" i="22"/>
  <c r="E50" i="22" a="1"/>
  <c r="E50" i="22"/>
  <c r="F50" i="22"/>
  <c r="G50" i="22"/>
  <c r="E51" i="22" a="1"/>
  <c r="E51" i="22"/>
  <c r="F51" i="22"/>
  <c r="G51" i="22"/>
  <c r="E52" i="22" a="1"/>
  <c r="E52" i="22"/>
  <c r="F52" i="22"/>
  <c r="G52" i="22"/>
  <c r="E53" i="22" a="1"/>
  <c r="E53" i="22"/>
  <c r="F53" i="22"/>
  <c r="G53" i="22"/>
  <c r="E54" i="22" a="1"/>
  <c r="E54" i="22"/>
  <c r="F54" i="22"/>
  <c r="G54" i="22"/>
  <c r="E55" i="22" a="1"/>
  <c r="E55" i="22"/>
  <c r="F55" i="22"/>
  <c r="G55" i="22"/>
  <c r="E56" i="22" a="1"/>
  <c r="E56" i="22"/>
  <c r="F56" i="22"/>
  <c r="G56" i="22"/>
  <c r="E57" i="22" a="1"/>
  <c r="E57" i="22"/>
  <c r="F57" i="22"/>
  <c r="G57" i="22"/>
  <c r="E58" i="22" a="1"/>
  <c r="E58" i="22"/>
  <c r="F58" i="22"/>
  <c r="G58" i="22"/>
  <c r="E59" i="22" a="1"/>
  <c r="E59" i="22"/>
  <c r="F59" i="22"/>
  <c r="G59" i="22"/>
  <c r="E60" i="22" a="1"/>
  <c r="E60" i="22"/>
  <c r="F60" i="22"/>
  <c r="G60" i="22"/>
  <c r="E61" i="22" a="1"/>
  <c r="E61" i="22"/>
  <c r="F61" i="22"/>
  <c r="G61" i="22"/>
  <c r="E62" i="22" a="1"/>
  <c r="E62" i="22"/>
  <c r="F62" i="22"/>
  <c r="G62" i="22"/>
  <c r="E63" i="22" a="1"/>
  <c r="E63" i="22"/>
  <c r="F63" i="22"/>
  <c r="G63" i="22"/>
  <c r="E64" i="22" a="1"/>
  <c r="E64" i="22"/>
  <c r="F64" i="22"/>
  <c r="G64" i="22"/>
  <c r="E65" i="22" a="1"/>
  <c r="E65" i="22"/>
  <c r="F65" i="22"/>
  <c r="G65" i="22"/>
  <c r="E7" i="22" a="1"/>
  <c r="E7" i="22"/>
  <c r="G7" i="22"/>
  <c r="F7" i="22"/>
  <c r="G6" i="22"/>
  <c r="F6" i="22"/>
  <c r="E6" i="22"/>
  <c r="C3" i="34"/>
  <c r="C4" i="34"/>
  <c r="E31" i="22" a="1"/>
  <c r="E31" i="22"/>
  <c r="F31" i="22"/>
  <c r="C28" i="34"/>
  <c r="E32" i="22" a="1"/>
  <c r="E32" i="22"/>
  <c r="F32" i="22"/>
  <c r="C29" i="34"/>
  <c r="E33" i="22" a="1"/>
  <c r="E33" i="22"/>
  <c r="F33" i="22"/>
  <c r="C30" i="34"/>
  <c r="E35" i="22" a="1"/>
  <c r="E35" i="22"/>
  <c r="F35" i="22"/>
  <c r="C32" i="34"/>
  <c r="E36" i="22" a="1"/>
  <c r="E36" i="22"/>
  <c r="F36" i="22"/>
  <c r="C33" i="34"/>
  <c r="E37" i="22" a="1"/>
  <c r="E37" i="22"/>
  <c r="F37" i="22"/>
  <c r="C34" i="34"/>
  <c r="E39" i="22" a="1"/>
  <c r="E39" i="22"/>
  <c r="F39" i="22"/>
  <c r="C36" i="34"/>
  <c r="E40" i="22" a="1"/>
  <c r="E40" i="22"/>
  <c r="F40" i="22"/>
  <c r="C37" i="34"/>
  <c r="E41" i="22" a="1"/>
  <c r="E41" i="22"/>
  <c r="F41" i="22"/>
  <c r="C38" i="34"/>
  <c r="E43" i="22" a="1"/>
  <c r="E43" i="22"/>
  <c r="F43" i="22"/>
  <c r="C40" i="34"/>
  <c r="E44" i="22" a="1"/>
  <c r="E44" i="22"/>
  <c r="F44" i="22"/>
  <c r="C41" i="34"/>
  <c r="E45" i="22" a="1"/>
  <c r="E45" i="22"/>
  <c r="F45" i="22"/>
  <c r="C42" i="34"/>
  <c r="C43" i="34"/>
  <c r="C44" i="34"/>
  <c r="C45" i="34"/>
  <c r="C46" i="34"/>
  <c r="C47" i="34"/>
  <c r="C48" i="34"/>
  <c r="C49" i="34"/>
  <c r="C50" i="34"/>
  <c r="C51" i="34"/>
  <c r="C52" i="34"/>
  <c r="C53" i="34"/>
  <c r="C54" i="34"/>
  <c r="C55" i="34"/>
  <c r="C56" i="34"/>
  <c r="C57" i="34"/>
  <c r="C58" i="34"/>
  <c r="C59" i="34"/>
  <c r="C60" i="34"/>
  <c r="C61" i="34"/>
  <c r="C62" i="34"/>
  <c r="C63" i="34"/>
  <c r="C64" i="34"/>
  <c r="C88" i="34"/>
  <c r="C89" i="34"/>
  <c r="C90" i="34"/>
  <c r="C92" i="34"/>
  <c r="C93" i="34"/>
  <c r="C94" i="34"/>
  <c r="C96" i="34"/>
  <c r="C97" i="34"/>
  <c r="C98"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C40" i="36"/>
  <c r="G40" i="36"/>
  <c r="C39" i="36"/>
  <c r="G39" i="36"/>
  <c r="C38" i="36"/>
  <c r="G38" i="36"/>
  <c r="C37" i="36"/>
  <c r="G37" i="36"/>
  <c r="C36" i="36"/>
  <c r="G36" i="36"/>
  <c r="C35" i="36"/>
  <c r="G35" i="36"/>
  <c r="C31" i="36"/>
  <c r="G31" i="36"/>
  <c r="C30" i="36"/>
  <c r="G30" i="36"/>
  <c r="C29" i="36"/>
  <c r="G29" i="36"/>
  <c r="C28" i="36"/>
  <c r="G28" i="36"/>
  <c r="C27" i="36"/>
  <c r="G27" i="36"/>
  <c r="C26" i="36"/>
  <c r="G26" i="36"/>
  <c r="C22" i="36"/>
  <c r="G22" i="36"/>
  <c r="C21" i="36"/>
  <c r="G21" i="36"/>
  <c r="C20" i="36"/>
  <c r="G20" i="36"/>
  <c r="C19" i="36"/>
  <c r="G19" i="36"/>
  <c r="C18" i="36"/>
  <c r="G18" i="36"/>
  <c r="C17" i="36"/>
  <c r="G17" i="36"/>
  <c r="Z17" i="3"/>
  <c r="Z18" i="3"/>
  <c r="C13" i="36"/>
  <c r="G13" i="36"/>
  <c r="C12" i="36"/>
  <c r="G12" i="36"/>
  <c r="C11" i="36"/>
  <c r="G11" i="36"/>
  <c r="C10" i="36"/>
  <c r="G10" i="36"/>
  <c r="C9" i="36"/>
  <c r="G9" i="36"/>
  <c r="C8" i="36"/>
  <c r="G8" i="36"/>
  <c r="C40" i="20"/>
  <c r="G40" i="20"/>
  <c r="C39" i="20"/>
  <c r="G39" i="20"/>
  <c r="C38" i="20"/>
  <c r="G38" i="20"/>
  <c r="C37" i="20"/>
  <c r="G37" i="20"/>
  <c r="C36" i="20"/>
  <c r="G36" i="20"/>
  <c r="C35" i="20"/>
  <c r="G35" i="20"/>
  <c r="C31" i="20"/>
  <c r="G31" i="20"/>
  <c r="C30" i="20"/>
  <c r="G30" i="20"/>
  <c r="C29" i="20"/>
  <c r="G29" i="20"/>
  <c r="C28" i="20"/>
  <c r="G28" i="20"/>
  <c r="C27" i="20"/>
  <c r="G27" i="20"/>
  <c r="C26" i="20"/>
  <c r="G26" i="20"/>
  <c r="C22" i="20"/>
  <c r="G22" i="20"/>
  <c r="C21" i="20"/>
  <c r="G21" i="20"/>
  <c r="C20" i="20"/>
  <c r="G20" i="20"/>
  <c r="C19" i="20"/>
  <c r="G19" i="20"/>
  <c r="C18" i="20"/>
  <c r="G18" i="20"/>
  <c r="C17" i="20"/>
  <c r="G17" i="20"/>
  <c r="C13" i="20"/>
  <c r="G13" i="20"/>
  <c r="C12" i="20"/>
  <c r="G12" i="20"/>
  <c r="C11" i="20"/>
  <c r="G11" i="20"/>
  <c r="C10" i="20"/>
  <c r="G10" i="20"/>
  <c r="C9" i="20"/>
  <c r="G9" i="20"/>
  <c r="C8" i="20"/>
  <c r="G8" i="20"/>
  <c r="C40" i="37"/>
  <c r="G40" i="37"/>
  <c r="C39" i="37"/>
  <c r="G39" i="37"/>
  <c r="C38" i="37"/>
  <c r="G38" i="37"/>
  <c r="C37" i="37"/>
  <c r="G37" i="37"/>
  <c r="C36" i="37"/>
  <c r="G36" i="37"/>
  <c r="C35" i="37"/>
  <c r="G35" i="37"/>
  <c r="C31" i="37"/>
  <c r="G31" i="37"/>
  <c r="C30" i="37"/>
  <c r="G30" i="37"/>
  <c r="C29" i="37"/>
  <c r="G29" i="37"/>
  <c r="C28" i="37"/>
  <c r="G28" i="37"/>
  <c r="C27" i="37"/>
  <c r="G27" i="37"/>
  <c r="C26" i="37"/>
  <c r="G26" i="37"/>
  <c r="C22" i="37"/>
  <c r="G22" i="37"/>
  <c r="C21" i="37"/>
  <c r="G21" i="37"/>
  <c r="C20" i="37"/>
  <c r="G20" i="37"/>
  <c r="C19" i="37"/>
  <c r="G19" i="37"/>
  <c r="C18" i="37"/>
  <c r="G18" i="37"/>
  <c r="C17" i="37"/>
  <c r="G17" i="37"/>
  <c r="C13" i="37"/>
  <c r="G13" i="37"/>
  <c r="C12" i="37"/>
  <c r="G12" i="37"/>
  <c r="C11" i="37"/>
  <c r="G11" i="37"/>
  <c r="C10" i="37"/>
  <c r="G10" i="37"/>
  <c r="C9" i="37"/>
  <c r="G9" i="37"/>
  <c r="C8" i="37"/>
  <c r="G8" i="37"/>
  <c r="C40" i="38"/>
  <c r="G40" i="38"/>
  <c r="C39" i="38"/>
  <c r="G39" i="38"/>
  <c r="C38" i="38"/>
  <c r="G38" i="38"/>
  <c r="C37" i="38"/>
  <c r="G37" i="38"/>
  <c r="C36" i="38"/>
  <c r="G36" i="38"/>
  <c r="C35" i="38"/>
  <c r="G35" i="38"/>
  <c r="C31" i="38"/>
  <c r="G31" i="38"/>
  <c r="C30" i="38"/>
  <c r="G30" i="38"/>
  <c r="C29" i="38"/>
  <c r="G29" i="38"/>
  <c r="C28" i="38"/>
  <c r="G28" i="38"/>
  <c r="C27" i="38"/>
  <c r="G27" i="38"/>
  <c r="C26" i="38"/>
  <c r="G26" i="38"/>
  <c r="C22" i="38"/>
  <c r="G22" i="38"/>
  <c r="C21" i="38"/>
  <c r="G21" i="38"/>
  <c r="C20" i="38"/>
  <c r="G20" i="38"/>
  <c r="C19" i="38"/>
  <c r="G19" i="38"/>
  <c r="C18" i="38"/>
  <c r="G18" i="38"/>
  <c r="C17" i="38"/>
  <c r="G17" i="38"/>
  <c r="Y17" i="35"/>
  <c r="Z17" i="35"/>
  <c r="Y18" i="35"/>
  <c r="Z18" i="35"/>
  <c r="C13" i="38"/>
  <c r="G13" i="38"/>
  <c r="C12" i="38"/>
  <c r="G12" i="38"/>
  <c r="C11" i="38"/>
  <c r="G11" i="38"/>
  <c r="C10" i="38"/>
  <c r="G10" i="38"/>
  <c r="C9" i="38"/>
  <c r="AH43" i="6"/>
  <c r="G9" i="38"/>
  <c r="C8" i="38"/>
  <c r="G8" i="38"/>
  <c r="H65"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7" i="22"/>
  <c r="H8" i="22"/>
  <c r="H9" i="22"/>
  <c r="H10" i="22"/>
  <c r="H11" i="22"/>
  <c r="H12" i="22"/>
  <c r="H13" i="22"/>
  <c r="H14" i="22"/>
  <c r="H15" i="22"/>
  <c r="H16" i="22"/>
  <c r="H6" i="22"/>
  <c r="Y17" i="3"/>
  <c r="Y18" i="3"/>
  <c r="Y19" i="3"/>
  <c r="Y20" i="3"/>
  <c r="Y21" i="3"/>
  <c r="Y22" i="3"/>
  <c r="Y17" i="17"/>
  <c r="Y18" i="17"/>
  <c r="Y19" i="17"/>
  <c r="Y20" i="17"/>
  <c r="Y21" i="17"/>
  <c r="Y22" i="17"/>
  <c r="Y17" i="25"/>
  <c r="Y18" i="25"/>
  <c r="Y19" i="25"/>
  <c r="Y20" i="25"/>
  <c r="Y21" i="25"/>
  <c r="Y22" i="25"/>
  <c r="Y19" i="35"/>
  <c r="Y20" i="35"/>
  <c r="Y21" i="35"/>
  <c r="Y22" i="35"/>
  <c r="E135" i="9"/>
  <c r="J70" i="9"/>
  <c r="F21" i="24"/>
  <c r="F20" i="24"/>
  <c r="L34" i="38"/>
  <c r="Z64" i="35"/>
  <c r="Z65" i="35"/>
  <c r="AB64" i="35"/>
  <c r="AB65" i="35"/>
  <c r="Z66" i="35"/>
  <c r="AB66" i="35"/>
  <c r="Z67" i="35"/>
  <c r="AB67" i="35"/>
  <c r="Z68" i="35"/>
  <c r="AB68" i="35"/>
  <c r="Z69" i="35"/>
  <c r="AB69" i="35"/>
  <c r="Z70" i="35"/>
  <c r="AB70" i="35"/>
  <c r="Z71" i="35"/>
  <c r="AB71" i="35"/>
  <c r="Z72" i="35"/>
  <c r="AB72" i="35"/>
  <c r="Z73" i="35"/>
  <c r="AB73" i="35"/>
  <c r="Z74" i="35"/>
  <c r="AB74" i="35"/>
  <c r="Z75" i="35"/>
  <c r="AB75" i="35"/>
  <c r="Z76" i="35"/>
  <c r="AB76" i="35"/>
  <c r="Z77" i="35"/>
  <c r="AB77" i="35"/>
  <c r="Z78" i="35"/>
  <c r="AB78" i="35"/>
  <c r="Z79" i="35"/>
  <c r="AB79" i="35"/>
  <c r="Z80" i="35"/>
  <c r="AB80" i="35"/>
  <c r="Z81" i="35"/>
  <c r="AB81" i="35"/>
  <c r="Z82" i="35"/>
  <c r="AB82" i="35"/>
  <c r="Z83" i="35"/>
  <c r="AB83" i="35"/>
  <c r="Z84" i="35"/>
  <c r="AB84" i="35"/>
  <c r="Z85" i="35"/>
  <c r="AB85" i="35"/>
  <c r="Z86" i="35"/>
  <c r="AB86" i="35"/>
  <c r="Z87" i="35"/>
  <c r="AB87" i="35"/>
  <c r="Z88" i="35"/>
  <c r="AB88" i="35"/>
  <c r="Z89" i="35"/>
  <c r="AB89" i="35"/>
  <c r="Z90" i="35"/>
  <c r="AB90" i="35"/>
  <c r="Z91" i="35"/>
  <c r="AB91" i="35"/>
  <c r="Z92" i="35"/>
  <c r="AB92" i="35"/>
  <c r="Z93" i="35"/>
  <c r="AB93" i="35"/>
  <c r="Z94" i="35"/>
  <c r="AB94" i="35"/>
  <c r="Z95" i="35"/>
  <c r="AB95" i="35"/>
  <c r="Z96" i="35"/>
  <c r="AB96" i="35"/>
  <c r="Z97" i="35"/>
  <c r="AB97" i="35"/>
  <c r="Z98" i="35"/>
  <c r="AB98" i="35"/>
  <c r="Z99" i="35"/>
  <c r="AB99" i="35"/>
  <c r="Z100" i="35"/>
  <c r="AB100" i="35"/>
  <c r="Z101" i="35"/>
  <c r="AB101" i="35"/>
  <c r="Z102" i="35"/>
  <c r="AB102" i="35"/>
  <c r="Z103" i="35"/>
  <c r="AB103" i="35"/>
  <c r="Z104" i="35"/>
  <c r="AB104" i="35"/>
  <c r="Z105" i="35"/>
  <c r="AB105" i="35"/>
  <c r="Z106" i="35"/>
  <c r="AB106" i="35"/>
  <c r="Z107" i="35"/>
  <c r="AB107" i="35"/>
  <c r="Z108" i="35"/>
  <c r="AB108" i="35"/>
  <c r="Z109" i="35"/>
  <c r="AB109" i="35"/>
  <c r="Z110" i="35"/>
  <c r="AB110" i="35"/>
  <c r="Z111" i="35"/>
  <c r="AB111" i="35"/>
  <c r="Z112" i="35"/>
  <c r="AB112" i="35"/>
  <c r="Z113" i="35"/>
  <c r="AB113" i="35"/>
  <c r="Z114" i="35"/>
  <c r="AB114" i="35"/>
  <c r="Z115" i="35"/>
  <c r="AB115" i="35"/>
  <c r="Z116" i="35"/>
  <c r="AB116" i="35"/>
  <c r="Z117" i="35"/>
  <c r="AB117" i="35"/>
  <c r="Z118" i="35"/>
  <c r="AB118" i="35"/>
  <c r="Z119" i="35"/>
  <c r="AB119" i="35"/>
  <c r="Z120" i="35"/>
  <c r="AB120" i="35"/>
  <c r="Z121" i="35"/>
  <c r="AB121" i="35"/>
  <c r="Z122" i="35"/>
  <c r="AB122" i="35"/>
  <c r="Z123" i="35"/>
  <c r="AB123" i="35"/>
  <c r="Z136" i="35"/>
  <c r="AA136" i="35"/>
  <c r="AB136" i="35"/>
  <c r="Z137" i="35"/>
  <c r="AA137" i="35"/>
  <c r="AB137" i="35"/>
  <c r="Z138" i="35"/>
  <c r="AA138" i="35"/>
  <c r="AB138" i="35"/>
  <c r="Z139" i="35"/>
  <c r="AA139" i="35"/>
  <c r="AB139" i="35"/>
  <c r="Z140" i="35"/>
  <c r="AA140" i="35"/>
  <c r="AB140" i="35"/>
  <c r="Z141" i="35"/>
  <c r="AA141" i="35"/>
  <c r="AB141" i="35"/>
  <c r="Z142" i="35"/>
  <c r="AA142" i="35"/>
  <c r="AB142" i="35"/>
  <c r="Z143" i="35"/>
  <c r="AA143" i="35"/>
  <c r="AB143" i="35"/>
  <c r="Z144" i="35"/>
  <c r="AA144" i="35"/>
  <c r="AB144" i="35"/>
  <c r="Z145" i="35"/>
  <c r="AA145" i="35"/>
  <c r="AB145" i="35"/>
  <c r="Z146" i="35"/>
  <c r="AA146" i="35"/>
  <c r="AB146" i="35"/>
  <c r="Z147" i="35"/>
  <c r="AA147" i="35"/>
  <c r="AB147" i="35"/>
  <c r="Z148" i="35"/>
  <c r="AA148" i="35"/>
  <c r="AB148" i="35"/>
  <c r="Z149" i="35"/>
  <c r="AA149" i="35"/>
  <c r="AB149" i="35"/>
  <c r="Z150" i="35"/>
  <c r="AA150" i="35"/>
  <c r="AB150" i="35"/>
  <c r="Z151" i="35"/>
  <c r="AA151" i="35"/>
  <c r="AB151" i="35"/>
  <c r="Z152" i="35"/>
  <c r="AA152" i="35"/>
  <c r="AB152" i="35"/>
  <c r="Z153" i="35"/>
  <c r="AA153" i="35"/>
  <c r="AB153" i="35"/>
  <c r="Z154" i="35"/>
  <c r="AA154" i="35"/>
  <c r="AB154" i="35"/>
  <c r="Z155" i="35"/>
  <c r="AA155" i="35"/>
  <c r="AB155" i="35"/>
  <c r="Z156" i="35"/>
  <c r="AA156" i="35"/>
  <c r="AB156" i="35"/>
  <c r="Z157" i="35"/>
  <c r="AA157" i="35"/>
  <c r="AB157" i="35"/>
  <c r="Z158" i="35"/>
  <c r="AA158" i="35"/>
  <c r="AB158" i="35"/>
  <c r="Z159" i="35"/>
  <c r="AA159" i="35"/>
  <c r="AB159" i="35"/>
  <c r="Z160" i="35"/>
  <c r="AA160" i="35"/>
  <c r="AB160" i="35"/>
  <c r="Z161" i="35"/>
  <c r="AA161" i="35"/>
  <c r="AB161" i="35"/>
  <c r="Z162" i="35"/>
  <c r="AA162" i="35"/>
  <c r="AB162" i="35"/>
  <c r="Z163" i="35"/>
  <c r="AA163" i="35"/>
  <c r="AB163" i="35"/>
  <c r="Z164" i="35"/>
  <c r="AA164" i="35"/>
  <c r="AB164" i="35"/>
  <c r="Z165" i="35"/>
  <c r="AA165" i="35"/>
  <c r="AB165" i="35"/>
  <c r="Z166" i="35"/>
  <c r="AA166" i="35"/>
  <c r="AB166" i="35"/>
  <c r="Z167" i="35"/>
  <c r="AA167" i="35"/>
  <c r="AB167" i="35"/>
  <c r="Z168" i="35"/>
  <c r="AA168" i="35"/>
  <c r="AB168" i="35"/>
  <c r="Z169" i="35"/>
  <c r="AA169" i="35"/>
  <c r="AB169" i="35"/>
  <c r="Z170" i="35"/>
  <c r="AA170" i="35"/>
  <c r="AB170" i="35"/>
  <c r="Z171" i="35"/>
  <c r="AA171" i="35"/>
  <c r="AB171" i="35"/>
  <c r="Z172" i="35"/>
  <c r="AA172" i="35"/>
  <c r="AB172" i="35"/>
  <c r="Z173" i="35"/>
  <c r="AA173" i="35"/>
  <c r="AB173" i="35"/>
  <c r="Z174" i="35"/>
  <c r="AA174" i="35"/>
  <c r="AB174" i="35"/>
  <c r="Z175" i="35"/>
  <c r="AA175" i="35"/>
  <c r="AB175" i="35"/>
  <c r="Z176" i="35"/>
  <c r="AA176" i="35"/>
  <c r="AB176" i="35"/>
  <c r="Z177" i="35"/>
  <c r="AA177" i="35"/>
  <c r="AB177" i="35"/>
  <c r="Z178" i="35"/>
  <c r="AA178" i="35"/>
  <c r="AB178" i="35"/>
  <c r="Z179" i="35"/>
  <c r="AA179" i="35"/>
  <c r="AB179" i="35"/>
  <c r="Z180" i="35"/>
  <c r="AA180" i="35"/>
  <c r="AB180" i="35"/>
  <c r="Z181" i="35"/>
  <c r="AA181" i="35"/>
  <c r="AB181" i="35"/>
  <c r="Z182" i="35"/>
  <c r="AA182" i="35"/>
  <c r="AB182" i="35"/>
  <c r="Z183" i="35"/>
  <c r="AA183" i="35"/>
  <c r="AB183" i="35"/>
  <c r="Z184" i="35"/>
  <c r="AA184" i="35"/>
  <c r="AB184" i="35"/>
  <c r="Z185" i="35"/>
  <c r="AA185" i="35"/>
  <c r="AB185" i="35"/>
  <c r="Z186" i="35"/>
  <c r="AA186" i="35"/>
  <c r="AB186" i="35"/>
  <c r="Z187" i="35"/>
  <c r="AA187" i="35"/>
  <c r="AB187" i="35"/>
  <c r="Z188" i="35"/>
  <c r="AA188" i="35"/>
  <c r="AB188" i="35"/>
  <c r="Z189" i="35"/>
  <c r="AA189" i="35"/>
  <c r="AB189" i="35"/>
  <c r="Z190" i="35"/>
  <c r="AA190" i="35"/>
  <c r="AB190" i="35"/>
  <c r="Z191" i="35"/>
  <c r="AA191" i="35"/>
  <c r="AB191" i="35"/>
  <c r="Z192" i="35"/>
  <c r="AA192" i="35"/>
  <c r="AB192" i="35"/>
  <c r="Z193" i="35"/>
  <c r="AA193" i="35"/>
  <c r="AB193" i="35"/>
  <c r="Z194" i="35"/>
  <c r="AA194" i="35"/>
  <c r="AB194" i="35"/>
  <c r="Z195" i="35"/>
  <c r="AA195" i="35"/>
  <c r="AB195" i="35"/>
  <c r="L40" i="38"/>
  <c r="K34" i="38"/>
  <c r="K40" i="38"/>
  <c r="J34" i="38"/>
  <c r="J40" i="38"/>
  <c r="I34" i="38"/>
  <c r="I40" i="38"/>
  <c r="H34" i="38"/>
  <c r="H40" i="38"/>
  <c r="F40" i="38"/>
  <c r="E40" i="38"/>
  <c r="D40" i="38"/>
  <c r="B40" i="38"/>
  <c r="M34" i="38"/>
  <c r="M39" i="38"/>
  <c r="K39" i="38"/>
  <c r="J39" i="38"/>
  <c r="I39" i="38"/>
  <c r="H39" i="38"/>
  <c r="F39" i="38"/>
  <c r="E39" i="38"/>
  <c r="D39" i="38"/>
  <c r="B39" i="38"/>
  <c r="M38" i="38"/>
  <c r="L38" i="38"/>
  <c r="J38" i="38"/>
  <c r="I38" i="38"/>
  <c r="H38" i="38"/>
  <c r="F38" i="38"/>
  <c r="E38" i="38"/>
  <c r="D38" i="38"/>
  <c r="B38" i="38"/>
  <c r="M37" i="38"/>
  <c r="L37" i="38"/>
  <c r="K37" i="38"/>
  <c r="I37" i="38"/>
  <c r="H37" i="38"/>
  <c r="F37" i="38"/>
  <c r="E37" i="38"/>
  <c r="D37" i="38"/>
  <c r="B37" i="38"/>
  <c r="M36" i="38"/>
  <c r="L36" i="38"/>
  <c r="K36" i="38"/>
  <c r="J36" i="38"/>
  <c r="H36" i="38"/>
  <c r="F36" i="38"/>
  <c r="E36" i="38"/>
  <c r="D36" i="38"/>
  <c r="B36" i="38"/>
  <c r="M35" i="38"/>
  <c r="L35" i="38"/>
  <c r="K35" i="38"/>
  <c r="J35" i="38"/>
  <c r="I35" i="38"/>
  <c r="F35" i="38"/>
  <c r="E35" i="38"/>
  <c r="D35" i="38"/>
  <c r="B35" i="38"/>
  <c r="L25" i="38"/>
  <c r="L31" i="38"/>
  <c r="K25" i="38"/>
  <c r="K31" i="38"/>
  <c r="J25" i="38"/>
  <c r="J31" i="38"/>
  <c r="I25" i="38"/>
  <c r="I31" i="38"/>
  <c r="H25" i="38"/>
  <c r="H31" i="38"/>
  <c r="F31" i="38"/>
  <c r="E31" i="38"/>
  <c r="D31" i="38"/>
  <c r="B31" i="38"/>
  <c r="M25" i="38"/>
  <c r="M30" i="38"/>
  <c r="K30" i="38"/>
  <c r="J30" i="38"/>
  <c r="I30" i="38"/>
  <c r="H30" i="38"/>
  <c r="F30" i="38"/>
  <c r="E30" i="38"/>
  <c r="D30" i="38"/>
  <c r="B30" i="38"/>
  <c r="M29" i="38"/>
  <c r="L29" i="38"/>
  <c r="J29" i="38"/>
  <c r="I29" i="38"/>
  <c r="H29" i="38"/>
  <c r="F29" i="38"/>
  <c r="E29" i="38"/>
  <c r="D29" i="38"/>
  <c r="B29" i="38"/>
  <c r="M28" i="38"/>
  <c r="L28" i="38"/>
  <c r="K28" i="38"/>
  <c r="I28" i="38"/>
  <c r="H28" i="38"/>
  <c r="F28" i="38"/>
  <c r="E28" i="38"/>
  <c r="D28" i="38"/>
  <c r="B28" i="38"/>
  <c r="M27" i="38"/>
  <c r="L27" i="38"/>
  <c r="K27" i="38"/>
  <c r="J27" i="38"/>
  <c r="H27" i="38"/>
  <c r="F27" i="38"/>
  <c r="E27" i="38"/>
  <c r="D27" i="38"/>
  <c r="B27" i="38"/>
  <c r="M26" i="38"/>
  <c r="L26" i="38"/>
  <c r="K26" i="38"/>
  <c r="J26" i="38"/>
  <c r="I26" i="38"/>
  <c r="F26" i="38"/>
  <c r="E26" i="38"/>
  <c r="D26" i="38"/>
  <c r="B26" i="38"/>
  <c r="L16" i="38"/>
  <c r="L22" i="38"/>
  <c r="K16" i="38"/>
  <c r="K22" i="38"/>
  <c r="J16" i="38"/>
  <c r="J22" i="38"/>
  <c r="I16" i="38"/>
  <c r="I22" i="38"/>
  <c r="H16" i="38"/>
  <c r="H22" i="38"/>
  <c r="F22" i="38"/>
  <c r="E22" i="38"/>
  <c r="D22" i="38"/>
  <c r="B22" i="38"/>
  <c r="M16" i="38"/>
  <c r="M21" i="38"/>
  <c r="K21" i="38"/>
  <c r="J21" i="38"/>
  <c r="I21" i="38"/>
  <c r="H21" i="38"/>
  <c r="F21" i="38"/>
  <c r="E21" i="38"/>
  <c r="D21" i="38"/>
  <c r="B21" i="38"/>
  <c r="M20" i="38"/>
  <c r="L20" i="38"/>
  <c r="J20" i="38"/>
  <c r="I20" i="38"/>
  <c r="H20" i="38"/>
  <c r="F20" i="38"/>
  <c r="E20" i="38"/>
  <c r="D20" i="38"/>
  <c r="B20" i="38"/>
  <c r="M19" i="38"/>
  <c r="L19" i="38"/>
  <c r="K19" i="38"/>
  <c r="I19" i="38"/>
  <c r="H19" i="38"/>
  <c r="F19" i="38"/>
  <c r="E19" i="38"/>
  <c r="D19" i="38"/>
  <c r="B19" i="38"/>
  <c r="M18" i="38"/>
  <c r="L18" i="38"/>
  <c r="K18" i="38"/>
  <c r="J18" i="38"/>
  <c r="H18" i="38"/>
  <c r="F18" i="38"/>
  <c r="E18" i="38"/>
  <c r="D18" i="38"/>
  <c r="B18" i="38"/>
  <c r="M17" i="38"/>
  <c r="L17" i="38"/>
  <c r="K17" i="38"/>
  <c r="J17" i="38"/>
  <c r="I17" i="38"/>
  <c r="F17" i="38"/>
  <c r="E17" i="38"/>
  <c r="D17" i="38"/>
  <c r="B17" i="38"/>
  <c r="L7" i="38"/>
  <c r="L13" i="38"/>
  <c r="K7" i="38"/>
  <c r="K13" i="38"/>
  <c r="J7" i="38"/>
  <c r="J13" i="38"/>
  <c r="I7" i="38"/>
  <c r="I13" i="38"/>
  <c r="H7" i="38"/>
  <c r="H13" i="38"/>
  <c r="F13" i="38"/>
  <c r="E13" i="38"/>
  <c r="D13" i="38"/>
  <c r="B13" i="38"/>
  <c r="M7" i="38"/>
  <c r="M12" i="38"/>
  <c r="K12" i="38"/>
  <c r="J12" i="38"/>
  <c r="I12" i="38"/>
  <c r="H12" i="38"/>
  <c r="F12" i="38"/>
  <c r="E12" i="38"/>
  <c r="D12" i="38"/>
  <c r="B12" i="38"/>
  <c r="M11" i="38"/>
  <c r="L11" i="38"/>
  <c r="J11" i="38"/>
  <c r="I11" i="38"/>
  <c r="H11" i="38"/>
  <c r="F11" i="38"/>
  <c r="E11" i="38"/>
  <c r="D11" i="38"/>
  <c r="B11" i="38"/>
  <c r="M10" i="38"/>
  <c r="L10" i="38"/>
  <c r="K10" i="38"/>
  <c r="I10" i="38"/>
  <c r="H10" i="38"/>
  <c r="F10" i="38"/>
  <c r="E10" i="38"/>
  <c r="D10" i="38"/>
  <c r="B10" i="38"/>
  <c r="M9" i="38"/>
  <c r="L9" i="38"/>
  <c r="K9" i="38"/>
  <c r="J9" i="38"/>
  <c r="H9" i="38"/>
  <c r="F9" i="38"/>
  <c r="E9" i="38"/>
  <c r="D9" i="38"/>
  <c r="B9" i="38"/>
  <c r="M8" i="38"/>
  <c r="L8" i="38"/>
  <c r="K8" i="38"/>
  <c r="J8" i="38"/>
  <c r="I8" i="38"/>
  <c r="F8" i="38"/>
  <c r="E8" i="38"/>
  <c r="D8" i="38"/>
  <c r="B8" i="38"/>
  <c r="L34" i="37"/>
  <c r="Z64" i="25"/>
  <c r="Z65" i="25"/>
  <c r="AB64" i="25"/>
  <c r="AB65" i="25"/>
  <c r="Z66" i="25"/>
  <c r="AB66" i="25"/>
  <c r="Z67" i="25"/>
  <c r="AB67" i="25"/>
  <c r="Z68" i="25"/>
  <c r="AB68" i="25"/>
  <c r="Z69" i="25"/>
  <c r="AB69" i="25"/>
  <c r="Z70" i="25"/>
  <c r="AB70" i="25"/>
  <c r="Z71" i="25"/>
  <c r="AB71" i="25"/>
  <c r="Z72" i="25"/>
  <c r="AB72" i="25"/>
  <c r="Z73" i="25"/>
  <c r="AB73" i="25"/>
  <c r="Z74" i="25"/>
  <c r="AB74" i="25"/>
  <c r="Z75" i="25"/>
  <c r="AB75" i="25"/>
  <c r="Z76" i="25"/>
  <c r="AB76" i="25"/>
  <c r="Z77" i="25"/>
  <c r="AB77" i="25"/>
  <c r="Z78" i="25"/>
  <c r="AB78" i="25"/>
  <c r="Z79" i="25"/>
  <c r="AB79" i="25"/>
  <c r="Z80" i="25"/>
  <c r="AB80" i="25"/>
  <c r="Z81" i="25"/>
  <c r="AB81" i="25"/>
  <c r="Z82" i="25"/>
  <c r="AB82" i="25"/>
  <c r="Z83" i="25"/>
  <c r="AB83" i="25"/>
  <c r="Z84" i="25"/>
  <c r="AB84" i="25"/>
  <c r="Z85" i="25"/>
  <c r="AB85" i="25"/>
  <c r="Z86" i="25"/>
  <c r="AB86" i="25"/>
  <c r="Z87" i="25"/>
  <c r="AB87" i="25"/>
  <c r="Z88" i="25"/>
  <c r="AB88" i="25"/>
  <c r="Z89" i="25"/>
  <c r="AB89" i="25"/>
  <c r="Z90" i="25"/>
  <c r="AB90" i="25"/>
  <c r="Z91" i="25"/>
  <c r="AB91" i="25"/>
  <c r="Z92" i="25"/>
  <c r="AB92" i="25"/>
  <c r="Z93" i="25"/>
  <c r="AB93" i="25"/>
  <c r="Z94" i="25"/>
  <c r="AB94" i="25"/>
  <c r="Z95" i="25"/>
  <c r="AB95" i="25"/>
  <c r="Z96" i="25"/>
  <c r="AB96" i="25"/>
  <c r="Z97" i="25"/>
  <c r="AB97" i="25"/>
  <c r="Z98" i="25"/>
  <c r="AB98" i="25"/>
  <c r="Z99" i="25"/>
  <c r="AB99" i="25"/>
  <c r="Z100" i="25"/>
  <c r="AB100" i="25"/>
  <c r="Z101" i="25"/>
  <c r="AB101" i="25"/>
  <c r="Z102" i="25"/>
  <c r="AB102" i="25"/>
  <c r="Z103" i="25"/>
  <c r="AB103" i="25"/>
  <c r="Z104" i="25"/>
  <c r="AB104" i="25"/>
  <c r="Z105" i="25"/>
  <c r="AB105" i="25"/>
  <c r="Z106" i="25"/>
  <c r="AB106" i="25"/>
  <c r="Z107" i="25"/>
  <c r="AB107" i="25"/>
  <c r="Z108" i="25"/>
  <c r="AB108" i="25"/>
  <c r="Z109" i="25"/>
  <c r="AB109" i="25"/>
  <c r="Z110" i="25"/>
  <c r="AB110" i="25"/>
  <c r="Z111" i="25"/>
  <c r="AB111" i="25"/>
  <c r="Z112" i="25"/>
  <c r="AB112" i="25"/>
  <c r="Z113" i="25"/>
  <c r="AB113" i="25"/>
  <c r="Z114" i="25"/>
  <c r="AB114" i="25"/>
  <c r="Z115" i="25"/>
  <c r="AB115" i="25"/>
  <c r="Z116" i="25"/>
  <c r="AB116" i="25"/>
  <c r="Z117" i="25"/>
  <c r="AB117" i="25"/>
  <c r="Z118" i="25"/>
  <c r="AB118" i="25"/>
  <c r="Z119" i="25"/>
  <c r="AB119" i="25"/>
  <c r="Z120" i="25"/>
  <c r="AB120" i="25"/>
  <c r="Z121" i="25"/>
  <c r="AB121" i="25"/>
  <c r="Z122" i="25"/>
  <c r="AB122" i="25"/>
  <c r="Z123" i="25"/>
  <c r="AB123" i="25"/>
  <c r="Z136" i="25"/>
  <c r="AA136" i="25"/>
  <c r="AB136" i="25"/>
  <c r="Z137" i="25"/>
  <c r="AA137" i="25"/>
  <c r="AB137" i="25"/>
  <c r="Z138" i="25"/>
  <c r="AA138" i="25"/>
  <c r="AB138" i="25"/>
  <c r="Z139" i="25"/>
  <c r="AA139" i="25"/>
  <c r="AB139" i="25"/>
  <c r="Z140" i="25"/>
  <c r="AA140" i="25"/>
  <c r="AB140" i="25"/>
  <c r="Z141" i="25"/>
  <c r="AA141" i="25"/>
  <c r="AB141" i="25"/>
  <c r="Z142" i="25"/>
  <c r="AA142" i="25"/>
  <c r="AB142" i="25"/>
  <c r="Z143" i="25"/>
  <c r="AA143" i="25"/>
  <c r="AB143" i="25"/>
  <c r="Z144" i="25"/>
  <c r="AA144" i="25"/>
  <c r="AB144" i="25"/>
  <c r="Z145" i="25"/>
  <c r="AA145" i="25"/>
  <c r="AB145" i="25"/>
  <c r="Z146" i="25"/>
  <c r="AA146" i="25"/>
  <c r="AB146" i="25"/>
  <c r="Z147" i="25"/>
  <c r="AA147" i="25"/>
  <c r="AB147" i="25"/>
  <c r="Z148" i="25"/>
  <c r="AA148" i="25"/>
  <c r="AB148" i="25"/>
  <c r="Z149" i="25"/>
  <c r="AA149" i="25"/>
  <c r="AB149" i="25"/>
  <c r="Z150" i="25"/>
  <c r="AA150" i="25"/>
  <c r="AB150" i="25"/>
  <c r="Z151" i="25"/>
  <c r="AA151" i="25"/>
  <c r="AB151" i="25"/>
  <c r="Z152" i="25"/>
  <c r="AA152" i="25"/>
  <c r="AB152" i="25"/>
  <c r="Z153" i="25"/>
  <c r="AA153" i="25"/>
  <c r="AB153" i="25"/>
  <c r="Z154" i="25"/>
  <c r="AA154" i="25"/>
  <c r="AB154" i="25"/>
  <c r="Z155" i="25"/>
  <c r="AA155" i="25"/>
  <c r="AB155" i="25"/>
  <c r="Z156" i="25"/>
  <c r="AA156" i="25"/>
  <c r="AB156" i="25"/>
  <c r="Z157" i="25"/>
  <c r="AA157" i="25"/>
  <c r="AB157" i="25"/>
  <c r="Z158" i="25"/>
  <c r="AA158" i="25"/>
  <c r="AB158" i="25"/>
  <c r="Z159" i="25"/>
  <c r="AA159" i="25"/>
  <c r="AB159" i="25"/>
  <c r="Z160" i="25"/>
  <c r="AA160" i="25"/>
  <c r="AB160" i="25"/>
  <c r="Z161" i="25"/>
  <c r="AA161" i="25"/>
  <c r="AB161" i="25"/>
  <c r="Z162" i="25"/>
  <c r="AA162" i="25"/>
  <c r="AB162" i="25"/>
  <c r="Z163" i="25"/>
  <c r="AA163" i="25"/>
  <c r="AB163" i="25"/>
  <c r="Z164" i="25"/>
  <c r="AA164" i="25"/>
  <c r="AB164" i="25"/>
  <c r="Z165" i="25"/>
  <c r="AA165" i="25"/>
  <c r="AB165" i="25"/>
  <c r="Z166" i="25"/>
  <c r="AA166" i="25"/>
  <c r="AB166" i="25"/>
  <c r="Z167" i="25"/>
  <c r="AA167" i="25"/>
  <c r="AB167" i="25"/>
  <c r="Z168" i="25"/>
  <c r="AA168" i="25"/>
  <c r="AB168" i="25"/>
  <c r="Z169" i="25"/>
  <c r="AA169" i="25"/>
  <c r="AB169" i="25"/>
  <c r="Z170" i="25"/>
  <c r="AA170" i="25"/>
  <c r="AB170" i="25"/>
  <c r="Z171" i="25"/>
  <c r="AA171" i="25"/>
  <c r="AB171" i="25"/>
  <c r="Z172" i="25"/>
  <c r="AA172" i="25"/>
  <c r="AB172" i="25"/>
  <c r="Z173" i="25"/>
  <c r="AA173" i="25"/>
  <c r="AB173" i="25"/>
  <c r="Z174" i="25"/>
  <c r="AA174" i="25"/>
  <c r="AB174" i="25"/>
  <c r="Z175" i="25"/>
  <c r="AA175" i="25"/>
  <c r="AB175" i="25"/>
  <c r="Z176" i="25"/>
  <c r="AA176" i="25"/>
  <c r="AB176" i="25"/>
  <c r="Z177" i="25"/>
  <c r="AA177" i="25"/>
  <c r="AB177" i="25"/>
  <c r="Z178" i="25"/>
  <c r="AA178" i="25"/>
  <c r="AB178" i="25"/>
  <c r="Z179" i="25"/>
  <c r="AA179" i="25"/>
  <c r="AB179" i="25"/>
  <c r="Z180" i="25"/>
  <c r="AA180" i="25"/>
  <c r="AB180" i="25"/>
  <c r="Z181" i="25"/>
  <c r="AA181" i="25"/>
  <c r="AB181" i="25"/>
  <c r="Z182" i="25"/>
  <c r="AA182" i="25"/>
  <c r="AB182" i="25"/>
  <c r="Z183" i="25"/>
  <c r="AA183" i="25"/>
  <c r="AB183" i="25"/>
  <c r="Z184" i="25"/>
  <c r="AA184" i="25"/>
  <c r="AB184" i="25"/>
  <c r="Z185" i="25"/>
  <c r="AA185" i="25"/>
  <c r="AB185" i="25"/>
  <c r="Z186" i="25"/>
  <c r="AA186" i="25"/>
  <c r="AB186" i="25"/>
  <c r="Z187" i="25"/>
  <c r="AA187" i="25"/>
  <c r="AB187" i="25"/>
  <c r="Z188" i="25"/>
  <c r="AA188" i="25"/>
  <c r="AB188" i="25"/>
  <c r="Z189" i="25"/>
  <c r="AA189" i="25"/>
  <c r="AB189" i="25"/>
  <c r="Z190" i="25"/>
  <c r="AA190" i="25"/>
  <c r="AB190" i="25"/>
  <c r="Z191" i="25"/>
  <c r="AA191" i="25"/>
  <c r="AB191" i="25"/>
  <c r="Z192" i="25"/>
  <c r="AA192" i="25"/>
  <c r="AB192" i="25"/>
  <c r="Z193" i="25"/>
  <c r="AA193" i="25"/>
  <c r="AB193" i="25"/>
  <c r="Z194" i="25"/>
  <c r="AA194" i="25"/>
  <c r="AB194" i="25"/>
  <c r="Z195" i="25"/>
  <c r="AA195" i="25"/>
  <c r="AB195" i="25"/>
  <c r="L40" i="37"/>
  <c r="K34" i="37"/>
  <c r="K40" i="37"/>
  <c r="J34" i="37"/>
  <c r="J40" i="37"/>
  <c r="I34" i="37"/>
  <c r="I40" i="37"/>
  <c r="H34" i="37"/>
  <c r="H40" i="37"/>
  <c r="F40" i="37"/>
  <c r="E40" i="37"/>
  <c r="D40" i="37"/>
  <c r="B40" i="37"/>
  <c r="M34" i="37"/>
  <c r="M39" i="37"/>
  <c r="K39" i="37"/>
  <c r="J39" i="37"/>
  <c r="I39" i="37"/>
  <c r="H39" i="37"/>
  <c r="F39" i="37"/>
  <c r="E39" i="37"/>
  <c r="D39" i="37"/>
  <c r="B39" i="37"/>
  <c r="M38" i="37"/>
  <c r="L38" i="37"/>
  <c r="J38" i="37"/>
  <c r="I38" i="37"/>
  <c r="H38" i="37"/>
  <c r="F38" i="37"/>
  <c r="E38" i="37"/>
  <c r="D38" i="37"/>
  <c r="B38" i="37"/>
  <c r="M37" i="37"/>
  <c r="L37" i="37"/>
  <c r="K37" i="37"/>
  <c r="I37" i="37"/>
  <c r="H37" i="37"/>
  <c r="F37" i="37"/>
  <c r="E37" i="37"/>
  <c r="D37" i="37"/>
  <c r="B37" i="37"/>
  <c r="M36" i="37"/>
  <c r="L36" i="37"/>
  <c r="K36" i="37"/>
  <c r="J36" i="37"/>
  <c r="H36" i="37"/>
  <c r="F36" i="37"/>
  <c r="E36" i="37"/>
  <c r="D36" i="37"/>
  <c r="B36" i="37"/>
  <c r="M35" i="37"/>
  <c r="L35" i="37"/>
  <c r="K35" i="37"/>
  <c r="J35" i="37"/>
  <c r="I35" i="37"/>
  <c r="F35" i="37"/>
  <c r="E35" i="37"/>
  <c r="D35" i="37"/>
  <c r="B35" i="37"/>
  <c r="L25" i="37"/>
  <c r="L31" i="37"/>
  <c r="K25" i="37"/>
  <c r="K31" i="37"/>
  <c r="J25" i="37"/>
  <c r="J31" i="37"/>
  <c r="I25" i="37"/>
  <c r="I31" i="37"/>
  <c r="H25" i="37"/>
  <c r="H31" i="37"/>
  <c r="F31" i="37"/>
  <c r="E31" i="37"/>
  <c r="D31" i="37"/>
  <c r="B31" i="37"/>
  <c r="M25" i="37"/>
  <c r="M30" i="37"/>
  <c r="K30" i="37"/>
  <c r="J30" i="37"/>
  <c r="I30" i="37"/>
  <c r="H30" i="37"/>
  <c r="F30" i="37"/>
  <c r="E30" i="37"/>
  <c r="D30" i="37"/>
  <c r="B30" i="37"/>
  <c r="M29" i="37"/>
  <c r="L29" i="37"/>
  <c r="J29" i="37"/>
  <c r="I29" i="37"/>
  <c r="H29" i="37"/>
  <c r="F29" i="37"/>
  <c r="E29" i="37"/>
  <c r="D29" i="37"/>
  <c r="B29" i="37"/>
  <c r="M28" i="37"/>
  <c r="L28" i="37"/>
  <c r="K28" i="37"/>
  <c r="I28" i="37"/>
  <c r="H28" i="37"/>
  <c r="F28" i="37"/>
  <c r="E28" i="37"/>
  <c r="D28" i="37"/>
  <c r="B28" i="37"/>
  <c r="M27" i="37"/>
  <c r="L27" i="37"/>
  <c r="K27" i="37"/>
  <c r="J27" i="37"/>
  <c r="H27" i="37"/>
  <c r="F27" i="37"/>
  <c r="E27" i="37"/>
  <c r="D27" i="37"/>
  <c r="B27" i="37"/>
  <c r="M26" i="37"/>
  <c r="L26" i="37"/>
  <c r="K26" i="37"/>
  <c r="J26" i="37"/>
  <c r="I26" i="37"/>
  <c r="F26" i="37"/>
  <c r="E26" i="37"/>
  <c r="D26" i="37"/>
  <c r="B26" i="37"/>
  <c r="L16" i="37"/>
  <c r="L22" i="37"/>
  <c r="K16" i="37"/>
  <c r="K22" i="37"/>
  <c r="J16" i="37"/>
  <c r="J22" i="37"/>
  <c r="I16" i="37"/>
  <c r="I22" i="37"/>
  <c r="H16" i="37"/>
  <c r="H22" i="37"/>
  <c r="F22" i="37"/>
  <c r="E22" i="37"/>
  <c r="D22" i="37"/>
  <c r="B22" i="37"/>
  <c r="M16" i="37"/>
  <c r="M21" i="37"/>
  <c r="K21" i="37"/>
  <c r="J21" i="37"/>
  <c r="I21" i="37"/>
  <c r="H21" i="37"/>
  <c r="F21" i="37"/>
  <c r="E21" i="37"/>
  <c r="D21" i="37"/>
  <c r="B21" i="37"/>
  <c r="M20" i="37"/>
  <c r="L20" i="37"/>
  <c r="J20" i="37"/>
  <c r="I20" i="37"/>
  <c r="H20" i="37"/>
  <c r="F20" i="37"/>
  <c r="E20" i="37"/>
  <c r="D20" i="37"/>
  <c r="B20" i="37"/>
  <c r="M19" i="37"/>
  <c r="L19" i="37"/>
  <c r="K19" i="37"/>
  <c r="I19" i="37"/>
  <c r="H19" i="37"/>
  <c r="F19" i="37"/>
  <c r="E19" i="37"/>
  <c r="D19" i="37"/>
  <c r="B19" i="37"/>
  <c r="M18" i="37"/>
  <c r="L18" i="37"/>
  <c r="K18" i="37"/>
  <c r="J18" i="37"/>
  <c r="H18" i="37"/>
  <c r="F18" i="37"/>
  <c r="E18" i="37"/>
  <c r="D18" i="37"/>
  <c r="B18" i="37"/>
  <c r="M17" i="37"/>
  <c r="L17" i="37"/>
  <c r="K17" i="37"/>
  <c r="J17" i="37"/>
  <c r="I17" i="37"/>
  <c r="F17" i="37"/>
  <c r="E17" i="37"/>
  <c r="D17" i="37"/>
  <c r="B17" i="37"/>
  <c r="L7" i="37"/>
  <c r="L13" i="37"/>
  <c r="K7" i="37"/>
  <c r="K13" i="37"/>
  <c r="J7" i="37"/>
  <c r="J13" i="37"/>
  <c r="I7" i="37"/>
  <c r="I13" i="37"/>
  <c r="H7" i="37"/>
  <c r="H13" i="37"/>
  <c r="F13" i="37"/>
  <c r="E13" i="37"/>
  <c r="D13" i="37"/>
  <c r="B13" i="37"/>
  <c r="M7" i="37"/>
  <c r="M12" i="37"/>
  <c r="K12" i="37"/>
  <c r="J12" i="37"/>
  <c r="I12" i="37"/>
  <c r="H12" i="37"/>
  <c r="F12" i="37"/>
  <c r="E12" i="37"/>
  <c r="D12" i="37"/>
  <c r="B12" i="37"/>
  <c r="M11" i="37"/>
  <c r="L11" i="37"/>
  <c r="J11" i="37"/>
  <c r="I11" i="37"/>
  <c r="H11" i="37"/>
  <c r="F11" i="37"/>
  <c r="E11" i="37"/>
  <c r="D11" i="37"/>
  <c r="B11" i="37"/>
  <c r="M10" i="37"/>
  <c r="L10" i="37"/>
  <c r="K10" i="37"/>
  <c r="I10" i="37"/>
  <c r="H10" i="37"/>
  <c r="F10" i="37"/>
  <c r="E10" i="37"/>
  <c r="D10" i="37"/>
  <c r="B10" i="37"/>
  <c r="M9" i="37"/>
  <c r="L9" i="37"/>
  <c r="K9" i="37"/>
  <c r="J9" i="37"/>
  <c r="H9" i="37"/>
  <c r="F9" i="37"/>
  <c r="E9" i="37"/>
  <c r="D9" i="37"/>
  <c r="B9" i="37"/>
  <c r="M8" i="37"/>
  <c r="L8" i="37"/>
  <c r="K8" i="37"/>
  <c r="J8" i="37"/>
  <c r="I8" i="37"/>
  <c r="F8" i="37"/>
  <c r="E8" i="37"/>
  <c r="D8" i="37"/>
  <c r="B8" i="37"/>
  <c r="E56" i="9"/>
  <c r="B3" i="38"/>
  <c r="B3" i="37"/>
  <c r="B3" i="36"/>
  <c r="L34" i="36"/>
  <c r="Z64" i="3"/>
  <c r="Z65" i="3"/>
  <c r="AB64" i="3"/>
  <c r="AB65" i="3"/>
  <c r="Z66"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09" i="3"/>
  <c r="AB109" i="3"/>
  <c r="Z110" i="3"/>
  <c r="AB110" i="3"/>
  <c r="Z111" i="3"/>
  <c r="AB111" i="3"/>
  <c r="Z112" i="3"/>
  <c r="AB112" i="3"/>
  <c r="Z113" i="3"/>
  <c r="AB113" i="3"/>
  <c r="Z114" i="3"/>
  <c r="AB114" i="3"/>
  <c r="Z115" i="3"/>
  <c r="AB115" i="3"/>
  <c r="Z116" i="3"/>
  <c r="AB116" i="3"/>
  <c r="Z117" i="3"/>
  <c r="AB117" i="3"/>
  <c r="Z118" i="3"/>
  <c r="AB118" i="3"/>
  <c r="Z119" i="3"/>
  <c r="AB119" i="3"/>
  <c r="Z120" i="3"/>
  <c r="AB120" i="3"/>
  <c r="Z121" i="3"/>
  <c r="AB121" i="3"/>
  <c r="Z122" i="3"/>
  <c r="AB122" i="3"/>
  <c r="Z123" i="3"/>
  <c r="AB123"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Z166" i="3"/>
  <c r="AA166" i="3"/>
  <c r="AB166" i="3"/>
  <c r="Z167" i="3"/>
  <c r="AA167" i="3"/>
  <c r="AB167" i="3"/>
  <c r="Z168" i="3"/>
  <c r="AA168" i="3"/>
  <c r="AB168" i="3"/>
  <c r="Z169" i="3"/>
  <c r="AA169" i="3"/>
  <c r="AB169" i="3"/>
  <c r="Z170" i="3"/>
  <c r="AA170" i="3"/>
  <c r="AB170" i="3"/>
  <c r="Z171" i="3"/>
  <c r="AA171" i="3"/>
  <c r="AB171" i="3"/>
  <c r="Z172" i="3"/>
  <c r="AA172" i="3"/>
  <c r="AB172" i="3"/>
  <c r="Z173" i="3"/>
  <c r="AA173" i="3"/>
  <c r="AB173" i="3"/>
  <c r="Z174" i="3"/>
  <c r="AA174" i="3"/>
  <c r="AB174" i="3"/>
  <c r="Z175" i="3"/>
  <c r="AA175" i="3"/>
  <c r="AB175" i="3"/>
  <c r="Z176" i="3"/>
  <c r="AA176" i="3"/>
  <c r="AB176" i="3"/>
  <c r="Z177" i="3"/>
  <c r="AA177" i="3"/>
  <c r="AB177" i="3"/>
  <c r="Z178" i="3"/>
  <c r="AA178" i="3"/>
  <c r="AB178" i="3"/>
  <c r="Z179" i="3"/>
  <c r="AA179" i="3"/>
  <c r="AB179" i="3"/>
  <c r="Z180" i="3"/>
  <c r="AA180" i="3"/>
  <c r="AB180" i="3"/>
  <c r="Z181" i="3"/>
  <c r="AA181" i="3"/>
  <c r="AB181" i="3"/>
  <c r="Z182" i="3"/>
  <c r="AA182" i="3"/>
  <c r="AB182" i="3"/>
  <c r="Z183" i="3"/>
  <c r="AA183" i="3"/>
  <c r="AB183" i="3"/>
  <c r="Z184" i="3"/>
  <c r="AA184" i="3"/>
  <c r="AB184" i="3"/>
  <c r="Z185" i="3"/>
  <c r="AA185" i="3"/>
  <c r="AB185" i="3"/>
  <c r="Z186" i="3"/>
  <c r="AA186" i="3"/>
  <c r="AB186" i="3"/>
  <c r="Z187" i="3"/>
  <c r="AA187" i="3"/>
  <c r="AB187" i="3"/>
  <c r="Z188" i="3"/>
  <c r="AA188" i="3"/>
  <c r="AB188" i="3"/>
  <c r="Z189" i="3"/>
  <c r="AA189" i="3"/>
  <c r="AB189" i="3"/>
  <c r="Z190" i="3"/>
  <c r="AA190" i="3"/>
  <c r="AB190" i="3"/>
  <c r="Z191" i="3"/>
  <c r="AA191" i="3"/>
  <c r="AB191" i="3"/>
  <c r="Z192" i="3"/>
  <c r="AA192" i="3"/>
  <c r="AB192" i="3"/>
  <c r="Z193" i="3"/>
  <c r="AA193" i="3"/>
  <c r="AB193" i="3"/>
  <c r="Z194" i="3"/>
  <c r="AA194" i="3"/>
  <c r="AB194" i="3"/>
  <c r="Z195" i="3"/>
  <c r="AA195" i="3"/>
  <c r="AB195" i="3"/>
  <c r="L40" i="36"/>
  <c r="K34" i="36"/>
  <c r="K40" i="36"/>
  <c r="J34" i="36"/>
  <c r="J40" i="36"/>
  <c r="I34" i="36"/>
  <c r="I40" i="36"/>
  <c r="H34" i="36"/>
  <c r="H40" i="36"/>
  <c r="F40" i="36"/>
  <c r="E40" i="36"/>
  <c r="D40" i="36"/>
  <c r="B40" i="36"/>
  <c r="M34" i="36"/>
  <c r="M39" i="36"/>
  <c r="K39" i="36"/>
  <c r="J39" i="36"/>
  <c r="I39" i="36"/>
  <c r="H39" i="36"/>
  <c r="F39" i="36"/>
  <c r="E39" i="36"/>
  <c r="D39" i="36"/>
  <c r="B39" i="36"/>
  <c r="M38" i="36"/>
  <c r="L38" i="36"/>
  <c r="J38" i="36"/>
  <c r="I38" i="36"/>
  <c r="H38" i="36"/>
  <c r="F38" i="36"/>
  <c r="E38" i="36"/>
  <c r="D38" i="36"/>
  <c r="B38" i="36"/>
  <c r="M37" i="36"/>
  <c r="L37" i="36"/>
  <c r="K37" i="36"/>
  <c r="I37" i="36"/>
  <c r="H37" i="36"/>
  <c r="F37" i="36"/>
  <c r="E37" i="36"/>
  <c r="D37" i="36"/>
  <c r="B37" i="36"/>
  <c r="M36" i="36"/>
  <c r="L36" i="36"/>
  <c r="K36" i="36"/>
  <c r="J36" i="36"/>
  <c r="H36" i="36"/>
  <c r="F36" i="36"/>
  <c r="E36" i="36"/>
  <c r="D36" i="36"/>
  <c r="B36" i="36"/>
  <c r="M35" i="36"/>
  <c r="L35" i="36"/>
  <c r="K35" i="36"/>
  <c r="J35" i="36"/>
  <c r="I35" i="36"/>
  <c r="F35" i="36"/>
  <c r="E35" i="36"/>
  <c r="D35" i="36"/>
  <c r="B35" i="36"/>
  <c r="L25" i="36"/>
  <c r="L31" i="36"/>
  <c r="K25" i="36"/>
  <c r="K31" i="36"/>
  <c r="J25" i="36"/>
  <c r="J31" i="36"/>
  <c r="I25" i="36"/>
  <c r="I31" i="36"/>
  <c r="H25" i="36"/>
  <c r="H31" i="36"/>
  <c r="F31" i="36"/>
  <c r="E31" i="36"/>
  <c r="D31" i="36"/>
  <c r="B31" i="36"/>
  <c r="M25" i="36"/>
  <c r="M30" i="36"/>
  <c r="K30" i="36"/>
  <c r="J30" i="36"/>
  <c r="I30" i="36"/>
  <c r="H30" i="36"/>
  <c r="F30" i="36"/>
  <c r="E30" i="36"/>
  <c r="D30" i="36"/>
  <c r="B30" i="36"/>
  <c r="M29" i="36"/>
  <c r="L29" i="36"/>
  <c r="J29" i="36"/>
  <c r="I29" i="36"/>
  <c r="H29" i="36"/>
  <c r="F29" i="36"/>
  <c r="E29" i="36"/>
  <c r="D29" i="36"/>
  <c r="B29" i="36"/>
  <c r="M28" i="36"/>
  <c r="L28" i="36"/>
  <c r="K28" i="36"/>
  <c r="I28" i="36"/>
  <c r="H28" i="36"/>
  <c r="F28" i="36"/>
  <c r="E28" i="36"/>
  <c r="D28" i="36"/>
  <c r="B28" i="36"/>
  <c r="M27" i="36"/>
  <c r="L27" i="36"/>
  <c r="K27" i="36"/>
  <c r="J27" i="36"/>
  <c r="H27" i="36"/>
  <c r="F27" i="36"/>
  <c r="E27" i="36"/>
  <c r="D27" i="36"/>
  <c r="B27" i="36"/>
  <c r="M26" i="36"/>
  <c r="L26" i="36"/>
  <c r="K26" i="36"/>
  <c r="J26" i="36"/>
  <c r="I26" i="36"/>
  <c r="F26" i="36"/>
  <c r="E26" i="36"/>
  <c r="D26" i="36"/>
  <c r="B26" i="36"/>
  <c r="L16" i="36"/>
  <c r="L22" i="36"/>
  <c r="K16" i="36"/>
  <c r="K22" i="36"/>
  <c r="J16" i="36"/>
  <c r="J22" i="36"/>
  <c r="I16" i="36"/>
  <c r="I22" i="36"/>
  <c r="H16" i="36"/>
  <c r="H22" i="36"/>
  <c r="F22" i="36"/>
  <c r="E22" i="36"/>
  <c r="D22" i="36"/>
  <c r="B22" i="36"/>
  <c r="M16" i="36"/>
  <c r="M21" i="36"/>
  <c r="K21" i="36"/>
  <c r="J21" i="36"/>
  <c r="I21" i="36"/>
  <c r="H21" i="36"/>
  <c r="F21" i="36"/>
  <c r="E21" i="36"/>
  <c r="D21" i="36"/>
  <c r="B21" i="36"/>
  <c r="M20" i="36"/>
  <c r="L20" i="36"/>
  <c r="J20" i="36"/>
  <c r="I20" i="36"/>
  <c r="H20" i="36"/>
  <c r="F20" i="36"/>
  <c r="E20" i="36"/>
  <c r="D20" i="36"/>
  <c r="B20" i="36"/>
  <c r="M19" i="36"/>
  <c r="L19" i="36"/>
  <c r="K19" i="36"/>
  <c r="I19" i="36"/>
  <c r="H19" i="36"/>
  <c r="F19" i="36"/>
  <c r="E19" i="36"/>
  <c r="D19" i="36"/>
  <c r="B19" i="36"/>
  <c r="M18" i="36"/>
  <c r="L18" i="36"/>
  <c r="K18" i="36"/>
  <c r="J18" i="36"/>
  <c r="H18" i="36"/>
  <c r="F18" i="36"/>
  <c r="E18" i="36"/>
  <c r="D18" i="36"/>
  <c r="B18" i="36"/>
  <c r="M17" i="36"/>
  <c r="L17" i="36"/>
  <c r="K17" i="36"/>
  <c r="J17" i="36"/>
  <c r="I17" i="36"/>
  <c r="F17" i="36"/>
  <c r="E17" i="36"/>
  <c r="D17" i="36"/>
  <c r="B17" i="36"/>
  <c r="L7" i="36"/>
  <c r="L13" i="36"/>
  <c r="K7" i="36"/>
  <c r="K13" i="36"/>
  <c r="J7" i="36"/>
  <c r="J13" i="36"/>
  <c r="I7" i="36"/>
  <c r="I13" i="36"/>
  <c r="H7" i="36"/>
  <c r="H13" i="36"/>
  <c r="F13" i="36"/>
  <c r="E13" i="36"/>
  <c r="D13" i="36"/>
  <c r="B13" i="36"/>
  <c r="M7" i="36"/>
  <c r="M12" i="36"/>
  <c r="K12" i="36"/>
  <c r="J12" i="36"/>
  <c r="I12" i="36"/>
  <c r="H12" i="36"/>
  <c r="F12" i="36"/>
  <c r="E12" i="36"/>
  <c r="D12" i="36"/>
  <c r="B12" i="36"/>
  <c r="M11" i="36"/>
  <c r="L11" i="36"/>
  <c r="J11" i="36"/>
  <c r="I11" i="36"/>
  <c r="H11" i="36"/>
  <c r="F11" i="36"/>
  <c r="E11" i="36"/>
  <c r="D11" i="36"/>
  <c r="B11" i="36"/>
  <c r="M10" i="36"/>
  <c r="L10" i="36"/>
  <c r="K10" i="36"/>
  <c r="I10" i="36"/>
  <c r="H10" i="36"/>
  <c r="F10" i="36"/>
  <c r="E10" i="36"/>
  <c r="D10" i="36"/>
  <c r="B10" i="36"/>
  <c r="M9" i="36"/>
  <c r="L9" i="36"/>
  <c r="K9" i="36"/>
  <c r="J9" i="36"/>
  <c r="H9" i="36"/>
  <c r="F9" i="36"/>
  <c r="E9" i="36"/>
  <c r="D9" i="36"/>
  <c r="B9" i="36"/>
  <c r="M8" i="36"/>
  <c r="L8" i="36"/>
  <c r="K8" i="36"/>
  <c r="J8" i="36"/>
  <c r="I8" i="36"/>
  <c r="F8" i="36"/>
  <c r="E8" i="36"/>
  <c r="D8" i="36"/>
  <c r="B8" i="36"/>
  <c r="N40" i="38"/>
  <c r="Z64" i="17"/>
  <c r="Z65" i="17"/>
  <c r="Z66" i="17"/>
  <c r="AB64" i="17"/>
  <c r="AB65"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94" i="17"/>
  <c r="AB94" i="17"/>
  <c r="Z95" i="17"/>
  <c r="AB95" i="17"/>
  <c r="Z96" i="17"/>
  <c r="AB96" i="17"/>
  <c r="Z97" i="17"/>
  <c r="AB97" i="17"/>
  <c r="Z98" i="17"/>
  <c r="AB98" i="17"/>
  <c r="Z99" i="17"/>
  <c r="AB99" i="17"/>
  <c r="Z100" i="17"/>
  <c r="AB100" i="17"/>
  <c r="Z101" i="17"/>
  <c r="AB101" i="17"/>
  <c r="Z102" i="17"/>
  <c r="AB102" i="17"/>
  <c r="Z103" i="17"/>
  <c r="AB103" i="17"/>
  <c r="Z104" i="17"/>
  <c r="AB104" i="17"/>
  <c r="Z105" i="17"/>
  <c r="AB105" i="17"/>
  <c r="Z106" i="17"/>
  <c r="AB106" i="17"/>
  <c r="Z107" i="17"/>
  <c r="AB107" i="17"/>
  <c r="Z108" i="17"/>
  <c r="AB108" i="17"/>
  <c r="Z109" i="17"/>
  <c r="AB109" i="17"/>
  <c r="Z110" i="17"/>
  <c r="AB110" i="17"/>
  <c r="Z111" i="17"/>
  <c r="AB111" i="17"/>
  <c r="Z112" i="17"/>
  <c r="AB112" i="17"/>
  <c r="Z113" i="17"/>
  <c r="AB113" i="17"/>
  <c r="Z114" i="17"/>
  <c r="AB114" i="17"/>
  <c r="Z115" i="17"/>
  <c r="AB115" i="17"/>
  <c r="Z116" i="17"/>
  <c r="AB116" i="17"/>
  <c r="Z117" i="17"/>
  <c r="AB117" i="17"/>
  <c r="Z118" i="17"/>
  <c r="AB118" i="17"/>
  <c r="Z119" i="17"/>
  <c r="AB119" i="17"/>
  <c r="Z120" i="17"/>
  <c r="AB120" i="17"/>
  <c r="Z121" i="17"/>
  <c r="AB121" i="17"/>
  <c r="Z122" i="17"/>
  <c r="AB122" i="17"/>
  <c r="Z123" i="17"/>
  <c r="AB123"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Z166" i="17"/>
  <c r="AA166" i="17"/>
  <c r="AB166" i="17"/>
  <c r="Z167" i="17"/>
  <c r="AA167" i="17"/>
  <c r="AB167" i="17"/>
  <c r="Z168" i="17"/>
  <c r="AA168" i="17"/>
  <c r="AB168" i="17"/>
  <c r="Z169" i="17"/>
  <c r="AA169" i="17"/>
  <c r="AB169" i="17"/>
  <c r="Z170" i="17"/>
  <c r="AA170" i="17"/>
  <c r="AB170" i="17"/>
  <c r="Z171" i="17"/>
  <c r="AA171" i="17"/>
  <c r="AB171" i="17"/>
  <c r="Z172" i="17"/>
  <c r="AA172" i="17"/>
  <c r="AB172" i="17"/>
  <c r="Z173" i="17"/>
  <c r="AA173" i="17"/>
  <c r="AB173" i="17"/>
  <c r="Z174" i="17"/>
  <c r="AA174" i="17"/>
  <c r="AB174" i="17"/>
  <c r="Z175" i="17"/>
  <c r="AA175" i="17"/>
  <c r="AB175" i="17"/>
  <c r="Z176" i="17"/>
  <c r="AA176" i="17"/>
  <c r="AB176" i="17"/>
  <c r="Z177" i="17"/>
  <c r="AA177" i="17"/>
  <c r="AB177" i="17"/>
  <c r="Z178" i="17"/>
  <c r="AA178" i="17"/>
  <c r="AB178" i="17"/>
  <c r="Z179" i="17"/>
  <c r="AA179" i="17"/>
  <c r="AB179" i="17"/>
  <c r="Z180" i="17"/>
  <c r="AA180" i="17"/>
  <c r="AB180" i="17"/>
  <c r="Z181" i="17"/>
  <c r="AA181" i="17"/>
  <c r="AB181" i="17"/>
  <c r="Z182" i="17"/>
  <c r="AA182" i="17"/>
  <c r="AB182" i="17"/>
  <c r="Z183" i="17"/>
  <c r="AA183" i="17"/>
  <c r="AB183" i="17"/>
  <c r="Z184" i="17"/>
  <c r="AA184" i="17"/>
  <c r="AB184" i="17"/>
  <c r="Z185" i="17"/>
  <c r="AA185" i="17"/>
  <c r="AB185" i="17"/>
  <c r="Z186" i="17"/>
  <c r="AA186" i="17"/>
  <c r="AB186" i="17"/>
  <c r="Z187" i="17"/>
  <c r="AA187" i="17"/>
  <c r="AB187" i="17"/>
  <c r="Z188" i="17"/>
  <c r="AA188" i="17"/>
  <c r="AB188" i="17"/>
  <c r="Z189" i="17"/>
  <c r="AA189" i="17"/>
  <c r="AB189" i="17"/>
  <c r="Z190" i="17"/>
  <c r="AA190" i="17"/>
  <c r="AB190" i="17"/>
  <c r="Z191" i="17"/>
  <c r="AA191" i="17"/>
  <c r="AB191" i="17"/>
  <c r="Z192" i="17"/>
  <c r="AA192" i="17"/>
  <c r="AB192" i="17"/>
  <c r="Z193" i="17"/>
  <c r="AA193" i="17"/>
  <c r="AB193" i="17"/>
  <c r="Z194" i="17"/>
  <c r="AA194" i="17"/>
  <c r="AB194" i="17"/>
  <c r="Z195" i="17"/>
  <c r="AA195" i="17"/>
  <c r="AB195" i="17"/>
  <c r="N39" i="38"/>
  <c r="N38" i="38"/>
  <c r="N37" i="38"/>
  <c r="N36" i="38"/>
  <c r="N35" i="38"/>
  <c r="G34" i="38"/>
  <c r="E28" i="9"/>
  <c r="F34" i="38"/>
  <c r="E34" i="38"/>
  <c r="D34" i="38"/>
  <c r="C34" i="38"/>
  <c r="M33" i="38"/>
  <c r="L33" i="38"/>
  <c r="K33" i="38"/>
  <c r="J33" i="38"/>
  <c r="I33" i="38"/>
  <c r="H33" i="38"/>
  <c r="N31" i="38"/>
  <c r="N30" i="38"/>
  <c r="N29" i="38"/>
  <c r="N28" i="38"/>
  <c r="N27" i="38"/>
  <c r="N26" i="38"/>
  <c r="G25" i="38"/>
  <c r="F25" i="38"/>
  <c r="E25" i="38"/>
  <c r="D25" i="38"/>
  <c r="C25" i="38"/>
  <c r="M24" i="38"/>
  <c r="L24" i="38"/>
  <c r="K24" i="38"/>
  <c r="J24" i="38"/>
  <c r="I24" i="38"/>
  <c r="H24" i="38"/>
  <c r="N22" i="38"/>
  <c r="N21" i="38"/>
  <c r="N20" i="38"/>
  <c r="N19" i="38"/>
  <c r="N18" i="38"/>
  <c r="N17" i="38"/>
  <c r="G16" i="38"/>
  <c r="F16" i="38"/>
  <c r="E16" i="38"/>
  <c r="D16" i="38"/>
  <c r="C16" i="38"/>
  <c r="M15" i="38"/>
  <c r="L15" i="38"/>
  <c r="K15" i="38"/>
  <c r="J15" i="38"/>
  <c r="I15" i="38"/>
  <c r="H15" i="38"/>
  <c r="N13" i="38"/>
  <c r="N12" i="38"/>
  <c r="N11" i="38"/>
  <c r="N10" i="38"/>
  <c r="N9" i="38"/>
  <c r="N8" i="38"/>
  <c r="G7" i="38"/>
  <c r="F7" i="38"/>
  <c r="E7" i="38"/>
  <c r="D7" i="38"/>
  <c r="C7" i="38"/>
  <c r="M6" i="38"/>
  <c r="L6" i="38"/>
  <c r="K6" i="38"/>
  <c r="J6" i="38"/>
  <c r="I6" i="38"/>
  <c r="H6" i="38"/>
  <c r="E109" i="9"/>
  <c r="B4" i="38"/>
  <c r="E7" i="9"/>
  <c r="B2" i="38"/>
  <c r="N40" i="37"/>
  <c r="N39" i="37"/>
  <c r="N38" i="37"/>
  <c r="N37" i="37"/>
  <c r="N36" i="37"/>
  <c r="N35" i="37"/>
  <c r="G34" i="37"/>
  <c r="F34" i="37"/>
  <c r="E34" i="37"/>
  <c r="D34" i="37"/>
  <c r="C34" i="37"/>
  <c r="M33" i="37"/>
  <c r="L33" i="37"/>
  <c r="K33" i="37"/>
  <c r="J33" i="37"/>
  <c r="I33" i="37"/>
  <c r="H33" i="37"/>
  <c r="N31" i="37"/>
  <c r="N30" i="37"/>
  <c r="N29" i="37"/>
  <c r="N28" i="37"/>
  <c r="N27" i="37"/>
  <c r="N26" i="37"/>
  <c r="G25" i="37"/>
  <c r="F25" i="37"/>
  <c r="E25" i="37"/>
  <c r="D25" i="37"/>
  <c r="C25" i="37"/>
  <c r="M24" i="37"/>
  <c r="L24" i="37"/>
  <c r="K24" i="37"/>
  <c r="J24" i="37"/>
  <c r="I24" i="37"/>
  <c r="H24" i="37"/>
  <c r="N22" i="37"/>
  <c r="N21" i="37"/>
  <c r="N20" i="37"/>
  <c r="N19" i="37"/>
  <c r="N18" i="37"/>
  <c r="N17" i="37"/>
  <c r="G16" i="37"/>
  <c r="F16" i="37"/>
  <c r="E16" i="37"/>
  <c r="D16" i="37"/>
  <c r="C16" i="37"/>
  <c r="M15" i="37"/>
  <c r="L15" i="37"/>
  <c r="K15" i="37"/>
  <c r="J15" i="37"/>
  <c r="I15" i="37"/>
  <c r="H15" i="37"/>
  <c r="N13" i="37"/>
  <c r="N12" i="37"/>
  <c r="N11" i="37"/>
  <c r="N10" i="37"/>
  <c r="N9" i="37"/>
  <c r="N8" i="37"/>
  <c r="G7" i="37"/>
  <c r="F7" i="37"/>
  <c r="E7" i="37"/>
  <c r="D7" i="37"/>
  <c r="C7" i="37"/>
  <c r="M6" i="37"/>
  <c r="L6" i="37"/>
  <c r="K6" i="37"/>
  <c r="J6" i="37"/>
  <c r="I6" i="37"/>
  <c r="H6" i="37"/>
  <c r="B4" i="37"/>
  <c r="B2" i="37"/>
  <c r="N40" i="36"/>
  <c r="N39" i="36"/>
  <c r="N38" i="36"/>
  <c r="N37" i="36"/>
  <c r="N36" i="36"/>
  <c r="N35" i="36"/>
  <c r="G34" i="36"/>
  <c r="F34" i="36"/>
  <c r="E34" i="36"/>
  <c r="D34" i="36"/>
  <c r="C34" i="36"/>
  <c r="M33" i="36"/>
  <c r="L33" i="36"/>
  <c r="K33" i="36"/>
  <c r="J33" i="36"/>
  <c r="I33" i="36"/>
  <c r="H33" i="36"/>
  <c r="N31" i="36"/>
  <c r="N30" i="36"/>
  <c r="N29" i="36"/>
  <c r="N28" i="36"/>
  <c r="N27" i="36"/>
  <c r="N26" i="36"/>
  <c r="G25" i="36"/>
  <c r="F25" i="36"/>
  <c r="E25" i="36"/>
  <c r="D25" i="36"/>
  <c r="C25" i="36"/>
  <c r="M24" i="36"/>
  <c r="L24" i="36"/>
  <c r="K24" i="36"/>
  <c r="J24" i="36"/>
  <c r="I24" i="36"/>
  <c r="H24" i="36"/>
  <c r="N22" i="36"/>
  <c r="N21" i="36"/>
  <c r="N20" i="36"/>
  <c r="N19" i="36"/>
  <c r="N18" i="36"/>
  <c r="N17" i="36"/>
  <c r="G16" i="36"/>
  <c r="F16" i="36"/>
  <c r="E16" i="36"/>
  <c r="D16" i="36"/>
  <c r="C16" i="36"/>
  <c r="M15" i="36"/>
  <c r="L15" i="36"/>
  <c r="K15" i="36"/>
  <c r="J15" i="36"/>
  <c r="I15" i="36"/>
  <c r="H15" i="36"/>
  <c r="N13" i="36"/>
  <c r="N12" i="36"/>
  <c r="N11" i="36"/>
  <c r="N10" i="36"/>
  <c r="N9" i="36"/>
  <c r="N8" i="36"/>
  <c r="G7" i="36"/>
  <c r="F7" i="36"/>
  <c r="E7" i="36"/>
  <c r="D7" i="36"/>
  <c r="C7" i="36"/>
  <c r="M6" i="36"/>
  <c r="L6" i="36"/>
  <c r="K6" i="36"/>
  <c r="J6" i="36"/>
  <c r="I6" i="36"/>
  <c r="H6" i="36"/>
  <c r="B4" i="36"/>
  <c r="B2" i="36"/>
  <c r="B13" i="6"/>
  <c r="B52" i="6"/>
  <c r="B53" i="6"/>
  <c r="B54" i="6"/>
  <c r="B55" i="6"/>
  <c r="B56" i="6"/>
  <c r="B57" i="6"/>
  <c r="B58" i="6"/>
  <c r="B59" i="6"/>
  <c r="B60" i="6"/>
  <c r="B61" i="6"/>
  <c r="B62" i="6"/>
  <c r="B63" i="6"/>
  <c r="B64" i="6"/>
  <c r="B65" i="6"/>
  <c r="B66" i="6"/>
  <c r="B67" i="6"/>
  <c r="B68" i="6"/>
  <c r="B69" i="6"/>
  <c r="B70" i="6"/>
  <c r="B71" i="6"/>
  <c r="B12" i="6"/>
  <c r="C52" i="21"/>
  <c r="E21" i="24"/>
  <c r="E20" i="24"/>
  <c r="E50" i="21"/>
  <c r="E47" i="21"/>
  <c r="U19" i="24"/>
  <c r="U12" i="24"/>
  <c r="T11" i="24"/>
  <c r="L34" i="20"/>
  <c r="L40" i="20"/>
  <c r="K34" i="20"/>
  <c r="K40" i="20"/>
  <c r="J34" i="20"/>
  <c r="J40" i="20"/>
  <c r="I34" i="20"/>
  <c r="I40" i="20"/>
  <c r="H34" i="20"/>
  <c r="H40" i="20"/>
  <c r="M34" i="20"/>
  <c r="M39" i="20"/>
  <c r="K39" i="20"/>
  <c r="J39" i="20"/>
  <c r="I39" i="20"/>
  <c r="H39" i="20"/>
  <c r="M38" i="20"/>
  <c r="L38" i="20"/>
  <c r="J38" i="20"/>
  <c r="I38" i="20"/>
  <c r="H38" i="20"/>
  <c r="M37" i="20"/>
  <c r="L37" i="20"/>
  <c r="K37" i="20"/>
  <c r="I37" i="20"/>
  <c r="H37" i="20"/>
  <c r="M36" i="20"/>
  <c r="L36" i="20"/>
  <c r="K36" i="20"/>
  <c r="J36" i="20"/>
  <c r="H36" i="20"/>
  <c r="M35" i="20"/>
  <c r="L35" i="20"/>
  <c r="K35" i="20"/>
  <c r="J35" i="20"/>
  <c r="I35" i="20"/>
  <c r="L25" i="20"/>
  <c r="L31" i="20"/>
  <c r="K25" i="20"/>
  <c r="K31" i="20"/>
  <c r="J25" i="20"/>
  <c r="J31" i="20"/>
  <c r="I25" i="20"/>
  <c r="I31" i="20"/>
  <c r="H25" i="20"/>
  <c r="H31" i="20"/>
  <c r="M25" i="20"/>
  <c r="M30" i="20"/>
  <c r="K30" i="20"/>
  <c r="J30" i="20"/>
  <c r="I30" i="20"/>
  <c r="H30" i="20"/>
  <c r="M29" i="20"/>
  <c r="L29" i="20"/>
  <c r="J29" i="20"/>
  <c r="I29" i="20"/>
  <c r="H29" i="20"/>
  <c r="M28" i="20"/>
  <c r="L28" i="20"/>
  <c r="K28" i="20"/>
  <c r="I28" i="20"/>
  <c r="H28" i="20"/>
  <c r="M27" i="20"/>
  <c r="L27" i="20"/>
  <c r="K27" i="20"/>
  <c r="J27" i="20"/>
  <c r="H27" i="20"/>
  <c r="M26" i="20"/>
  <c r="L26" i="20"/>
  <c r="K26" i="20"/>
  <c r="J26" i="20"/>
  <c r="I26" i="20"/>
  <c r="L16" i="20"/>
  <c r="L22" i="20"/>
  <c r="K16" i="20"/>
  <c r="K22" i="20"/>
  <c r="J16" i="20"/>
  <c r="J22" i="20"/>
  <c r="I16" i="20"/>
  <c r="I22" i="20"/>
  <c r="H16" i="20"/>
  <c r="H22" i="20"/>
  <c r="M16" i="20"/>
  <c r="M21" i="20"/>
  <c r="K21" i="20"/>
  <c r="J21" i="20"/>
  <c r="I21" i="20"/>
  <c r="H21" i="20"/>
  <c r="M20" i="20"/>
  <c r="L20" i="20"/>
  <c r="J20" i="20"/>
  <c r="I20" i="20"/>
  <c r="H20" i="20"/>
  <c r="M19" i="20"/>
  <c r="L19" i="20"/>
  <c r="K19" i="20"/>
  <c r="I19" i="20"/>
  <c r="H19" i="20"/>
  <c r="M18" i="20"/>
  <c r="L18" i="20"/>
  <c r="K18" i="20"/>
  <c r="J18" i="20"/>
  <c r="H18" i="20"/>
  <c r="M17" i="20"/>
  <c r="L17" i="20"/>
  <c r="K17" i="20"/>
  <c r="J17" i="20"/>
  <c r="I17" i="20"/>
  <c r="Z17" i="17"/>
  <c r="Z18" i="17"/>
  <c r="Z19" i="17"/>
  <c r="L7" i="20"/>
  <c r="L13" i="20"/>
  <c r="K7" i="20"/>
  <c r="K13" i="20"/>
  <c r="J7" i="20"/>
  <c r="J13" i="20"/>
  <c r="I7" i="20"/>
  <c r="I13" i="20"/>
  <c r="H7" i="20"/>
  <c r="H13" i="20"/>
  <c r="M7" i="20"/>
  <c r="M12" i="20"/>
  <c r="K12" i="20"/>
  <c r="J12" i="20"/>
  <c r="I12" i="20"/>
  <c r="H12" i="20"/>
  <c r="M11" i="20"/>
  <c r="L11" i="20"/>
  <c r="J11" i="20"/>
  <c r="I11" i="20"/>
  <c r="H11" i="20"/>
  <c r="M10" i="20"/>
  <c r="L10" i="20"/>
  <c r="K10" i="20"/>
  <c r="I10" i="20"/>
  <c r="H10" i="20"/>
  <c r="M9" i="20"/>
  <c r="L9" i="20"/>
  <c r="K9" i="20"/>
  <c r="J9" i="20"/>
  <c r="H9" i="20"/>
  <c r="M8" i="20"/>
  <c r="L8" i="20"/>
  <c r="K8" i="20"/>
  <c r="J8" i="20"/>
  <c r="I8" i="20"/>
  <c r="AB41" i="6"/>
  <c r="AB47" i="6"/>
  <c r="AA41" i="6"/>
  <c r="AA47" i="6"/>
  <c r="Z41" i="6"/>
  <c r="Z47" i="6"/>
  <c r="Y41" i="6"/>
  <c r="Y47" i="6"/>
  <c r="X41" i="6"/>
  <c r="X47" i="6"/>
  <c r="AC41" i="6"/>
  <c r="AC46" i="6"/>
  <c r="AA46" i="6"/>
  <c r="Z46" i="6"/>
  <c r="Y46" i="6"/>
  <c r="X46" i="6"/>
  <c r="AC45" i="6"/>
  <c r="AB45" i="6"/>
  <c r="Z45" i="6"/>
  <c r="Y45" i="6"/>
  <c r="X45" i="6"/>
  <c r="AC44" i="6"/>
  <c r="AB44" i="6"/>
  <c r="AA44" i="6"/>
  <c r="Y44" i="6"/>
  <c r="X44" i="6"/>
  <c r="AC43" i="6"/>
  <c r="AB43" i="6"/>
  <c r="AA43" i="6"/>
  <c r="Z43" i="6"/>
  <c r="X43" i="6"/>
  <c r="AC42" i="6"/>
  <c r="AB42" i="6"/>
  <c r="AA42" i="6"/>
  <c r="Z42" i="6"/>
  <c r="Y42" i="6"/>
  <c r="AB31" i="6"/>
  <c r="AB37" i="6"/>
  <c r="AA31" i="6"/>
  <c r="AA37" i="6"/>
  <c r="Z31" i="6"/>
  <c r="Z37" i="6"/>
  <c r="Y31" i="6"/>
  <c r="Y37" i="6"/>
  <c r="X31" i="6"/>
  <c r="X37" i="6"/>
  <c r="AC31" i="6"/>
  <c r="AC36" i="6"/>
  <c r="AA36" i="6"/>
  <c r="Z36" i="6"/>
  <c r="Y36" i="6"/>
  <c r="X36" i="6"/>
  <c r="AC35" i="6"/>
  <c r="AB35" i="6"/>
  <c r="Z35" i="6"/>
  <c r="Y35" i="6"/>
  <c r="X35" i="6"/>
  <c r="AC34" i="6"/>
  <c r="AB34" i="6"/>
  <c r="AA34" i="6"/>
  <c r="Y34" i="6"/>
  <c r="X34" i="6"/>
  <c r="AC33" i="6"/>
  <c r="AB33" i="6"/>
  <c r="AA33" i="6"/>
  <c r="Z33" i="6"/>
  <c r="X33" i="6"/>
  <c r="AC32" i="6"/>
  <c r="AB32" i="6"/>
  <c r="AA32" i="6"/>
  <c r="Z32" i="6"/>
  <c r="Y32" i="6"/>
  <c r="AB21" i="6"/>
  <c r="AB27" i="6"/>
  <c r="AA21" i="6"/>
  <c r="AA27" i="6"/>
  <c r="Z21" i="6"/>
  <c r="Z27" i="6"/>
  <c r="Y21" i="6"/>
  <c r="Y27" i="6"/>
  <c r="X21" i="6"/>
  <c r="X27" i="6"/>
  <c r="AC21" i="6"/>
  <c r="AC26" i="6"/>
  <c r="AA26" i="6"/>
  <c r="Z26" i="6"/>
  <c r="Y26" i="6"/>
  <c r="X26" i="6"/>
  <c r="AC25" i="6"/>
  <c r="AB25" i="6"/>
  <c r="Z25" i="6"/>
  <c r="Y25" i="6"/>
  <c r="X25" i="6"/>
  <c r="AC24" i="6"/>
  <c r="AB24" i="6"/>
  <c r="AA24" i="6"/>
  <c r="Y24" i="6"/>
  <c r="X24" i="6"/>
  <c r="AC23" i="6"/>
  <c r="AB23" i="6"/>
  <c r="AA23" i="6"/>
  <c r="Z23" i="6"/>
  <c r="X23" i="6"/>
  <c r="AC22" i="6"/>
  <c r="AB22" i="6"/>
  <c r="AA22" i="6"/>
  <c r="Z22" i="6"/>
  <c r="Y22" i="6"/>
  <c r="AB11" i="6"/>
  <c r="AB17" i="6"/>
  <c r="AA11" i="6"/>
  <c r="AA17" i="6"/>
  <c r="Z11" i="6"/>
  <c r="Z17" i="6"/>
  <c r="Y11" i="6"/>
  <c r="Y17" i="6"/>
  <c r="X11" i="6"/>
  <c r="X17" i="6"/>
  <c r="AC11" i="6"/>
  <c r="AC16" i="6"/>
  <c r="AA16" i="6"/>
  <c r="Z16" i="6"/>
  <c r="Y16" i="6"/>
  <c r="X16" i="6"/>
  <c r="AC15" i="6"/>
  <c r="AB15" i="6"/>
  <c r="Z15" i="6"/>
  <c r="Y15" i="6"/>
  <c r="X15" i="6"/>
  <c r="AC14" i="6"/>
  <c r="AB14" i="6"/>
  <c r="AA14" i="6"/>
  <c r="Y14" i="6"/>
  <c r="X14" i="6"/>
  <c r="AC13" i="6"/>
  <c r="AB13" i="6"/>
  <c r="AA13" i="6"/>
  <c r="Z13" i="6"/>
  <c r="X13" i="6"/>
  <c r="AC12" i="6"/>
  <c r="AB12" i="6"/>
  <c r="Y12" i="6"/>
  <c r="AA12" i="6"/>
  <c r="Z12" i="6"/>
  <c r="M14" i="21"/>
  <c r="M22" i="21"/>
  <c r="M12" i="21"/>
  <c r="L49" i="21"/>
  <c r="L46" i="21"/>
  <c r="L42" i="21"/>
  <c r="L38" i="21"/>
  <c r="L34" i="21"/>
  <c r="L30" i="21"/>
  <c r="O49" i="21"/>
  <c r="O46" i="21"/>
  <c r="O42" i="21"/>
  <c r="O38" i="21"/>
  <c r="O34" i="21"/>
  <c r="O30" i="21"/>
  <c r="L26" i="21"/>
  <c r="O26" i="21"/>
  <c r="P50" i="21"/>
  <c r="P47" i="21"/>
  <c r="P44" i="21"/>
  <c r="P43" i="21"/>
  <c r="P40" i="21"/>
  <c r="P39" i="21"/>
  <c r="P36" i="21"/>
  <c r="P35" i="21"/>
  <c r="P32" i="21"/>
  <c r="P31" i="21"/>
  <c r="P28" i="21"/>
  <c r="P27" i="21"/>
  <c r="C10" i="21"/>
  <c r="P13" i="21"/>
  <c r="P14" i="21"/>
  <c r="P15" i="21"/>
  <c r="P16" i="21"/>
  <c r="P17" i="21"/>
  <c r="P18" i="21"/>
  <c r="P19" i="21"/>
  <c r="P20" i="21"/>
  <c r="P21" i="21"/>
  <c r="P22" i="21"/>
  <c r="P23" i="21"/>
  <c r="P12" i="21"/>
  <c r="O11" i="21"/>
  <c r="R10" i="21"/>
  <c r="U19" i="21"/>
  <c r="U26" i="21"/>
  <c r="U33" i="21"/>
  <c r="U40" i="21"/>
  <c r="U47" i="21"/>
  <c r="M44" i="21"/>
  <c r="M40" i="21"/>
  <c r="M36" i="21"/>
  <c r="M32" i="21"/>
  <c r="M28" i="21"/>
  <c r="E65" i="9"/>
  <c r="C49" i="21"/>
  <c r="E66" i="9"/>
  <c r="C46" i="21"/>
  <c r="E67" i="9"/>
  <c r="E68" i="9"/>
  <c r="C42" i="21"/>
  <c r="C38" i="21"/>
  <c r="C34" i="21"/>
  <c r="C30" i="21"/>
  <c r="C26" i="21"/>
  <c r="U12" i="21"/>
  <c r="T11" i="21"/>
  <c r="M27" i="21"/>
  <c r="M31" i="21"/>
  <c r="M35" i="21"/>
  <c r="M39" i="21"/>
  <c r="M43" i="21"/>
  <c r="M47" i="21"/>
  <c r="M50" i="21"/>
  <c r="S11" i="22"/>
  <c r="U17" i="22"/>
  <c r="AH47" i="6"/>
  <c r="AH46" i="6"/>
  <c r="AH45" i="6"/>
  <c r="AH44" i="6"/>
  <c r="AH42" i="6"/>
  <c r="E16" i="9"/>
  <c r="AG40" i="6"/>
  <c r="AI41" i="6"/>
  <c r="AH41" i="6"/>
  <c r="AG41" i="6"/>
  <c r="V124" i="3"/>
  <c r="W124" i="3"/>
  <c r="X124" i="3"/>
  <c r="Y124" i="3"/>
  <c r="AA124" i="3"/>
  <c r="AF124" i="3"/>
  <c r="AE124" i="3"/>
  <c r="AB124" i="3"/>
  <c r="Z124" i="3"/>
  <c r="V124" i="17"/>
  <c r="W124" i="17"/>
  <c r="X124" i="17"/>
  <c r="Y124" i="17"/>
  <c r="AA124" i="17"/>
  <c r="AF124" i="17"/>
  <c r="AE124" i="17"/>
  <c r="AB124" i="17"/>
  <c r="Z124" i="17"/>
  <c r="V124" i="25"/>
  <c r="W124" i="25"/>
  <c r="X124" i="25"/>
  <c r="Y124" i="25"/>
  <c r="AA124" i="25"/>
  <c r="AF124" i="25"/>
  <c r="AE124" i="25"/>
  <c r="AB124" i="25"/>
  <c r="Z124" i="25"/>
  <c r="O43" i="6"/>
  <c r="P43" i="6"/>
  <c r="Q43" i="6"/>
  <c r="R43" i="6"/>
  <c r="S43" i="6"/>
  <c r="T43" i="6"/>
  <c r="U43" i="6"/>
  <c r="V43" i="6"/>
  <c r="W43" i="6"/>
  <c r="O44" i="6"/>
  <c r="P44" i="6"/>
  <c r="Q44" i="6"/>
  <c r="R44" i="6"/>
  <c r="S44" i="6"/>
  <c r="T44" i="6"/>
  <c r="U44" i="6"/>
  <c r="V44" i="6"/>
  <c r="W44" i="6"/>
  <c r="O45" i="6"/>
  <c r="P45" i="6"/>
  <c r="Q45" i="6"/>
  <c r="R45" i="6"/>
  <c r="S45" i="6"/>
  <c r="T45" i="6"/>
  <c r="U45" i="6"/>
  <c r="V45" i="6"/>
  <c r="W45" i="6"/>
  <c r="O46" i="6"/>
  <c r="P46" i="6"/>
  <c r="Q46" i="6"/>
  <c r="R46" i="6"/>
  <c r="S46" i="6"/>
  <c r="T46" i="6"/>
  <c r="U46" i="6"/>
  <c r="V46" i="6"/>
  <c r="W46" i="6"/>
  <c r="O47" i="6"/>
  <c r="P47" i="6"/>
  <c r="Q47" i="6"/>
  <c r="R47" i="6"/>
  <c r="S47" i="6"/>
  <c r="T47" i="6"/>
  <c r="U47" i="6"/>
  <c r="V47" i="6"/>
  <c r="W47" i="6"/>
  <c r="W42" i="6"/>
  <c r="V42" i="6"/>
  <c r="U42" i="6"/>
  <c r="S42" i="6"/>
  <c r="R42" i="6"/>
  <c r="Q42" i="6"/>
  <c r="P42" i="6"/>
  <c r="O42" i="6"/>
  <c r="M42" i="6"/>
  <c r="M43" i="6"/>
  <c r="M44" i="6"/>
  <c r="M45" i="6"/>
  <c r="M46" i="6"/>
  <c r="M47" i="6"/>
  <c r="M32" i="6"/>
  <c r="M33" i="6"/>
  <c r="M34" i="6"/>
  <c r="M35" i="6"/>
  <c r="M36" i="6"/>
  <c r="M37" i="6"/>
  <c r="E62" i="6"/>
  <c r="J62" i="6"/>
  <c r="E63" i="6"/>
  <c r="J63" i="6"/>
  <c r="E64" i="6"/>
  <c r="J64" i="6"/>
  <c r="E65" i="6"/>
  <c r="J65" i="6"/>
  <c r="E66" i="6"/>
  <c r="J66" i="6"/>
  <c r="E67" i="6"/>
  <c r="J67" i="6"/>
  <c r="E68" i="6"/>
  <c r="J68" i="6"/>
  <c r="E69" i="6"/>
  <c r="J69" i="6"/>
  <c r="E70" i="6"/>
  <c r="J70" i="6"/>
  <c r="E71" i="6"/>
  <c r="J71" i="6"/>
  <c r="E56" i="6"/>
  <c r="J56" i="6"/>
  <c r="E57" i="6"/>
  <c r="J57" i="6"/>
  <c r="E58" i="6"/>
  <c r="J58" i="6"/>
  <c r="E59" i="6"/>
  <c r="J59" i="6"/>
  <c r="E60" i="6"/>
  <c r="J60" i="6"/>
  <c r="E61" i="6"/>
  <c r="J61" i="6"/>
  <c r="V135" i="35"/>
  <c r="W135" i="35"/>
  <c r="X135" i="35"/>
  <c r="Y135" i="35"/>
  <c r="AA135" i="35"/>
  <c r="AA207" i="35"/>
  <c r="AB207" i="35"/>
  <c r="Z207" i="35"/>
  <c r="V134" i="35"/>
  <c r="W134" i="35"/>
  <c r="X134" i="35"/>
  <c r="Y134" i="35"/>
  <c r="AA134" i="35"/>
  <c r="AA206" i="35"/>
  <c r="AB206" i="35"/>
  <c r="Z206" i="35"/>
  <c r="V133" i="35"/>
  <c r="W133" i="35"/>
  <c r="X133" i="35"/>
  <c r="Y133" i="35"/>
  <c r="AA133" i="35"/>
  <c r="AA205" i="35"/>
  <c r="AB205" i="35"/>
  <c r="Z205" i="35"/>
  <c r="V132" i="35"/>
  <c r="W132" i="35"/>
  <c r="X132" i="35"/>
  <c r="Y132" i="35"/>
  <c r="AA132" i="35"/>
  <c r="AA204" i="35"/>
  <c r="AB204" i="35"/>
  <c r="Z204" i="35"/>
  <c r="V131" i="35"/>
  <c r="W131" i="35"/>
  <c r="X131" i="35"/>
  <c r="Y131" i="35"/>
  <c r="AA131" i="35"/>
  <c r="AA203" i="35"/>
  <c r="AB203" i="35"/>
  <c r="Z203" i="35"/>
  <c r="V130" i="35"/>
  <c r="W130" i="35"/>
  <c r="X130" i="35"/>
  <c r="Y130" i="35"/>
  <c r="AA130" i="35"/>
  <c r="AA202" i="35"/>
  <c r="AB202" i="35"/>
  <c r="Z202" i="35"/>
  <c r="V129" i="35"/>
  <c r="W129" i="35"/>
  <c r="X129" i="35"/>
  <c r="Y129" i="35"/>
  <c r="AA129" i="35"/>
  <c r="AA201" i="35"/>
  <c r="AB201" i="35"/>
  <c r="Z201" i="35"/>
  <c r="V128" i="35"/>
  <c r="W128" i="35"/>
  <c r="X128" i="35"/>
  <c r="Y128" i="35"/>
  <c r="AA128" i="35"/>
  <c r="AA200" i="35"/>
  <c r="AB200" i="35"/>
  <c r="Z200" i="35"/>
  <c r="V127" i="35"/>
  <c r="W127" i="35"/>
  <c r="X127" i="35"/>
  <c r="Y127" i="35"/>
  <c r="AA127" i="35"/>
  <c r="AA199" i="35"/>
  <c r="AB199" i="35"/>
  <c r="Z199" i="35"/>
  <c r="V126" i="35"/>
  <c r="W126" i="35"/>
  <c r="X126" i="35"/>
  <c r="Y126" i="35"/>
  <c r="AA126" i="35"/>
  <c r="AA198" i="35"/>
  <c r="AB198" i="35"/>
  <c r="Z198" i="35"/>
  <c r="V125" i="35"/>
  <c r="W125" i="35"/>
  <c r="X125" i="35"/>
  <c r="Y125" i="35"/>
  <c r="AA125" i="35"/>
  <c r="AA197" i="35"/>
  <c r="AB197" i="35"/>
  <c r="Z197" i="35"/>
  <c r="V124" i="35"/>
  <c r="W124" i="35"/>
  <c r="X124" i="35"/>
  <c r="Y124" i="35"/>
  <c r="AA124" i="35"/>
  <c r="AA196" i="35"/>
  <c r="AB196" i="35"/>
  <c r="Z196" i="35"/>
  <c r="AF135" i="35"/>
  <c r="AE135" i="35"/>
  <c r="AB135" i="35"/>
  <c r="Z135" i="35"/>
  <c r="AF134" i="35"/>
  <c r="AE134" i="35"/>
  <c r="AB134" i="35"/>
  <c r="Z134" i="35"/>
  <c r="AF133" i="35"/>
  <c r="AE133" i="35"/>
  <c r="AB133" i="35"/>
  <c r="Z133" i="35"/>
  <c r="AF132" i="35"/>
  <c r="AE132" i="35"/>
  <c r="AB132" i="35"/>
  <c r="Z132" i="35"/>
  <c r="AF131" i="35"/>
  <c r="AE131" i="35"/>
  <c r="AB131" i="35"/>
  <c r="Z131" i="35"/>
  <c r="AF130" i="35"/>
  <c r="AE130" i="35"/>
  <c r="AB130" i="35"/>
  <c r="Z130" i="35"/>
  <c r="AF129" i="35"/>
  <c r="AE129" i="35"/>
  <c r="AB129" i="35"/>
  <c r="Z129" i="35"/>
  <c r="AF128" i="35"/>
  <c r="AE128" i="35"/>
  <c r="AB128" i="35"/>
  <c r="Z128" i="35"/>
  <c r="AF127" i="35"/>
  <c r="AE127" i="35"/>
  <c r="AB127" i="35"/>
  <c r="Z127" i="35"/>
  <c r="AF126" i="35"/>
  <c r="AE126" i="35"/>
  <c r="AB126" i="35"/>
  <c r="Z126" i="35"/>
  <c r="AF125" i="35"/>
  <c r="AE125" i="35"/>
  <c r="AB125" i="35"/>
  <c r="Z125" i="35"/>
  <c r="AF124" i="35"/>
  <c r="AE124" i="35"/>
  <c r="AB124" i="35"/>
  <c r="Z124" i="35"/>
  <c r="Q72" i="35"/>
  <c r="Q71" i="35"/>
  <c r="Q70" i="35"/>
  <c r="F12" i="35"/>
  <c r="BR60" i="35"/>
  <c r="F11" i="35"/>
  <c r="BZ51" i="35"/>
  <c r="F10" i="35"/>
  <c r="BY51" i="35"/>
  <c r="C25" i="35"/>
  <c r="BR59" i="35"/>
  <c r="CA51" i="35"/>
  <c r="C24" i="35"/>
  <c r="BR58" i="35"/>
  <c r="C23" i="35"/>
  <c r="BR37" i="35"/>
  <c r="CA29" i="35"/>
  <c r="BR38" i="35"/>
  <c r="BZ29" i="35"/>
  <c r="BR36" i="35"/>
  <c r="BY29" i="35"/>
  <c r="BR49" i="35"/>
  <c r="BR48" i="35"/>
  <c r="BR47" i="35"/>
  <c r="CA40" i="35"/>
  <c r="BZ40" i="35"/>
  <c r="BY40" i="35"/>
  <c r="BP38" i="35" a="1"/>
  <c r="BP38" i="35"/>
  <c r="BO38" i="35" a="1"/>
  <c r="BO38" i="35"/>
  <c r="BN38" i="35" a="1"/>
  <c r="BN38" i="35"/>
  <c r="BM38" i="35" a="1"/>
  <c r="BM38" i="35"/>
  <c r="BL38" i="35" a="1"/>
  <c r="BL38" i="35"/>
  <c r="BK38" i="35" a="1"/>
  <c r="BK38" i="35"/>
  <c r="BJ38" i="35" a="1"/>
  <c r="BJ38" i="35"/>
  <c r="BI38" i="35" a="1"/>
  <c r="BI38" i="35"/>
  <c r="BH38" i="35" a="1"/>
  <c r="BH38" i="35"/>
  <c r="BG38" i="35" a="1"/>
  <c r="BG38" i="35"/>
  <c r="BF38" i="35" a="1"/>
  <c r="BF38" i="35"/>
  <c r="BE38" i="35" a="1"/>
  <c r="BE38" i="35"/>
  <c r="BD38" i="35" a="1"/>
  <c r="BD38" i="35"/>
  <c r="BC38" i="35" a="1"/>
  <c r="BC38" i="35"/>
  <c r="BB38" i="35" a="1"/>
  <c r="BB38" i="35"/>
  <c r="BA38" i="35" a="1"/>
  <c r="BA38" i="35"/>
  <c r="AZ38" i="35" a="1"/>
  <c r="AZ38" i="35"/>
  <c r="AY38" i="35" a="1"/>
  <c r="AY38" i="35"/>
  <c r="AX38" i="35" a="1"/>
  <c r="AX38" i="35"/>
  <c r="AW38" i="35" a="1"/>
  <c r="AW38" i="35"/>
  <c r="AV38" i="35" a="1"/>
  <c r="AV38" i="35"/>
  <c r="AU38" i="35" a="1"/>
  <c r="AU38" i="35"/>
  <c r="AT38" i="35" a="1"/>
  <c r="AT38" i="35"/>
  <c r="AS38" i="35" a="1"/>
  <c r="AS38" i="35"/>
  <c r="AR38" i="35" a="1"/>
  <c r="AR38" i="35"/>
  <c r="AQ38" i="35" a="1"/>
  <c r="AQ38" i="35"/>
  <c r="AP38" i="35" a="1"/>
  <c r="AP38" i="35"/>
  <c r="AO38" i="35" a="1"/>
  <c r="AO38" i="35"/>
  <c r="AN38" i="35" a="1"/>
  <c r="AN38" i="35"/>
  <c r="AM38" i="35" a="1"/>
  <c r="AM38" i="35"/>
  <c r="AL38" i="35" a="1"/>
  <c r="AL38" i="35"/>
  <c r="AK38" i="35" a="1"/>
  <c r="AK38" i="35"/>
  <c r="AJ38" i="35" a="1"/>
  <c r="AJ38" i="35"/>
  <c r="AI38" i="35" a="1"/>
  <c r="AI38" i="35"/>
  <c r="AH38" i="35" a="1"/>
  <c r="AH38" i="35"/>
  <c r="AG38" i="35" a="1"/>
  <c r="AG38" i="35"/>
  <c r="AF38" i="35" a="1"/>
  <c r="AF38" i="35"/>
  <c r="AE38" i="35" a="1"/>
  <c r="AE38" i="35"/>
  <c r="AD38" i="35" a="1"/>
  <c r="AD38" i="35"/>
  <c r="AC38" i="35" a="1"/>
  <c r="AC38" i="35"/>
  <c r="AB38" i="35" a="1"/>
  <c r="AB38" i="35"/>
  <c r="AA38" i="35" a="1"/>
  <c r="AA38" i="35"/>
  <c r="Z38" i="35" a="1"/>
  <c r="Z38" i="35"/>
  <c r="Y38" i="35" a="1"/>
  <c r="Y38" i="35"/>
  <c r="X38" i="35" a="1"/>
  <c r="X38" i="35"/>
  <c r="W38" i="35" a="1"/>
  <c r="W38" i="35"/>
  <c r="V38" i="35" a="1"/>
  <c r="V38" i="35"/>
  <c r="U38" i="35" a="1"/>
  <c r="U38" i="35"/>
  <c r="T38" i="35" a="1"/>
  <c r="T38" i="35"/>
  <c r="S38" i="35" a="1"/>
  <c r="S38" i="35"/>
  <c r="R38" i="35" a="1"/>
  <c r="R38" i="35"/>
  <c r="Q38" i="35" a="1"/>
  <c r="Q38" i="35"/>
  <c r="P38" i="35" a="1"/>
  <c r="P38" i="35"/>
  <c r="O38" i="35" a="1"/>
  <c r="O38" i="35"/>
  <c r="N38" i="35" a="1"/>
  <c r="N38" i="35"/>
  <c r="M38" i="35" a="1"/>
  <c r="M38" i="35"/>
  <c r="L38" i="35" a="1"/>
  <c r="L38" i="35"/>
  <c r="K38" i="35" a="1"/>
  <c r="K38" i="35"/>
  <c r="J38" i="35" a="1"/>
  <c r="J38" i="35"/>
  <c r="I38" i="35" a="1"/>
  <c r="I38" i="35"/>
  <c r="H38" i="35" a="1"/>
  <c r="H38" i="35"/>
  <c r="G38" i="35" a="1"/>
  <c r="G38" i="35"/>
  <c r="F38" i="35" a="1"/>
  <c r="F38" i="35"/>
  <c r="E38" i="35" a="1"/>
  <c r="E38" i="35"/>
  <c r="C38" i="35"/>
  <c r="BP37" i="35" a="1"/>
  <c r="BP37" i="35"/>
  <c r="BO37" i="35" a="1"/>
  <c r="BO37" i="35"/>
  <c r="BN37" i="35" a="1"/>
  <c r="BN37" i="35"/>
  <c r="BM37" i="35" a="1"/>
  <c r="BM37" i="35"/>
  <c r="BL37" i="35" a="1"/>
  <c r="BL37" i="35"/>
  <c r="BK37" i="35" a="1"/>
  <c r="BK37" i="35"/>
  <c r="BJ37" i="35" a="1"/>
  <c r="BJ37" i="35"/>
  <c r="BI37" i="35" a="1"/>
  <c r="BI37" i="35"/>
  <c r="BH37" i="35" a="1"/>
  <c r="BH37" i="35"/>
  <c r="BG37" i="35" a="1"/>
  <c r="BG37" i="35"/>
  <c r="BF37" i="35" a="1"/>
  <c r="BF37" i="35"/>
  <c r="BE37" i="35" a="1"/>
  <c r="BE37" i="35"/>
  <c r="BD37" i="35" a="1"/>
  <c r="BD37" i="35"/>
  <c r="BC37" i="35" a="1"/>
  <c r="BC37" i="35"/>
  <c r="BB37" i="35" a="1"/>
  <c r="BB37" i="35"/>
  <c r="BA37" i="35" a="1"/>
  <c r="BA37" i="35"/>
  <c r="AZ37" i="35" a="1"/>
  <c r="AZ37" i="35"/>
  <c r="AY37" i="35" a="1"/>
  <c r="AY37" i="35"/>
  <c r="AX37" i="35" a="1"/>
  <c r="AX37" i="35"/>
  <c r="AW37" i="35" a="1"/>
  <c r="AW37" i="35"/>
  <c r="AV37" i="35" a="1"/>
  <c r="AV37" i="35"/>
  <c r="AU37" i="35" a="1"/>
  <c r="AU37" i="35"/>
  <c r="AT37" i="35" a="1"/>
  <c r="AT37" i="35"/>
  <c r="AS37" i="35" a="1"/>
  <c r="AS37" i="35"/>
  <c r="AR37" i="35" a="1"/>
  <c r="AR37" i="35"/>
  <c r="AQ37" i="35" a="1"/>
  <c r="AQ37" i="35"/>
  <c r="AP37" i="35" a="1"/>
  <c r="AP37" i="35"/>
  <c r="AO37" i="35" a="1"/>
  <c r="AO37" i="35"/>
  <c r="AN37" i="35" a="1"/>
  <c r="AN37" i="35"/>
  <c r="AM37" i="35" a="1"/>
  <c r="AM37" i="35"/>
  <c r="AL37" i="35" a="1"/>
  <c r="AL37" i="35"/>
  <c r="AK37" i="35" a="1"/>
  <c r="AK37" i="35"/>
  <c r="AJ37" i="35" a="1"/>
  <c r="AJ37" i="35"/>
  <c r="AI37" i="35" a="1"/>
  <c r="AI37" i="35"/>
  <c r="AH37" i="35" a="1"/>
  <c r="AH37" i="35"/>
  <c r="AG37" i="35" a="1"/>
  <c r="AG37" i="35"/>
  <c r="AF37" i="35" a="1"/>
  <c r="AF37" i="35"/>
  <c r="AE37" i="35" a="1"/>
  <c r="AE37" i="35"/>
  <c r="AD37" i="35" a="1"/>
  <c r="AD37" i="35"/>
  <c r="AC37" i="35" a="1"/>
  <c r="AC37" i="35"/>
  <c r="AB37" i="35" a="1"/>
  <c r="AB37" i="35"/>
  <c r="AA37" i="35" a="1"/>
  <c r="AA37" i="35"/>
  <c r="Z37" i="35" a="1"/>
  <c r="Z37" i="35"/>
  <c r="Y37" i="35" a="1"/>
  <c r="Y37" i="35"/>
  <c r="X37" i="35" a="1"/>
  <c r="X37" i="35"/>
  <c r="W37" i="35" a="1"/>
  <c r="W37" i="35"/>
  <c r="V37" i="35" a="1"/>
  <c r="V37" i="35"/>
  <c r="U37" i="35" a="1"/>
  <c r="U37" i="35"/>
  <c r="T37" i="35" a="1"/>
  <c r="T37" i="35"/>
  <c r="S37" i="35" a="1"/>
  <c r="S37" i="35"/>
  <c r="R37" i="35" a="1"/>
  <c r="R37" i="35"/>
  <c r="Q37" i="35" a="1"/>
  <c r="Q37" i="35"/>
  <c r="P37" i="35" a="1"/>
  <c r="P37" i="35"/>
  <c r="O37" i="35" a="1"/>
  <c r="O37" i="35"/>
  <c r="N37" i="35" a="1"/>
  <c r="N37" i="35"/>
  <c r="M37" i="35" a="1"/>
  <c r="M37" i="35"/>
  <c r="L37" i="35" a="1"/>
  <c r="L37" i="35"/>
  <c r="K37" i="35" a="1"/>
  <c r="K37" i="35"/>
  <c r="J37" i="35" a="1"/>
  <c r="J37" i="35"/>
  <c r="I37" i="35" a="1"/>
  <c r="I37" i="35"/>
  <c r="H37" i="35" a="1"/>
  <c r="H37" i="35"/>
  <c r="G37" i="35" a="1"/>
  <c r="G37" i="35"/>
  <c r="F37" i="35" a="1"/>
  <c r="F37" i="35"/>
  <c r="E37" i="35" a="1"/>
  <c r="E37" i="35"/>
  <c r="C37" i="35"/>
  <c r="BP36" i="35" a="1"/>
  <c r="BP36" i="35"/>
  <c r="BO36" i="35" a="1"/>
  <c r="BO36" i="35"/>
  <c r="BN36" i="35" a="1"/>
  <c r="BN36" i="35"/>
  <c r="BM36" i="35" a="1"/>
  <c r="BM36" i="35"/>
  <c r="BL36" i="35" a="1"/>
  <c r="BL36" i="35"/>
  <c r="BK36" i="35" a="1"/>
  <c r="BK36" i="35"/>
  <c r="BJ36" i="35" a="1"/>
  <c r="BJ36" i="35"/>
  <c r="BI36" i="35" a="1"/>
  <c r="BI36" i="35"/>
  <c r="BH36" i="35" a="1"/>
  <c r="BH36" i="35"/>
  <c r="BG36" i="35" a="1"/>
  <c r="BG36" i="35"/>
  <c r="BF36" i="35" a="1"/>
  <c r="BF36" i="35"/>
  <c r="BE36" i="35" a="1"/>
  <c r="BE36" i="35"/>
  <c r="BD36" i="35" a="1"/>
  <c r="BD36" i="35"/>
  <c r="BC36" i="35" a="1"/>
  <c r="BC36" i="35"/>
  <c r="BB36" i="35" a="1"/>
  <c r="BB36" i="35"/>
  <c r="BA36" i="35" a="1"/>
  <c r="BA36" i="35"/>
  <c r="AZ36" i="35" a="1"/>
  <c r="AZ36" i="35"/>
  <c r="AY36" i="35" a="1"/>
  <c r="AY36" i="35"/>
  <c r="AX36" i="35" a="1"/>
  <c r="AX36" i="35"/>
  <c r="AW36" i="35" a="1"/>
  <c r="AW36" i="35"/>
  <c r="AV36" i="35" a="1"/>
  <c r="AV36" i="35"/>
  <c r="AU36" i="35" a="1"/>
  <c r="AU36" i="35"/>
  <c r="AT36" i="35" a="1"/>
  <c r="AT36" i="35"/>
  <c r="AS36" i="35" a="1"/>
  <c r="AS36" i="35"/>
  <c r="AR36" i="35" a="1"/>
  <c r="AR36" i="35"/>
  <c r="AQ36" i="35" a="1"/>
  <c r="AQ36" i="35"/>
  <c r="AP36" i="35" a="1"/>
  <c r="AP36" i="35"/>
  <c r="AO36" i="35" a="1"/>
  <c r="AO36" i="35"/>
  <c r="AN36" i="35" a="1"/>
  <c r="AN36" i="35"/>
  <c r="AM36" i="35" a="1"/>
  <c r="AM36" i="35"/>
  <c r="AL36" i="35" a="1"/>
  <c r="AL36" i="35"/>
  <c r="AK36" i="35" a="1"/>
  <c r="AK36" i="35"/>
  <c r="AJ36" i="35" a="1"/>
  <c r="AJ36" i="35"/>
  <c r="AI36" i="35" a="1"/>
  <c r="AI36" i="35"/>
  <c r="AH36" i="35" a="1"/>
  <c r="AH36" i="35"/>
  <c r="AG36" i="35" a="1"/>
  <c r="AG36" i="35"/>
  <c r="AF36" i="35" a="1"/>
  <c r="AF36" i="35"/>
  <c r="AE36" i="35" a="1"/>
  <c r="AE36" i="35"/>
  <c r="AD36" i="35" a="1"/>
  <c r="AD36" i="35"/>
  <c r="AC36" i="35" a="1"/>
  <c r="AC36" i="35"/>
  <c r="AB36" i="35" a="1"/>
  <c r="AB36" i="35"/>
  <c r="AA36" i="35" a="1"/>
  <c r="AA36" i="35"/>
  <c r="Z36" i="35" a="1"/>
  <c r="Z36" i="35"/>
  <c r="Y36" i="35" a="1"/>
  <c r="Y36" i="35"/>
  <c r="X36" i="35" a="1"/>
  <c r="X36" i="35"/>
  <c r="W36" i="35" a="1"/>
  <c r="W36" i="35"/>
  <c r="V36" i="35" a="1"/>
  <c r="V36" i="35"/>
  <c r="U36" i="35" a="1"/>
  <c r="U36" i="35"/>
  <c r="T36" i="35" a="1"/>
  <c r="T36" i="35"/>
  <c r="S36" i="35" a="1"/>
  <c r="S36" i="35"/>
  <c r="R36" i="35" a="1"/>
  <c r="R36" i="35"/>
  <c r="Q36" i="35" a="1"/>
  <c r="Q36" i="35"/>
  <c r="P36" i="35" a="1"/>
  <c r="P36" i="35"/>
  <c r="O36" i="35" a="1"/>
  <c r="O36" i="35"/>
  <c r="N36" i="35" a="1"/>
  <c r="N36" i="35"/>
  <c r="M36" i="35" a="1"/>
  <c r="M36" i="35"/>
  <c r="L36" i="35" a="1"/>
  <c r="L36" i="35"/>
  <c r="K36" i="35" a="1"/>
  <c r="K36" i="35"/>
  <c r="J36" i="35" a="1"/>
  <c r="J36" i="35"/>
  <c r="I36" i="35" a="1"/>
  <c r="I36" i="35"/>
  <c r="H36" i="35" a="1"/>
  <c r="H36" i="35"/>
  <c r="G36" i="35" a="1"/>
  <c r="G36" i="35"/>
  <c r="F36" i="35" a="1"/>
  <c r="F36" i="35"/>
  <c r="E36" i="35" a="1"/>
  <c r="E36" i="35"/>
  <c r="C36" i="35"/>
  <c r="C35" i="35"/>
  <c r="C34" i="35"/>
  <c r="C33" i="35"/>
  <c r="C32" i="35"/>
  <c r="C31" i="35"/>
  <c r="C30" i="35"/>
  <c r="AD25" i="35"/>
  <c r="AG25" i="35"/>
  <c r="AF25" i="35"/>
  <c r="AH25" i="35"/>
  <c r="AA25" i="35"/>
  <c r="Z25" i="35"/>
  <c r="I25" i="35"/>
  <c r="G25" i="35"/>
  <c r="F25" i="35"/>
  <c r="E25" i="35"/>
  <c r="D25" i="35"/>
  <c r="AD24" i="35"/>
  <c r="AG24" i="35"/>
  <c r="AF24" i="35"/>
  <c r="AH24" i="35"/>
  <c r="AA24" i="35"/>
  <c r="Z24" i="35"/>
  <c r="I24" i="35"/>
  <c r="G24" i="35"/>
  <c r="F24" i="35"/>
  <c r="E24" i="35"/>
  <c r="D24" i="35"/>
  <c r="AD23" i="35"/>
  <c r="AG23" i="35"/>
  <c r="AF23" i="35"/>
  <c r="AH23" i="35"/>
  <c r="AA23" i="35"/>
  <c r="Z23" i="35"/>
  <c r="I23" i="35"/>
  <c r="G23" i="35"/>
  <c r="F23" i="35"/>
  <c r="E23" i="35"/>
  <c r="D23" i="35"/>
  <c r="AD22" i="35"/>
  <c r="AG22" i="35"/>
  <c r="AF22" i="35"/>
  <c r="AH22" i="35"/>
  <c r="Z22" i="35"/>
  <c r="I22" i="35"/>
  <c r="G22" i="35"/>
  <c r="F22" i="35"/>
  <c r="E22" i="35"/>
  <c r="D22" i="35"/>
  <c r="AD21" i="35"/>
  <c r="AG21" i="35"/>
  <c r="AF21" i="35"/>
  <c r="AH21" i="35"/>
  <c r="Z21" i="35"/>
  <c r="I21" i="35"/>
  <c r="G21" i="35"/>
  <c r="F21" i="35"/>
  <c r="E21" i="35"/>
  <c r="D21" i="35"/>
  <c r="AD20" i="35"/>
  <c r="AG20" i="35"/>
  <c r="AF20" i="35"/>
  <c r="AH20" i="35"/>
  <c r="Z20" i="35"/>
  <c r="I20" i="35"/>
  <c r="G20" i="35"/>
  <c r="F20" i="35"/>
  <c r="E20" i="35"/>
  <c r="D20" i="35"/>
  <c r="AD19" i="35"/>
  <c r="AG19" i="35"/>
  <c r="AF19" i="35"/>
  <c r="AH19" i="35"/>
  <c r="Z19" i="35"/>
  <c r="I19" i="35"/>
  <c r="G19" i="35"/>
  <c r="F19" i="35"/>
  <c r="E19" i="35"/>
  <c r="D19" i="35"/>
  <c r="AD18" i="35"/>
  <c r="AG18" i="35"/>
  <c r="AF18" i="35"/>
  <c r="AH18" i="35"/>
  <c r="I18" i="35"/>
  <c r="G18" i="35"/>
  <c r="F18" i="35"/>
  <c r="E18" i="35"/>
  <c r="D18" i="35"/>
  <c r="AD17" i="35"/>
  <c r="AG17" i="35"/>
  <c r="AF17" i="35"/>
  <c r="AH17" i="35"/>
  <c r="I17" i="35"/>
  <c r="G17" i="35"/>
  <c r="F17" i="35"/>
  <c r="E17" i="35"/>
  <c r="D17" i="35"/>
  <c r="M40" i="6"/>
  <c r="AD47" i="6"/>
  <c r="AD46" i="6"/>
  <c r="AD45" i="6"/>
  <c r="AD44" i="6"/>
  <c r="AD43" i="6"/>
  <c r="AD42" i="6"/>
  <c r="T42" i="6"/>
  <c r="W41" i="6"/>
  <c r="V41" i="6"/>
  <c r="S41" i="6"/>
  <c r="R41" i="6"/>
  <c r="Q41" i="6"/>
  <c r="P41" i="6"/>
  <c r="O41" i="6"/>
  <c r="AC40" i="6"/>
  <c r="AB40" i="6"/>
  <c r="AA40" i="6"/>
  <c r="Z40" i="6"/>
  <c r="Y40" i="6"/>
  <c r="X40" i="6"/>
  <c r="E40" i="9"/>
  <c r="M50" i="6"/>
  <c r="C54" i="22"/>
  <c r="C56" i="22"/>
  <c r="E131" i="9"/>
  <c r="E130" i="9"/>
  <c r="E132" i="9"/>
  <c r="E133" i="9"/>
  <c r="E134" i="9"/>
  <c r="C10" i="24"/>
  <c r="AH21" i="6"/>
  <c r="AH31" i="6"/>
  <c r="AH17" i="6"/>
  <c r="AH27" i="6"/>
  <c r="AH12" i="6"/>
  <c r="AH13" i="6"/>
  <c r="AH14" i="6"/>
  <c r="AH15" i="6"/>
  <c r="AH16" i="6"/>
  <c r="AH22" i="6"/>
  <c r="AH23" i="6"/>
  <c r="AH24" i="6"/>
  <c r="AH25" i="6"/>
  <c r="AH26" i="6"/>
  <c r="AH32" i="6"/>
  <c r="AH33" i="6"/>
  <c r="AH34" i="6"/>
  <c r="AH35" i="6"/>
  <c r="AH36" i="6"/>
  <c r="AH37" i="6"/>
  <c r="E57" i="9"/>
  <c r="AG7" i="6"/>
  <c r="AG30" i="6"/>
  <c r="AI31" i="6"/>
  <c r="AG31" i="6"/>
  <c r="AI21" i="6"/>
  <c r="AG21" i="6"/>
  <c r="AG20" i="6"/>
  <c r="AI11" i="6"/>
  <c r="AH11" i="6"/>
  <c r="AG11" i="6"/>
  <c r="AG10" i="6"/>
  <c r="E125" i="9"/>
  <c r="Q16" i="22"/>
  <c r="E124" i="9"/>
  <c r="Q15" i="22"/>
  <c r="I54" i="21"/>
  <c r="F8" i="30"/>
  <c r="F9" i="30"/>
  <c r="F10" i="30"/>
  <c r="F11" i="30"/>
  <c r="F12" i="30"/>
  <c r="BW51" i="30"/>
  <c r="BX51" i="30"/>
  <c r="BY51" i="30"/>
  <c r="BZ51" i="30"/>
  <c r="CA51" i="30"/>
  <c r="BR56" i="30"/>
  <c r="BR57" i="30"/>
  <c r="BR58" i="30"/>
  <c r="BR59" i="30"/>
  <c r="BR60" i="30"/>
  <c r="C21" i="30"/>
  <c r="C22" i="30"/>
  <c r="C23" i="30"/>
  <c r="C24" i="30"/>
  <c r="C25" i="30"/>
  <c r="BW29" i="30"/>
  <c r="BR34" i="30"/>
  <c r="BX29" i="30"/>
  <c r="BR35" i="30"/>
  <c r="BY29" i="30"/>
  <c r="BR36" i="30"/>
  <c r="BZ29" i="30"/>
  <c r="BR37" i="30"/>
  <c r="CA29" i="30"/>
  <c r="BR38" i="30"/>
  <c r="BW40" i="30"/>
  <c r="BX40" i="30"/>
  <c r="BY40" i="30"/>
  <c r="BZ40" i="30"/>
  <c r="CA40" i="30"/>
  <c r="BR45" i="30"/>
  <c r="BR46" i="30"/>
  <c r="BR47" i="30"/>
  <c r="BR48" i="30"/>
  <c r="BR49" i="30"/>
  <c r="V135" i="31"/>
  <c r="W135" i="31"/>
  <c r="X135" i="31"/>
  <c r="Y135" i="31"/>
  <c r="AA135" i="31"/>
  <c r="AA207" i="31"/>
  <c r="AB207" i="31"/>
  <c r="Z207" i="31"/>
  <c r="V134" i="31"/>
  <c r="W134" i="31"/>
  <c r="X134" i="31"/>
  <c r="Y134" i="31"/>
  <c r="AA134" i="31"/>
  <c r="AA206" i="31"/>
  <c r="AB206" i="31"/>
  <c r="Z206" i="31"/>
  <c r="V133" i="31"/>
  <c r="W133" i="31"/>
  <c r="X133" i="31"/>
  <c r="Y133" i="31"/>
  <c r="AA133" i="31"/>
  <c r="AA205" i="31"/>
  <c r="AB205" i="31"/>
  <c r="Z205" i="31"/>
  <c r="V132" i="31"/>
  <c r="W132" i="31"/>
  <c r="X132" i="31"/>
  <c r="Y132" i="31"/>
  <c r="AA132" i="31"/>
  <c r="AA204" i="31"/>
  <c r="AB204" i="31"/>
  <c r="Z204" i="31"/>
  <c r="V131" i="31"/>
  <c r="W131" i="31"/>
  <c r="X131" i="31"/>
  <c r="Y131" i="31"/>
  <c r="AA131" i="31"/>
  <c r="AA203" i="31"/>
  <c r="AB203" i="31"/>
  <c r="Z203" i="31"/>
  <c r="V130" i="31"/>
  <c r="W130" i="31"/>
  <c r="X130" i="31"/>
  <c r="Y130" i="31"/>
  <c r="AA130" i="31"/>
  <c r="AA202" i="31"/>
  <c r="AB202" i="31"/>
  <c r="Z202" i="31"/>
  <c r="V129" i="31"/>
  <c r="W129" i="31"/>
  <c r="X129" i="31"/>
  <c r="Y129" i="31"/>
  <c r="AA129" i="31"/>
  <c r="AA201" i="31"/>
  <c r="AB201" i="31"/>
  <c r="Z201" i="31"/>
  <c r="V128" i="31"/>
  <c r="W128" i="31"/>
  <c r="X128" i="31"/>
  <c r="Y128" i="31"/>
  <c r="AA128" i="31"/>
  <c r="AA200" i="31"/>
  <c r="AB200" i="31"/>
  <c r="Z200" i="31"/>
  <c r="V127" i="31"/>
  <c r="W127" i="31"/>
  <c r="X127" i="31"/>
  <c r="Y127" i="31"/>
  <c r="AA127" i="31"/>
  <c r="AA199" i="31"/>
  <c r="AB199" i="31"/>
  <c r="Z199" i="31"/>
  <c r="V126" i="31"/>
  <c r="W126" i="31"/>
  <c r="X126" i="31"/>
  <c r="Y126" i="31"/>
  <c r="AA126" i="31"/>
  <c r="AA198" i="31"/>
  <c r="AB198" i="31"/>
  <c r="Z198" i="31"/>
  <c r="V125" i="31"/>
  <c r="W125" i="31"/>
  <c r="X125" i="31"/>
  <c r="Y125" i="31"/>
  <c r="AA125" i="31"/>
  <c r="AA197" i="31"/>
  <c r="AB197" i="31"/>
  <c r="Z197" i="31"/>
  <c r="V124" i="31"/>
  <c r="W124" i="31"/>
  <c r="X124" i="31"/>
  <c r="Y124" i="31"/>
  <c r="AA124" i="31"/>
  <c r="AA196" i="31"/>
  <c r="AB196" i="31"/>
  <c r="Z196" i="31"/>
  <c r="V123" i="31"/>
  <c r="W123" i="31"/>
  <c r="X123" i="31"/>
  <c r="Y123" i="31"/>
  <c r="AA123" i="31"/>
  <c r="AA195" i="31"/>
  <c r="AB195" i="31"/>
  <c r="Z195" i="31"/>
  <c r="V122" i="31"/>
  <c r="W122" i="31"/>
  <c r="X122" i="31"/>
  <c r="Y122" i="31"/>
  <c r="AA122" i="31"/>
  <c r="AA194" i="31"/>
  <c r="AB194" i="31"/>
  <c r="Z194" i="31"/>
  <c r="V121" i="31"/>
  <c r="W121" i="31"/>
  <c r="X121" i="31"/>
  <c r="Y121" i="31"/>
  <c r="AA121" i="31"/>
  <c r="AA193" i="31"/>
  <c r="AB193" i="31"/>
  <c r="Z193" i="31"/>
  <c r="V120" i="31"/>
  <c r="W120" i="31"/>
  <c r="X120" i="31"/>
  <c r="Y120" i="31"/>
  <c r="AA120" i="31"/>
  <c r="AA192" i="31"/>
  <c r="AB192" i="31"/>
  <c r="Z192" i="31"/>
  <c r="V119" i="31"/>
  <c r="W119" i="31"/>
  <c r="X119" i="31"/>
  <c r="Y119" i="31"/>
  <c r="AA119" i="31"/>
  <c r="AA191" i="31"/>
  <c r="AB191" i="31"/>
  <c r="Z191" i="31"/>
  <c r="V118" i="31"/>
  <c r="W118" i="31"/>
  <c r="X118" i="31"/>
  <c r="Y118" i="31"/>
  <c r="AA118" i="31"/>
  <c r="AA190" i="31"/>
  <c r="AB190" i="31"/>
  <c r="Z190" i="31"/>
  <c r="V117" i="31"/>
  <c r="W117" i="31"/>
  <c r="X117" i="31"/>
  <c r="Y117" i="31"/>
  <c r="AA117" i="31"/>
  <c r="AA189" i="31"/>
  <c r="AB189" i="31"/>
  <c r="Z189" i="31"/>
  <c r="V116" i="31"/>
  <c r="W116" i="31"/>
  <c r="X116" i="31"/>
  <c r="Y116" i="31"/>
  <c r="AA116" i="31"/>
  <c r="AA188" i="31"/>
  <c r="AB188" i="31"/>
  <c r="Z188" i="31"/>
  <c r="V115" i="31"/>
  <c r="W115" i="31"/>
  <c r="X115" i="31"/>
  <c r="Y115" i="31"/>
  <c r="AA115" i="31"/>
  <c r="AA187" i="31"/>
  <c r="AB187" i="31"/>
  <c r="Z187" i="31"/>
  <c r="V114" i="31"/>
  <c r="W114" i="31"/>
  <c r="X114" i="31"/>
  <c r="Y114" i="31"/>
  <c r="AA114" i="31"/>
  <c r="AA186" i="31"/>
  <c r="AB186" i="31"/>
  <c r="Z186" i="31"/>
  <c r="V113" i="31"/>
  <c r="W113" i="31"/>
  <c r="X113" i="31"/>
  <c r="Y113" i="31"/>
  <c r="AA113" i="31"/>
  <c r="AA185" i="31"/>
  <c r="AB185" i="31"/>
  <c r="Z185" i="31"/>
  <c r="V112" i="31"/>
  <c r="W112" i="31"/>
  <c r="X112" i="31"/>
  <c r="Y112" i="31"/>
  <c r="AA112" i="31"/>
  <c r="AA184" i="31"/>
  <c r="AB184" i="31"/>
  <c r="Z184" i="31"/>
  <c r="V111" i="31"/>
  <c r="W111" i="31"/>
  <c r="X111" i="31"/>
  <c r="Y111" i="31"/>
  <c r="AA111" i="31"/>
  <c r="AA183" i="31"/>
  <c r="AB183" i="31"/>
  <c r="Z183" i="31"/>
  <c r="V110" i="31"/>
  <c r="W110" i="31"/>
  <c r="X110" i="31"/>
  <c r="Y110" i="31"/>
  <c r="AA110" i="31"/>
  <c r="AA182" i="31"/>
  <c r="AB182" i="31"/>
  <c r="Z182" i="31"/>
  <c r="V109" i="31"/>
  <c r="W109" i="31"/>
  <c r="X109" i="31"/>
  <c r="Y109" i="31"/>
  <c r="AA109" i="31"/>
  <c r="AA181" i="31"/>
  <c r="AB181" i="31"/>
  <c r="Z181" i="31"/>
  <c r="V108" i="31"/>
  <c r="W108" i="31"/>
  <c r="X108" i="31"/>
  <c r="Y108" i="31"/>
  <c r="AA108" i="31"/>
  <c r="AA180" i="31"/>
  <c r="AB180" i="31"/>
  <c r="Z180" i="31"/>
  <c r="V107" i="31"/>
  <c r="W107" i="31"/>
  <c r="X107" i="31"/>
  <c r="Y107" i="31"/>
  <c r="AA107" i="31"/>
  <c r="AA179" i="31"/>
  <c r="AB179" i="31"/>
  <c r="Z179" i="31"/>
  <c r="V106" i="31"/>
  <c r="W106" i="31"/>
  <c r="X106" i="31"/>
  <c r="Y106" i="31"/>
  <c r="AA106" i="31"/>
  <c r="AA178" i="31"/>
  <c r="AB178" i="31"/>
  <c r="Z178" i="31"/>
  <c r="V105" i="31"/>
  <c r="W105" i="31"/>
  <c r="X105" i="31"/>
  <c r="Y105" i="31"/>
  <c r="AA105" i="31"/>
  <c r="AA177" i="31"/>
  <c r="AB177" i="31"/>
  <c r="Z177" i="31"/>
  <c r="V104" i="31"/>
  <c r="W104" i="31"/>
  <c r="X104" i="31"/>
  <c r="Y104" i="31"/>
  <c r="AA104" i="31"/>
  <c r="AA176" i="31"/>
  <c r="AB176" i="31"/>
  <c r="Z176" i="31"/>
  <c r="V103" i="31"/>
  <c r="W103" i="31"/>
  <c r="X103" i="31"/>
  <c r="Y103" i="31"/>
  <c r="AA103" i="31"/>
  <c r="AA175" i="31"/>
  <c r="AB175" i="31"/>
  <c r="Z175" i="31"/>
  <c r="V102" i="31"/>
  <c r="W102" i="31"/>
  <c r="X102" i="31"/>
  <c r="Y102" i="31"/>
  <c r="AA102" i="31"/>
  <c r="AA174" i="31"/>
  <c r="AB174" i="31"/>
  <c r="Z174" i="31"/>
  <c r="V101" i="31"/>
  <c r="W101" i="31"/>
  <c r="X101" i="31"/>
  <c r="Y101" i="31"/>
  <c r="AA101" i="31"/>
  <c r="AA173" i="31"/>
  <c r="AB173" i="31"/>
  <c r="Z173" i="31"/>
  <c r="AA172" i="31"/>
  <c r="AB172" i="31"/>
  <c r="Z172" i="31"/>
  <c r="AA171" i="31"/>
  <c r="AB171" i="31"/>
  <c r="Z171" i="31"/>
  <c r="AA170" i="31"/>
  <c r="AB170" i="31"/>
  <c r="Z170" i="31"/>
  <c r="AA169" i="31"/>
  <c r="AB169" i="31"/>
  <c r="Z169" i="31"/>
  <c r="AA168" i="31"/>
  <c r="AB168" i="31"/>
  <c r="Z168" i="31"/>
  <c r="AA167" i="31"/>
  <c r="AB167" i="31"/>
  <c r="Z167" i="31"/>
  <c r="AA166" i="31"/>
  <c r="AB166" i="31"/>
  <c r="Z166" i="31"/>
  <c r="AA165" i="31"/>
  <c r="AB165" i="31"/>
  <c r="Z165" i="31"/>
  <c r="AA164" i="31"/>
  <c r="AB164" i="31"/>
  <c r="Z164" i="31"/>
  <c r="AA163" i="31"/>
  <c r="AB163" i="31"/>
  <c r="Z163" i="31"/>
  <c r="AA162" i="31"/>
  <c r="AB162" i="31"/>
  <c r="Z162" i="31"/>
  <c r="AA161" i="31"/>
  <c r="AB161" i="31"/>
  <c r="Z161" i="31"/>
  <c r="AA160" i="31"/>
  <c r="AB160" i="31"/>
  <c r="Z160" i="31"/>
  <c r="AA159" i="31"/>
  <c r="AB159" i="31"/>
  <c r="Z159" i="31"/>
  <c r="AA158" i="31"/>
  <c r="AB158" i="31"/>
  <c r="Z158" i="31"/>
  <c r="AA157" i="31"/>
  <c r="AB157" i="31"/>
  <c r="Z157" i="31"/>
  <c r="AA156" i="31"/>
  <c r="AB156" i="31"/>
  <c r="Z156" i="31"/>
  <c r="AA155" i="31"/>
  <c r="AB155" i="31"/>
  <c r="Z155" i="31"/>
  <c r="AA154" i="31"/>
  <c r="AB154" i="31"/>
  <c r="Z154" i="31"/>
  <c r="AA153" i="31"/>
  <c r="AB153" i="31"/>
  <c r="Z153" i="31"/>
  <c r="AA152" i="31"/>
  <c r="AB152" i="31"/>
  <c r="Z152" i="31"/>
  <c r="AA151" i="31"/>
  <c r="AB151" i="31"/>
  <c r="Z151" i="31"/>
  <c r="AA150" i="31"/>
  <c r="AB150" i="31"/>
  <c r="Z150" i="31"/>
  <c r="AA149" i="31"/>
  <c r="AB149" i="31"/>
  <c r="Z149" i="31"/>
  <c r="AA148" i="31"/>
  <c r="AB148" i="31"/>
  <c r="Z148" i="31"/>
  <c r="AA147" i="31"/>
  <c r="AB147" i="31"/>
  <c r="Z147" i="31"/>
  <c r="AA146" i="31"/>
  <c r="AB146" i="31"/>
  <c r="Z146" i="31"/>
  <c r="AA145" i="31"/>
  <c r="AB145" i="31"/>
  <c r="Z145" i="31"/>
  <c r="AA144" i="31"/>
  <c r="AB144" i="31"/>
  <c r="Z144" i="31"/>
  <c r="AA143" i="31"/>
  <c r="AB143" i="31"/>
  <c r="Z143" i="31"/>
  <c r="AA142" i="31"/>
  <c r="AB142" i="31"/>
  <c r="Z142" i="31"/>
  <c r="AA141" i="31"/>
  <c r="AB141" i="31"/>
  <c r="Z141" i="31"/>
  <c r="AA140" i="31"/>
  <c r="AB140" i="31"/>
  <c r="Z140" i="31"/>
  <c r="AA139" i="31"/>
  <c r="AB139" i="31"/>
  <c r="Z139" i="31"/>
  <c r="AA138" i="31"/>
  <c r="AB138" i="31"/>
  <c r="Z138" i="31"/>
  <c r="AA137" i="31"/>
  <c r="AB137" i="31"/>
  <c r="Z137" i="31"/>
  <c r="AA136" i="31"/>
  <c r="AB136" i="31"/>
  <c r="Z136" i="31"/>
  <c r="AF135" i="31"/>
  <c r="AE135" i="31"/>
  <c r="AB135" i="31"/>
  <c r="Z135" i="31"/>
  <c r="AF134" i="31"/>
  <c r="AE134" i="31"/>
  <c r="AB134" i="31"/>
  <c r="Z134" i="31"/>
  <c r="AF133" i="31"/>
  <c r="AE133" i="31"/>
  <c r="AB133" i="31"/>
  <c r="Z133" i="31"/>
  <c r="AF132" i="31"/>
  <c r="AE132" i="31"/>
  <c r="AB132" i="31"/>
  <c r="Z132" i="31"/>
  <c r="AF131" i="31"/>
  <c r="AE131" i="31"/>
  <c r="AB131" i="31"/>
  <c r="Z131" i="31"/>
  <c r="AF130" i="31"/>
  <c r="AE130" i="31"/>
  <c r="AB130" i="31"/>
  <c r="Z130" i="31"/>
  <c r="AF129" i="31"/>
  <c r="AE129" i="31"/>
  <c r="AB129" i="31"/>
  <c r="Z129" i="31"/>
  <c r="AF128" i="31"/>
  <c r="AE128" i="31"/>
  <c r="AB128" i="31"/>
  <c r="Z128" i="31"/>
  <c r="AF127" i="31"/>
  <c r="AE127" i="31"/>
  <c r="AB127" i="31"/>
  <c r="Z127" i="31"/>
  <c r="AF126" i="31"/>
  <c r="AE126" i="31"/>
  <c r="AB126" i="31"/>
  <c r="Z126" i="31"/>
  <c r="AF125" i="31"/>
  <c r="AE125" i="31"/>
  <c r="AB125" i="31"/>
  <c r="Z125" i="31"/>
  <c r="AF124" i="31"/>
  <c r="AE124" i="31"/>
  <c r="AB124" i="31"/>
  <c r="Z124" i="31"/>
  <c r="AF123" i="31"/>
  <c r="AE123" i="31"/>
  <c r="AB123" i="31"/>
  <c r="Z123" i="31"/>
  <c r="AF122" i="31"/>
  <c r="AE122" i="31"/>
  <c r="AB122" i="31"/>
  <c r="Z122" i="31"/>
  <c r="AF121" i="31"/>
  <c r="AE121" i="31"/>
  <c r="AB121" i="31"/>
  <c r="Z121" i="31"/>
  <c r="AF120" i="31"/>
  <c r="AE120" i="31"/>
  <c r="AB120" i="31"/>
  <c r="Z120" i="31"/>
  <c r="AF119" i="31"/>
  <c r="AE119" i="31"/>
  <c r="AB119" i="31"/>
  <c r="Z119" i="31"/>
  <c r="AF118" i="31"/>
  <c r="AE118" i="31"/>
  <c r="AB118" i="31"/>
  <c r="Z118" i="31"/>
  <c r="AF117" i="31"/>
  <c r="AE117" i="31"/>
  <c r="AB117" i="31"/>
  <c r="Z117" i="31"/>
  <c r="AF116" i="31"/>
  <c r="AE116" i="31"/>
  <c r="AB116" i="31"/>
  <c r="Z116" i="31"/>
  <c r="AF115" i="31"/>
  <c r="AE115" i="31"/>
  <c r="AB115" i="31"/>
  <c r="Z115" i="31"/>
  <c r="AF114" i="31"/>
  <c r="AE114" i="31"/>
  <c r="AB114" i="31"/>
  <c r="Z114" i="31"/>
  <c r="AF113" i="31"/>
  <c r="AE113" i="31"/>
  <c r="AB113" i="31"/>
  <c r="Z113" i="31"/>
  <c r="AF112" i="31"/>
  <c r="AE112" i="31"/>
  <c r="AB112" i="31"/>
  <c r="Z112" i="31"/>
  <c r="AF111" i="31"/>
  <c r="AE111" i="31"/>
  <c r="AB111" i="31"/>
  <c r="Z111" i="31"/>
  <c r="AF110" i="31"/>
  <c r="AE110" i="31"/>
  <c r="AB110" i="31"/>
  <c r="Z110" i="31"/>
  <c r="AF109" i="31"/>
  <c r="AE109" i="31"/>
  <c r="AB109" i="31"/>
  <c r="Z109" i="31"/>
  <c r="AF108" i="31"/>
  <c r="AE108" i="31"/>
  <c r="AB108" i="31"/>
  <c r="Z108" i="31"/>
  <c r="AF107" i="31"/>
  <c r="AE107" i="31"/>
  <c r="AB107" i="31"/>
  <c r="Z107" i="31"/>
  <c r="AF106" i="31"/>
  <c r="AE106" i="31"/>
  <c r="AB106" i="31"/>
  <c r="Z106" i="31"/>
  <c r="AF105" i="31"/>
  <c r="AE105" i="31"/>
  <c r="AB105" i="31"/>
  <c r="Z105" i="31"/>
  <c r="AF104" i="31"/>
  <c r="AE104" i="31"/>
  <c r="AB104" i="31"/>
  <c r="Z104" i="31"/>
  <c r="AF103" i="31"/>
  <c r="AE103" i="31"/>
  <c r="AB103" i="31"/>
  <c r="Z103" i="31"/>
  <c r="AF102" i="31"/>
  <c r="AE102" i="31"/>
  <c r="AB102" i="31"/>
  <c r="Z102" i="31"/>
  <c r="AF101" i="31"/>
  <c r="AE101" i="31"/>
  <c r="AB101" i="31"/>
  <c r="Z101" i="31"/>
  <c r="AB82" i="31"/>
  <c r="Z82" i="31"/>
  <c r="AB81" i="31"/>
  <c r="Z81" i="31"/>
  <c r="AB80" i="31"/>
  <c r="Z80" i="31"/>
  <c r="AB79" i="31"/>
  <c r="Z79" i="31"/>
  <c r="AB78" i="31"/>
  <c r="Z78" i="31"/>
  <c r="AB77" i="31"/>
  <c r="Z77" i="31"/>
  <c r="AB76" i="31"/>
  <c r="Z76" i="31"/>
  <c r="AB75" i="31"/>
  <c r="Z75" i="31"/>
  <c r="AB74" i="31"/>
  <c r="Z74" i="31"/>
  <c r="AB73" i="31"/>
  <c r="Z73" i="31"/>
  <c r="AB72" i="31"/>
  <c r="Z72" i="31"/>
  <c r="Q72" i="31"/>
  <c r="AB71" i="31"/>
  <c r="Z71" i="31"/>
  <c r="Q71" i="31"/>
  <c r="AB70" i="31"/>
  <c r="Z70" i="31"/>
  <c r="Q70" i="31"/>
  <c r="AB69" i="31"/>
  <c r="Z69" i="31"/>
  <c r="Q69" i="31"/>
  <c r="AB68" i="31"/>
  <c r="Z68" i="31"/>
  <c r="Q68" i="31"/>
  <c r="AB67" i="31"/>
  <c r="Z67" i="31"/>
  <c r="AB66" i="31"/>
  <c r="Z66" i="31"/>
  <c r="AB65" i="31"/>
  <c r="Z65" i="31"/>
  <c r="AB64" i="31"/>
  <c r="Z64" i="31"/>
  <c r="F12" i="31"/>
  <c r="BR60" i="31"/>
  <c r="F11" i="31"/>
  <c r="BZ51" i="31"/>
  <c r="F10" i="31"/>
  <c r="BY51" i="31"/>
  <c r="F9" i="31"/>
  <c r="BX51" i="31"/>
  <c r="F8" i="31"/>
  <c r="BW51" i="31"/>
  <c r="C25" i="31"/>
  <c r="BR59" i="31"/>
  <c r="CA51" i="31"/>
  <c r="C24" i="31"/>
  <c r="BR58" i="31"/>
  <c r="C23" i="31"/>
  <c r="BR57" i="31"/>
  <c r="C22" i="31"/>
  <c r="BR56" i="31"/>
  <c r="C21" i="31"/>
  <c r="BR37" i="31"/>
  <c r="CA29" i="31"/>
  <c r="BR38" i="31"/>
  <c r="BZ29" i="31"/>
  <c r="BR36" i="31"/>
  <c r="BY29" i="31"/>
  <c r="BR35" i="31"/>
  <c r="BX29" i="31"/>
  <c r="BR34" i="31"/>
  <c r="BW29" i="31"/>
  <c r="BR49" i="31"/>
  <c r="BR48" i="31"/>
  <c r="BR47" i="31"/>
  <c r="BR46" i="31"/>
  <c r="BR45" i="31"/>
  <c r="CA40" i="31"/>
  <c r="BZ40" i="31"/>
  <c r="BY40" i="31"/>
  <c r="BX40" i="31"/>
  <c r="BW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C35" i="31"/>
  <c r="C34" i="31"/>
  <c r="C33" i="31"/>
  <c r="C32" i="31"/>
  <c r="C31" i="31"/>
  <c r="C30" i="31"/>
  <c r="AD25" i="31"/>
  <c r="AF25" i="31"/>
  <c r="AA25" i="31"/>
  <c r="I25" i="31"/>
  <c r="G25" i="31"/>
  <c r="F25" i="31"/>
  <c r="E25" i="31"/>
  <c r="D25" i="31"/>
  <c r="AD24" i="31"/>
  <c r="AF24" i="31"/>
  <c r="AA24" i="31"/>
  <c r="I24" i="31"/>
  <c r="G24" i="31"/>
  <c r="F24" i="31"/>
  <c r="E24" i="31"/>
  <c r="D24" i="31"/>
  <c r="AD23" i="31"/>
  <c r="AF23" i="31"/>
  <c r="AA23" i="31"/>
  <c r="I23" i="31"/>
  <c r="G23" i="31"/>
  <c r="F23" i="31"/>
  <c r="E23" i="31"/>
  <c r="D23" i="31"/>
  <c r="AD22" i="31"/>
  <c r="AF22" i="31"/>
  <c r="I22" i="31"/>
  <c r="G22" i="31"/>
  <c r="F22" i="31"/>
  <c r="E22" i="31"/>
  <c r="D22" i="31"/>
  <c r="AD21" i="31"/>
  <c r="AF21" i="31"/>
  <c r="I21" i="31"/>
  <c r="G21" i="31"/>
  <c r="F21" i="31"/>
  <c r="E21" i="31"/>
  <c r="D21" i="31"/>
  <c r="AD20" i="31"/>
  <c r="AF20" i="31"/>
  <c r="I20" i="31"/>
  <c r="G20" i="31"/>
  <c r="F20" i="31"/>
  <c r="E20" i="31"/>
  <c r="D20" i="31"/>
  <c r="AD19" i="31"/>
  <c r="AF19" i="31"/>
  <c r="I19" i="31"/>
  <c r="G19" i="31"/>
  <c r="F19" i="31"/>
  <c r="E19" i="31"/>
  <c r="D19" i="31"/>
  <c r="AD18" i="31"/>
  <c r="AF18" i="31"/>
  <c r="I18" i="31"/>
  <c r="G18" i="31"/>
  <c r="F18" i="31"/>
  <c r="E18" i="31"/>
  <c r="D18" i="31"/>
  <c r="AD17" i="31"/>
  <c r="AF17" i="31"/>
  <c r="I17" i="31"/>
  <c r="G17" i="31"/>
  <c r="F17" i="31"/>
  <c r="E17" i="31"/>
  <c r="D17" i="31"/>
  <c r="B13" i="31"/>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AA172" i="30"/>
  <c r="AB172" i="30"/>
  <c r="Z172" i="30"/>
  <c r="AA171" i="30"/>
  <c r="AB171" i="30"/>
  <c r="Z171" i="30"/>
  <c r="AA170" i="30"/>
  <c r="AB170" i="30"/>
  <c r="Z170" i="30"/>
  <c r="AA169" i="30"/>
  <c r="AB169" i="30"/>
  <c r="Z169" i="30"/>
  <c r="AA168" i="30"/>
  <c r="AB168" i="30"/>
  <c r="Z168" i="30"/>
  <c r="AA167" i="30"/>
  <c r="AB167" i="30"/>
  <c r="Z167" i="30"/>
  <c r="AA166" i="30"/>
  <c r="AB166" i="30"/>
  <c r="Z166" i="30"/>
  <c r="AA165" i="30"/>
  <c r="AB165" i="30"/>
  <c r="Z165" i="30"/>
  <c r="AA164" i="30"/>
  <c r="AB164" i="30"/>
  <c r="Z164" i="30"/>
  <c r="AA163" i="30"/>
  <c r="AB163" i="30"/>
  <c r="Z163" i="30"/>
  <c r="AA162" i="30"/>
  <c r="AB162" i="30"/>
  <c r="Z162" i="30"/>
  <c r="AA161" i="30"/>
  <c r="AB161" i="30"/>
  <c r="Z161" i="30"/>
  <c r="AA160" i="30"/>
  <c r="AB160" i="30"/>
  <c r="Z160" i="30"/>
  <c r="AA159" i="30"/>
  <c r="AB159" i="30"/>
  <c r="Z159" i="30"/>
  <c r="AA158" i="30"/>
  <c r="AB158" i="30"/>
  <c r="Z158" i="30"/>
  <c r="AA157" i="30"/>
  <c r="AB157" i="30"/>
  <c r="Z157" i="30"/>
  <c r="AA156" i="30"/>
  <c r="AB156" i="30"/>
  <c r="Z156" i="30"/>
  <c r="AA155" i="30"/>
  <c r="AB155" i="30"/>
  <c r="Z155" i="30"/>
  <c r="AA154" i="30"/>
  <c r="AB154" i="30"/>
  <c r="Z154" i="30"/>
  <c r="AA153" i="30"/>
  <c r="AB153" i="30"/>
  <c r="Z153" i="30"/>
  <c r="AA152" i="30"/>
  <c r="AB152" i="30"/>
  <c r="Z152" i="30"/>
  <c r="AA151" i="30"/>
  <c r="AB151" i="30"/>
  <c r="Z151" i="30"/>
  <c r="AA150" i="30"/>
  <c r="AB150" i="30"/>
  <c r="Z150" i="30"/>
  <c r="AA149" i="30"/>
  <c r="AB149" i="30"/>
  <c r="Z149" i="30"/>
  <c r="AA148" i="30"/>
  <c r="AB148" i="30"/>
  <c r="Z148" i="30"/>
  <c r="AA147" i="30"/>
  <c r="AB147" i="30"/>
  <c r="Z147" i="30"/>
  <c r="AA146" i="30"/>
  <c r="AB146" i="30"/>
  <c r="Z146" i="30"/>
  <c r="AA145" i="30"/>
  <c r="AB145" i="30"/>
  <c r="Z145" i="30"/>
  <c r="AA144" i="30"/>
  <c r="AB144" i="30"/>
  <c r="Z144" i="30"/>
  <c r="AA143" i="30"/>
  <c r="AB143" i="30"/>
  <c r="Z143" i="30"/>
  <c r="AA142" i="30"/>
  <c r="AB142" i="30"/>
  <c r="Z142" i="30"/>
  <c r="AA141" i="30"/>
  <c r="AB141" i="30"/>
  <c r="Z141" i="30"/>
  <c r="AA140" i="30"/>
  <c r="AB140" i="30"/>
  <c r="Z140" i="30"/>
  <c r="AA139" i="30"/>
  <c r="AB139" i="30"/>
  <c r="Z139" i="30"/>
  <c r="AA138" i="30"/>
  <c r="AB138" i="30"/>
  <c r="Z138" i="30"/>
  <c r="AA137" i="30"/>
  <c r="AB137" i="30"/>
  <c r="Z137" i="30"/>
  <c r="AA136" i="30"/>
  <c r="AB136" i="30"/>
  <c r="Z136"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B82" i="30"/>
  <c r="Z82" i="30"/>
  <c r="AB81" i="30"/>
  <c r="Z81" i="30"/>
  <c r="AB80" i="30"/>
  <c r="Z80" i="30"/>
  <c r="AB79" i="30"/>
  <c r="Z79" i="30"/>
  <c r="AB78" i="30"/>
  <c r="Z78" i="30"/>
  <c r="AB77" i="30"/>
  <c r="Z77" i="30"/>
  <c r="AB76" i="30"/>
  <c r="Z76" i="30"/>
  <c r="AB75" i="30"/>
  <c r="Z75" i="30"/>
  <c r="AB74" i="30"/>
  <c r="Z74" i="30"/>
  <c r="AB73" i="30"/>
  <c r="Z73" i="30"/>
  <c r="AB72" i="30"/>
  <c r="Z72" i="30"/>
  <c r="Q72" i="30"/>
  <c r="AB71" i="30"/>
  <c r="Z71" i="30"/>
  <c r="Q71" i="30"/>
  <c r="AB70" i="30"/>
  <c r="Z70" i="30"/>
  <c r="Q70" i="30"/>
  <c r="AB69" i="30"/>
  <c r="Z69" i="30"/>
  <c r="Q69" i="30"/>
  <c r="AB68" i="30"/>
  <c r="Z68" i="30"/>
  <c r="Q68" i="30"/>
  <c r="AB67" i="30"/>
  <c r="Z67" i="30"/>
  <c r="AB66" i="30"/>
  <c r="Z66" i="30"/>
  <c r="AB65" i="30"/>
  <c r="Z65" i="30"/>
  <c r="AB64" i="30"/>
  <c r="Z64" i="30"/>
  <c r="BP38" i="30" a="1"/>
  <c r="BP38" i="30"/>
  <c r="BO38" i="30" a="1"/>
  <c r="BO38" i="30"/>
  <c r="BN38" i="30" a="1"/>
  <c r="BN38" i="30"/>
  <c r="BM38" i="30" a="1"/>
  <c r="BM38" i="30"/>
  <c r="BL38" i="30" a="1"/>
  <c r="BL38" i="30"/>
  <c r="BK38" i="30" a="1"/>
  <c r="BK38" i="30"/>
  <c r="BJ38" i="30" a="1"/>
  <c r="BJ38" i="30"/>
  <c r="BI38" i="30" a="1"/>
  <c r="BI38" i="30"/>
  <c r="BH38" i="30" a="1"/>
  <c r="BH38" i="30"/>
  <c r="BG38" i="30" a="1"/>
  <c r="BG38" i="30"/>
  <c r="BF38" i="30" a="1"/>
  <c r="BF38" i="30"/>
  <c r="BE38" i="30" a="1"/>
  <c r="BE38" i="30"/>
  <c r="BD38" i="30" a="1"/>
  <c r="BD38" i="30"/>
  <c r="BC38" i="30" a="1"/>
  <c r="BC38" i="30"/>
  <c r="BB38" i="30" a="1"/>
  <c r="BB38" i="30"/>
  <c r="BA38" i="30" a="1"/>
  <c r="BA38" i="30"/>
  <c r="AZ38" i="30" a="1"/>
  <c r="AZ38" i="30"/>
  <c r="AY38" i="30" a="1"/>
  <c r="AY38" i="30"/>
  <c r="AX38" i="30" a="1"/>
  <c r="AX38" i="30"/>
  <c r="AW38" i="30" a="1"/>
  <c r="AW38" i="30"/>
  <c r="AV38" i="30" a="1"/>
  <c r="AV38" i="30"/>
  <c r="AU38" i="30" a="1"/>
  <c r="AU38" i="30"/>
  <c r="AT38" i="30" a="1"/>
  <c r="AT38" i="30"/>
  <c r="AS38" i="30" a="1"/>
  <c r="AS38" i="30"/>
  <c r="AR38" i="30" a="1"/>
  <c r="AR38" i="30"/>
  <c r="AQ38" i="30" a="1"/>
  <c r="AQ38" i="30"/>
  <c r="AP38" i="30" a="1"/>
  <c r="AP38" i="30"/>
  <c r="AO38" i="30" a="1"/>
  <c r="AO38" i="30"/>
  <c r="AN38" i="30" a="1"/>
  <c r="AN38" i="30"/>
  <c r="AM38" i="30" a="1"/>
  <c r="AM38" i="30"/>
  <c r="AL38" i="30" a="1"/>
  <c r="AL38" i="30"/>
  <c r="AK38" i="30" a="1"/>
  <c r="AK38" i="30"/>
  <c r="AJ38" i="30" a="1"/>
  <c r="AJ38" i="30"/>
  <c r="AI38" i="30" a="1"/>
  <c r="AI38" i="30"/>
  <c r="AH38" i="30" a="1"/>
  <c r="AH38" i="30"/>
  <c r="AG38" i="30" a="1"/>
  <c r="AG38" i="30"/>
  <c r="AF38" i="30" a="1"/>
  <c r="AF38" i="30"/>
  <c r="AE38" i="30" a="1"/>
  <c r="AE38" i="30"/>
  <c r="AD38" i="30" a="1"/>
  <c r="AD38" i="30"/>
  <c r="AC38" i="30" a="1"/>
  <c r="AC38" i="30"/>
  <c r="AB38" i="30" a="1"/>
  <c r="AB38" i="30"/>
  <c r="AA38" i="30" a="1"/>
  <c r="AA38" i="30"/>
  <c r="Z38" i="30" a="1"/>
  <c r="Z38" i="30"/>
  <c r="Y38" i="30" a="1"/>
  <c r="Y38" i="30"/>
  <c r="X38" i="30" a="1"/>
  <c r="X38" i="30"/>
  <c r="W38" i="30" a="1"/>
  <c r="W38" i="30"/>
  <c r="V38" i="30" a="1"/>
  <c r="V38" i="30"/>
  <c r="U38" i="30" a="1"/>
  <c r="U38" i="30"/>
  <c r="T38" i="30" a="1"/>
  <c r="T38" i="30"/>
  <c r="S38" i="30" a="1"/>
  <c r="S38" i="30"/>
  <c r="R38" i="30" a="1"/>
  <c r="R38" i="30"/>
  <c r="Q38" i="30" a="1"/>
  <c r="Q38" i="30"/>
  <c r="P38" i="30" a="1"/>
  <c r="P38" i="30"/>
  <c r="O38" i="30" a="1"/>
  <c r="O38" i="30"/>
  <c r="N38" i="30" a="1"/>
  <c r="N38" i="30"/>
  <c r="M38" i="30" a="1"/>
  <c r="M38" i="30"/>
  <c r="L38" i="30" a="1"/>
  <c r="L38" i="30"/>
  <c r="K38" i="30" a="1"/>
  <c r="K38" i="30"/>
  <c r="J38" i="30" a="1"/>
  <c r="J38" i="30"/>
  <c r="I38" i="30" a="1"/>
  <c r="I38" i="30"/>
  <c r="H38" i="30" a="1"/>
  <c r="H38" i="30"/>
  <c r="G38" i="30" a="1"/>
  <c r="G38" i="30"/>
  <c r="F38" i="30" a="1"/>
  <c r="F38" i="30"/>
  <c r="E38" i="30" a="1"/>
  <c r="E38" i="30"/>
  <c r="C38" i="30"/>
  <c r="BP37" i="30" a="1"/>
  <c r="BP37" i="30"/>
  <c r="BO37" i="30" a="1"/>
  <c r="BO37" i="30"/>
  <c r="BN37" i="30" a="1"/>
  <c r="BN37" i="30"/>
  <c r="BM37" i="30" a="1"/>
  <c r="BM37" i="30"/>
  <c r="BL37" i="30" a="1"/>
  <c r="BL37" i="30"/>
  <c r="BK37" i="30" a="1"/>
  <c r="BK37" i="30"/>
  <c r="BJ37" i="30" a="1"/>
  <c r="BJ37" i="30"/>
  <c r="BI37" i="30" a="1"/>
  <c r="BI37" i="30"/>
  <c r="BH37" i="30" a="1"/>
  <c r="BH37" i="30"/>
  <c r="BG37" i="30" a="1"/>
  <c r="BG37" i="30"/>
  <c r="BF37" i="30" a="1"/>
  <c r="BF37" i="30"/>
  <c r="BE37" i="30" a="1"/>
  <c r="BE37" i="30"/>
  <c r="BD37" i="30" a="1"/>
  <c r="BD37" i="30"/>
  <c r="BC37" i="30" a="1"/>
  <c r="BC37" i="30"/>
  <c r="BB37" i="30" a="1"/>
  <c r="BB37" i="30"/>
  <c r="BA37" i="30" a="1"/>
  <c r="BA37" i="30"/>
  <c r="AZ37" i="30" a="1"/>
  <c r="AZ37" i="30"/>
  <c r="AY37" i="30" a="1"/>
  <c r="AY37" i="30"/>
  <c r="AX37" i="30" a="1"/>
  <c r="AX37" i="30"/>
  <c r="AW37" i="30" a="1"/>
  <c r="AW37" i="30"/>
  <c r="AV37" i="30" a="1"/>
  <c r="AV37" i="30"/>
  <c r="AU37" i="30" a="1"/>
  <c r="AU37" i="30"/>
  <c r="AT37" i="30" a="1"/>
  <c r="AT37" i="30"/>
  <c r="AS37" i="30" a="1"/>
  <c r="AS37" i="30"/>
  <c r="AR37" i="30" a="1"/>
  <c r="AR37" i="30"/>
  <c r="AQ37" i="30" a="1"/>
  <c r="AQ37" i="30"/>
  <c r="AP37" i="30" a="1"/>
  <c r="AP37" i="30"/>
  <c r="AO37" i="30" a="1"/>
  <c r="AO37" i="30"/>
  <c r="AN37" i="30" a="1"/>
  <c r="AN37" i="30"/>
  <c r="AM37" i="30" a="1"/>
  <c r="AM37" i="30"/>
  <c r="AL37" i="30" a="1"/>
  <c r="AL37" i="30"/>
  <c r="AK37" i="30" a="1"/>
  <c r="AK37" i="30"/>
  <c r="AJ37" i="30" a="1"/>
  <c r="AJ37" i="30"/>
  <c r="AI37" i="30" a="1"/>
  <c r="AI37" i="30"/>
  <c r="AH37" i="30" a="1"/>
  <c r="AH37" i="30"/>
  <c r="AG37" i="30" a="1"/>
  <c r="AG37" i="30"/>
  <c r="AF37" i="30" a="1"/>
  <c r="AF37" i="30"/>
  <c r="AE37" i="30" a="1"/>
  <c r="AE37" i="30"/>
  <c r="AD37" i="30" a="1"/>
  <c r="AD37" i="30"/>
  <c r="AC37" i="30" a="1"/>
  <c r="AC37" i="30"/>
  <c r="AB37" i="30" a="1"/>
  <c r="AB37" i="30"/>
  <c r="AA37" i="30" a="1"/>
  <c r="AA37" i="30"/>
  <c r="Z37" i="30" a="1"/>
  <c r="Z37" i="30"/>
  <c r="Y37" i="30" a="1"/>
  <c r="Y37" i="30"/>
  <c r="X37" i="30" a="1"/>
  <c r="X37" i="30"/>
  <c r="W37" i="30" a="1"/>
  <c r="W37" i="30"/>
  <c r="V37" i="30" a="1"/>
  <c r="V37" i="30"/>
  <c r="U37" i="30" a="1"/>
  <c r="U37" i="30"/>
  <c r="T37" i="30" a="1"/>
  <c r="T37" i="30"/>
  <c r="S37" i="30" a="1"/>
  <c r="S37" i="30"/>
  <c r="R37" i="30" a="1"/>
  <c r="R37" i="30"/>
  <c r="Q37" i="30" a="1"/>
  <c r="Q37" i="30"/>
  <c r="P37" i="30" a="1"/>
  <c r="P37" i="30"/>
  <c r="O37" i="30" a="1"/>
  <c r="O37" i="30"/>
  <c r="N37" i="30" a="1"/>
  <c r="N37" i="30"/>
  <c r="M37" i="30" a="1"/>
  <c r="M37" i="30"/>
  <c r="L37" i="30" a="1"/>
  <c r="L37" i="30"/>
  <c r="K37" i="30" a="1"/>
  <c r="K37" i="30"/>
  <c r="J37" i="30" a="1"/>
  <c r="J37" i="30"/>
  <c r="I37" i="30" a="1"/>
  <c r="I37" i="30"/>
  <c r="H37" i="30" a="1"/>
  <c r="H37" i="30"/>
  <c r="G37" i="30" a="1"/>
  <c r="G37" i="30"/>
  <c r="F37" i="30" a="1"/>
  <c r="F37" i="30"/>
  <c r="E37" i="30" a="1"/>
  <c r="E37" i="30"/>
  <c r="C37" i="30"/>
  <c r="BP36" i="30" a="1"/>
  <c r="BP36" i="30"/>
  <c r="BO36" i="30" a="1"/>
  <c r="BO36" i="30"/>
  <c r="BN36" i="30" a="1"/>
  <c r="BN36" i="30"/>
  <c r="BM36" i="30" a="1"/>
  <c r="BM36" i="30"/>
  <c r="BL36" i="30" a="1"/>
  <c r="BL36" i="30"/>
  <c r="BK36" i="30" a="1"/>
  <c r="BK36" i="30"/>
  <c r="BJ36" i="30" a="1"/>
  <c r="BJ36" i="30"/>
  <c r="BI36" i="30" a="1"/>
  <c r="BI36" i="30"/>
  <c r="BH36" i="30" a="1"/>
  <c r="BH36" i="30"/>
  <c r="BG36" i="30" a="1"/>
  <c r="BG36" i="30"/>
  <c r="BF36" i="30" a="1"/>
  <c r="BF36" i="30"/>
  <c r="BE36" i="30" a="1"/>
  <c r="BE36" i="30"/>
  <c r="BD36" i="30" a="1"/>
  <c r="BD36" i="30"/>
  <c r="BC36" i="30" a="1"/>
  <c r="BC36" i="30"/>
  <c r="BB36" i="30" a="1"/>
  <c r="BB36" i="30"/>
  <c r="BA36" i="30" a="1"/>
  <c r="BA36" i="30"/>
  <c r="AZ36" i="30" a="1"/>
  <c r="AZ36" i="30"/>
  <c r="AY36" i="30" a="1"/>
  <c r="AY36" i="30"/>
  <c r="AX36" i="30" a="1"/>
  <c r="AX36" i="30"/>
  <c r="AW36" i="30" a="1"/>
  <c r="AW36" i="30"/>
  <c r="AV36" i="30" a="1"/>
  <c r="AV36" i="30"/>
  <c r="AU36" i="30" a="1"/>
  <c r="AU36" i="30"/>
  <c r="AT36" i="30" a="1"/>
  <c r="AT36" i="30"/>
  <c r="AS36" i="30" a="1"/>
  <c r="AS36" i="30"/>
  <c r="AR36" i="30" a="1"/>
  <c r="AR36" i="30"/>
  <c r="AQ36" i="30" a="1"/>
  <c r="AQ36" i="30"/>
  <c r="AP36" i="30" a="1"/>
  <c r="AP36" i="30"/>
  <c r="AO36" i="30" a="1"/>
  <c r="AO36" i="30"/>
  <c r="AN36" i="30" a="1"/>
  <c r="AN36" i="30"/>
  <c r="AM36" i="30" a="1"/>
  <c r="AM36" i="30"/>
  <c r="AL36" i="30" a="1"/>
  <c r="AL36" i="30"/>
  <c r="AK36" i="30" a="1"/>
  <c r="AK36" i="30"/>
  <c r="AJ36" i="30" a="1"/>
  <c r="AJ36" i="30"/>
  <c r="AI36" i="30" a="1"/>
  <c r="AI36" i="30"/>
  <c r="AH36" i="30" a="1"/>
  <c r="AH36" i="30"/>
  <c r="AG36" i="30" a="1"/>
  <c r="AG36" i="30"/>
  <c r="AF36" i="30" a="1"/>
  <c r="AF36" i="30"/>
  <c r="AE36" i="30" a="1"/>
  <c r="AE36" i="30"/>
  <c r="AD36" i="30" a="1"/>
  <c r="AD36" i="30"/>
  <c r="AC36" i="30" a="1"/>
  <c r="AC36" i="30"/>
  <c r="AB36" i="30" a="1"/>
  <c r="AB36" i="30"/>
  <c r="AA36" i="30" a="1"/>
  <c r="AA36" i="30"/>
  <c r="Z36" i="30" a="1"/>
  <c r="Z36" i="30"/>
  <c r="Y36" i="30" a="1"/>
  <c r="Y36" i="30"/>
  <c r="X36" i="30" a="1"/>
  <c r="X36" i="30"/>
  <c r="W36" i="30" a="1"/>
  <c r="W36" i="30"/>
  <c r="V36" i="30" a="1"/>
  <c r="V36" i="30"/>
  <c r="U36" i="30" a="1"/>
  <c r="U36" i="30"/>
  <c r="T36" i="30" a="1"/>
  <c r="T36" i="30"/>
  <c r="S36" i="30" a="1"/>
  <c r="S36" i="30"/>
  <c r="R36" i="30" a="1"/>
  <c r="R36" i="30"/>
  <c r="Q36" i="30" a="1"/>
  <c r="Q36" i="30"/>
  <c r="P36" i="30" a="1"/>
  <c r="P36" i="30"/>
  <c r="O36" i="30" a="1"/>
  <c r="O36" i="30"/>
  <c r="N36" i="30" a="1"/>
  <c r="N36" i="30"/>
  <c r="M36" i="30" a="1"/>
  <c r="M36" i="30"/>
  <c r="L36" i="30" a="1"/>
  <c r="L36" i="30"/>
  <c r="K36" i="30" a="1"/>
  <c r="K36" i="30"/>
  <c r="J36" i="30" a="1"/>
  <c r="J36" i="30"/>
  <c r="I36" i="30" a="1"/>
  <c r="I36" i="30"/>
  <c r="H36" i="30" a="1"/>
  <c r="H36" i="30"/>
  <c r="G36" i="30" a="1"/>
  <c r="G36" i="30"/>
  <c r="F36" i="30" a="1"/>
  <c r="F36" i="30"/>
  <c r="E36" i="30" a="1"/>
  <c r="E36" i="30"/>
  <c r="C36" i="30"/>
  <c r="C35" i="30"/>
  <c r="C34" i="30"/>
  <c r="C33" i="30"/>
  <c r="C32" i="30"/>
  <c r="C31" i="30"/>
  <c r="C30" i="30"/>
  <c r="AD25" i="30"/>
  <c r="AF25" i="30"/>
  <c r="AA25" i="30"/>
  <c r="I25" i="30"/>
  <c r="G25" i="30"/>
  <c r="F25" i="30"/>
  <c r="E25" i="30"/>
  <c r="D25" i="30"/>
  <c r="AD24" i="30"/>
  <c r="AF24" i="30"/>
  <c r="AA24" i="30"/>
  <c r="I24" i="30"/>
  <c r="G24" i="30"/>
  <c r="F24" i="30"/>
  <c r="E24" i="30"/>
  <c r="D24" i="30"/>
  <c r="AD23" i="30"/>
  <c r="AF23" i="30"/>
  <c r="AA23" i="30"/>
  <c r="I23" i="30"/>
  <c r="G23" i="30"/>
  <c r="F23" i="30"/>
  <c r="E23" i="30"/>
  <c r="D23" i="30"/>
  <c r="AD22" i="30"/>
  <c r="AF22" i="30"/>
  <c r="I22" i="30"/>
  <c r="G22" i="30"/>
  <c r="F22" i="30"/>
  <c r="E22" i="30"/>
  <c r="D22" i="30"/>
  <c r="AD21" i="30"/>
  <c r="AF21" i="30"/>
  <c r="I21" i="30"/>
  <c r="G21" i="30"/>
  <c r="F21" i="30"/>
  <c r="E21" i="30"/>
  <c r="D21" i="30"/>
  <c r="AD20" i="30"/>
  <c r="AF20" i="30"/>
  <c r="I20" i="30"/>
  <c r="G20" i="30"/>
  <c r="F20" i="30"/>
  <c r="E20" i="30"/>
  <c r="D20" i="30"/>
  <c r="AD19" i="30"/>
  <c r="AF19" i="30"/>
  <c r="I19" i="30"/>
  <c r="G19" i="30"/>
  <c r="F19" i="30"/>
  <c r="E19" i="30"/>
  <c r="D19" i="30"/>
  <c r="AD18" i="30"/>
  <c r="AF18" i="30"/>
  <c r="I18" i="30"/>
  <c r="G18" i="30"/>
  <c r="F18" i="30"/>
  <c r="E18" i="30"/>
  <c r="D18" i="30"/>
  <c r="AD17" i="30"/>
  <c r="AF17" i="30"/>
  <c r="I17" i="30"/>
  <c r="G17" i="30"/>
  <c r="F17" i="30"/>
  <c r="E17" i="30"/>
  <c r="D17" i="30"/>
  <c r="B13" i="30"/>
  <c r="Z17" i="30"/>
  <c r="Z18" i="30"/>
  <c r="Z19" i="30"/>
  <c r="Z20" i="30"/>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AA172" i="29"/>
  <c r="AB172" i="29"/>
  <c r="Z172" i="29"/>
  <c r="AA171" i="29"/>
  <c r="AB171" i="29"/>
  <c r="Z171" i="29"/>
  <c r="AA170" i="29"/>
  <c r="AB170" i="29"/>
  <c r="Z170" i="29"/>
  <c r="AA169" i="29"/>
  <c r="AB169" i="29"/>
  <c r="Z169" i="29"/>
  <c r="AA168" i="29"/>
  <c r="AB168" i="29"/>
  <c r="Z168" i="29"/>
  <c r="AA167" i="29"/>
  <c r="AB167" i="29"/>
  <c r="Z167" i="29"/>
  <c r="AA166" i="29"/>
  <c r="AB166" i="29"/>
  <c r="Z166" i="29"/>
  <c r="AA165" i="29"/>
  <c r="AB165" i="29"/>
  <c r="Z165" i="29"/>
  <c r="AA164" i="29"/>
  <c r="AB164" i="29"/>
  <c r="Z164" i="29"/>
  <c r="AA163" i="29"/>
  <c r="AB163" i="29"/>
  <c r="Z163" i="29"/>
  <c r="AA162" i="29"/>
  <c r="AB162" i="29"/>
  <c r="Z162" i="29"/>
  <c r="AA161" i="29"/>
  <c r="AB161" i="29"/>
  <c r="Z161" i="29"/>
  <c r="AA160" i="29"/>
  <c r="AB160" i="29"/>
  <c r="Z160" i="29"/>
  <c r="AA159" i="29"/>
  <c r="AB159" i="29"/>
  <c r="Z159" i="29"/>
  <c r="AA158" i="29"/>
  <c r="AB158" i="29"/>
  <c r="Z158" i="29"/>
  <c r="AA157" i="29"/>
  <c r="AB157" i="29"/>
  <c r="Z157" i="29"/>
  <c r="AA156" i="29"/>
  <c r="AB156" i="29"/>
  <c r="Z156" i="29"/>
  <c r="AA155" i="29"/>
  <c r="AB155" i="29"/>
  <c r="Z155" i="29"/>
  <c r="AA154" i="29"/>
  <c r="AB154" i="29"/>
  <c r="Z154" i="29"/>
  <c r="AA153" i="29"/>
  <c r="AB153" i="29"/>
  <c r="Z153" i="29"/>
  <c r="AA152" i="29"/>
  <c r="AB152" i="29"/>
  <c r="Z152" i="29"/>
  <c r="AA151" i="29"/>
  <c r="AB151" i="29"/>
  <c r="Z151" i="29"/>
  <c r="AA150" i="29"/>
  <c r="AB150" i="29"/>
  <c r="Z150" i="29"/>
  <c r="AA149" i="29"/>
  <c r="AB149" i="29"/>
  <c r="Z149" i="29"/>
  <c r="AA148" i="29"/>
  <c r="AB148" i="29"/>
  <c r="Z148" i="29"/>
  <c r="AA147" i="29"/>
  <c r="AB147" i="29"/>
  <c r="Z147" i="29"/>
  <c r="AA146" i="29"/>
  <c r="AB146" i="29"/>
  <c r="Z146" i="29"/>
  <c r="AA145" i="29"/>
  <c r="AB145" i="29"/>
  <c r="Z145" i="29"/>
  <c r="AA144" i="29"/>
  <c r="AB144" i="29"/>
  <c r="Z144" i="29"/>
  <c r="AA143" i="29"/>
  <c r="AB143" i="29"/>
  <c r="Z143" i="29"/>
  <c r="AA142" i="29"/>
  <c r="AB142" i="29"/>
  <c r="Z142" i="29"/>
  <c r="AA141" i="29"/>
  <c r="AB141" i="29"/>
  <c r="Z141" i="29"/>
  <c r="AA140" i="29"/>
  <c r="AB140" i="29"/>
  <c r="Z140" i="29"/>
  <c r="AA139" i="29"/>
  <c r="AB139" i="29"/>
  <c r="Z139" i="29"/>
  <c r="AA138" i="29"/>
  <c r="AB138" i="29"/>
  <c r="Z138" i="29"/>
  <c r="AA137" i="29"/>
  <c r="AB137" i="29"/>
  <c r="Z137" i="29"/>
  <c r="AA136" i="29"/>
  <c r="AB136" i="29"/>
  <c r="Z136"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B82" i="29"/>
  <c r="Z82" i="29"/>
  <c r="AB81" i="29"/>
  <c r="Z81" i="29"/>
  <c r="AB80" i="29"/>
  <c r="Z80" i="29"/>
  <c r="AB79" i="29"/>
  <c r="Z79" i="29"/>
  <c r="AB78" i="29"/>
  <c r="Z78" i="29"/>
  <c r="AB77" i="29"/>
  <c r="Z77" i="29"/>
  <c r="AB76" i="29"/>
  <c r="Z76" i="29"/>
  <c r="AB75" i="29"/>
  <c r="Z75" i="29"/>
  <c r="AB74" i="29"/>
  <c r="Z74" i="29"/>
  <c r="AB73" i="29"/>
  <c r="Z73" i="29"/>
  <c r="AB72" i="29"/>
  <c r="Z72" i="29"/>
  <c r="Q72" i="29"/>
  <c r="AB71" i="29"/>
  <c r="Z71" i="29"/>
  <c r="Q71" i="29"/>
  <c r="AB70" i="29"/>
  <c r="Z70" i="29"/>
  <c r="Q70" i="29"/>
  <c r="AB69" i="29"/>
  <c r="Z69" i="29"/>
  <c r="Q69" i="29"/>
  <c r="AB68" i="29"/>
  <c r="Z68" i="29"/>
  <c r="Q68" i="29"/>
  <c r="AB67" i="29"/>
  <c r="Z67" i="29"/>
  <c r="AB66" i="29"/>
  <c r="Z66" i="29"/>
  <c r="AB65" i="29"/>
  <c r="Z65" i="29"/>
  <c r="AB64" i="29"/>
  <c r="Z64"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C35" i="29"/>
  <c r="C34" i="29"/>
  <c r="C33" i="29"/>
  <c r="C32" i="29"/>
  <c r="C31" i="29"/>
  <c r="C30" i="29"/>
  <c r="AD25" i="29"/>
  <c r="AF25" i="29"/>
  <c r="AA25" i="29"/>
  <c r="I25" i="29"/>
  <c r="G25" i="29"/>
  <c r="F25" i="29"/>
  <c r="E25" i="29"/>
  <c r="D25" i="29"/>
  <c r="AD24" i="29"/>
  <c r="AF24" i="29"/>
  <c r="AA24" i="29"/>
  <c r="I24" i="29"/>
  <c r="G24" i="29"/>
  <c r="F24" i="29"/>
  <c r="E24" i="29"/>
  <c r="D24" i="29"/>
  <c r="AD23" i="29"/>
  <c r="AF23" i="29"/>
  <c r="AA23" i="29"/>
  <c r="I23" i="29"/>
  <c r="G23" i="29"/>
  <c r="F23" i="29"/>
  <c r="E23" i="29"/>
  <c r="D23" i="29"/>
  <c r="AD22" i="29"/>
  <c r="AF22" i="29"/>
  <c r="I22" i="29"/>
  <c r="G22" i="29"/>
  <c r="F22" i="29"/>
  <c r="E22" i="29"/>
  <c r="D22" i="29"/>
  <c r="AD21" i="29"/>
  <c r="AF21" i="29"/>
  <c r="I21" i="29"/>
  <c r="G21" i="29"/>
  <c r="F21" i="29"/>
  <c r="E21" i="29"/>
  <c r="D21" i="29"/>
  <c r="AD20" i="29"/>
  <c r="AF20" i="29"/>
  <c r="I20" i="29"/>
  <c r="G20" i="29"/>
  <c r="F20" i="29"/>
  <c r="E20" i="29"/>
  <c r="D20" i="29"/>
  <c r="AD19" i="29"/>
  <c r="AF19" i="29"/>
  <c r="I19" i="29"/>
  <c r="G19" i="29"/>
  <c r="F19" i="29"/>
  <c r="E19" i="29"/>
  <c r="D19" i="29"/>
  <c r="AD18" i="29"/>
  <c r="AF18" i="29"/>
  <c r="I18" i="29"/>
  <c r="G18" i="29"/>
  <c r="F18" i="29"/>
  <c r="E18" i="29"/>
  <c r="D18" i="29"/>
  <c r="AD17" i="29"/>
  <c r="AF17" i="29"/>
  <c r="I17" i="29"/>
  <c r="G17" i="29"/>
  <c r="F17" i="29"/>
  <c r="E17" i="29"/>
  <c r="D17" i="29"/>
  <c r="B13" i="29"/>
  <c r="Z17" i="29"/>
  <c r="Z18" i="29"/>
  <c r="Z19" i="29"/>
  <c r="Z20" i="29"/>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AA172" i="28"/>
  <c r="AB172" i="28"/>
  <c r="Z172" i="28"/>
  <c r="AA171" i="28"/>
  <c r="AB171" i="28"/>
  <c r="Z171" i="28"/>
  <c r="AA170" i="28"/>
  <c r="AB170" i="28"/>
  <c r="Z170" i="28"/>
  <c r="AA169" i="28"/>
  <c r="AB169" i="28"/>
  <c r="Z169" i="28"/>
  <c r="AA168" i="28"/>
  <c r="AB168" i="28"/>
  <c r="Z168" i="28"/>
  <c r="AA167" i="28"/>
  <c r="AB167" i="28"/>
  <c r="Z167" i="28"/>
  <c r="AA166" i="28"/>
  <c r="AB166" i="28"/>
  <c r="Z166" i="28"/>
  <c r="AA165" i="28"/>
  <c r="AB165" i="28"/>
  <c r="Z165" i="28"/>
  <c r="AA164" i="28"/>
  <c r="AB164" i="28"/>
  <c r="Z164" i="28"/>
  <c r="AA163" i="28"/>
  <c r="AB163" i="28"/>
  <c r="Z163" i="28"/>
  <c r="AA162" i="28"/>
  <c r="AB162" i="28"/>
  <c r="Z162" i="28"/>
  <c r="AA161" i="28"/>
  <c r="AB161" i="28"/>
  <c r="Z161" i="28"/>
  <c r="AA160" i="28"/>
  <c r="AB160" i="28"/>
  <c r="Z160" i="28"/>
  <c r="AA159" i="28"/>
  <c r="AB159" i="28"/>
  <c r="Z159" i="28"/>
  <c r="AA158" i="28"/>
  <c r="AB158" i="28"/>
  <c r="Z158" i="28"/>
  <c r="AA157" i="28"/>
  <c r="AB157" i="28"/>
  <c r="Z157" i="28"/>
  <c r="AA156" i="28"/>
  <c r="AB156" i="28"/>
  <c r="Z156" i="28"/>
  <c r="AA155" i="28"/>
  <c r="AB155" i="28"/>
  <c r="Z155" i="28"/>
  <c r="AA154" i="28"/>
  <c r="AB154" i="28"/>
  <c r="Z154" i="28"/>
  <c r="AA153" i="28"/>
  <c r="AB153" i="28"/>
  <c r="Z153" i="28"/>
  <c r="AA152" i="28"/>
  <c r="AB152" i="28"/>
  <c r="Z152" i="28"/>
  <c r="AA151" i="28"/>
  <c r="AB151" i="28"/>
  <c r="Z151" i="28"/>
  <c r="AA150" i="28"/>
  <c r="AB150" i="28"/>
  <c r="Z150" i="28"/>
  <c r="AA149" i="28"/>
  <c r="AB149" i="28"/>
  <c r="Z149" i="28"/>
  <c r="AA148" i="28"/>
  <c r="AB148" i="28"/>
  <c r="Z148" i="28"/>
  <c r="AA147" i="28"/>
  <c r="AB147" i="28"/>
  <c r="Z147" i="28"/>
  <c r="AA146" i="28"/>
  <c r="AB146" i="28"/>
  <c r="Z146" i="28"/>
  <c r="AA145" i="28"/>
  <c r="AB145" i="28"/>
  <c r="Z145" i="28"/>
  <c r="AA144" i="28"/>
  <c r="AB144" i="28"/>
  <c r="Z144" i="28"/>
  <c r="AA143" i="28"/>
  <c r="AB143" i="28"/>
  <c r="Z143" i="28"/>
  <c r="AA142" i="28"/>
  <c r="AB142" i="28"/>
  <c r="Z142" i="28"/>
  <c r="AA141" i="28"/>
  <c r="AB141" i="28"/>
  <c r="Z141" i="28"/>
  <c r="AA140" i="28"/>
  <c r="AB140" i="28"/>
  <c r="Z140" i="28"/>
  <c r="AA139" i="28"/>
  <c r="AB139" i="28"/>
  <c r="Z139" i="28"/>
  <c r="AA138" i="28"/>
  <c r="AB138" i="28"/>
  <c r="Z138" i="28"/>
  <c r="AA137" i="28"/>
  <c r="AB137" i="28"/>
  <c r="Z137" i="28"/>
  <c r="AA136" i="28"/>
  <c r="AB136" i="28"/>
  <c r="Z136"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B82" i="28"/>
  <c r="Z82" i="28"/>
  <c r="AB81" i="28"/>
  <c r="Z81" i="28"/>
  <c r="AB80" i="28"/>
  <c r="Z80" i="28"/>
  <c r="AB79" i="28"/>
  <c r="Z79" i="28"/>
  <c r="AB78" i="28"/>
  <c r="Z78" i="28"/>
  <c r="AB77" i="28"/>
  <c r="Z77" i="28"/>
  <c r="AB76" i="28"/>
  <c r="Z76" i="28"/>
  <c r="AB75" i="28"/>
  <c r="Z75" i="28"/>
  <c r="AB74" i="28"/>
  <c r="Z74" i="28"/>
  <c r="AB73" i="28"/>
  <c r="Z73" i="28"/>
  <c r="AB72" i="28"/>
  <c r="Z72" i="28"/>
  <c r="AB71" i="28"/>
  <c r="Z71" i="28"/>
  <c r="AB70" i="28"/>
  <c r="Z70" i="28"/>
  <c r="AB69" i="28"/>
  <c r="Z69" i="28"/>
  <c r="AB68" i="28"/>
  <c r="Z68" i="28"/>
  <c r="AB67" i="28"/>
  <c r="Z67" i="28"/>
  <c r="AB66" i="28"/>
  <c r="Z66" i="28"/>
  <c r="AB65" i="28"/>
  <c r="Z65" i="28"/>
  <c r="AB64" i="28"/>
  <c r="Z64"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C35" i="28"/>
  <c r="C34" i="28"/>
  <c r="C33" i="28"/>
  <c r="C32" i="28"/>
  <c r="C31" i="28"/>
  <c r="C30" i="28"/>
  <c r="AD25" i="28"/>
  <c r="AF25" i="28"/>
  <c r="AA25" i="28"/>
  <c r="I25" i="28"/>
  <c r="G25" i="28"/>
  <c r="F25" i="28"/>
  <c r="E25" i="28"/>
  <c r="D25" i="28"/>
  <c r="AD24" i="28"/>
  <c r="AF24" i="28"/>
  <c r="AA24" i="28"/>
  <c r="I24" i="28"/>
  <c r="G24" i="28"/>
  <c r="F24" i="28"/>
  <c r="E24" i="28"/>
  <c r="D24" i="28"/>
  <c r="AD23" i="28"/>
  <c r="AF23" i="28"/>
  <c r="AA23" i="28"/>
  <c r="I23" i="28"/>
  <c r="G23" i="28"/>
  <c r="F23" i="28"/>
  <c r="E23" i="28"/>
  <c r="D23" i="28"/>
  <c r="AD22" i="28"/>
  <c r="AF22" i="28"/>
  <c r="I22" i="28"/>
  <c r="G22" i="28"/>
  <c r="F22" i="28"/>
  <c r="E22" i="28"/>
  <c r="D22" i="28"/>
  <c r="AD21" i="28"/>
  <c r="AF21" i="28"/>
  <c r="I21" i="28"/>
  <c r="G21" i="28"/>
  <c r="F21" i="28"/>
  <c r="E21" i="28"/>
  <c r="D21" i="28"/>
  <c r="AD20" i="28"/>
  <c r="AF20" i="28"/>
  <c r="I20" i="28"/>
  <c r="G20" i="28"/>
  <c r="F20" i="28"/>
  <c r="E20" i="28"/>
  <c r="D20" i="28"/>
  <c r="AD19" i="28"/>
  <c r="AF19" i="28"/>
  <c r="I19" i="28"/>
  <c r="G19" i="28"/>
  <c r="F19" i="28"/>
  <c r="E19" i="28"/>
  <c r="D19" i="28"/>
  <c r="AD18" i="28"/>
  <c r="AF18" i="28"/>
  <c r="I18" i="28"/>
  <c r="G18" i="28"/>
  <c r="F18" i="28"/>
  <c r="E18" i="28"/>
  <c r="D18" i="28"/>
  <c r="AD17" i="28"/>
  <c r="AF17" i="28"/>
  <c r="I17" i="28"/>
  <c r="G17" i="28"/>
  <c r="F17" i="28"/>
  <c r="E17" i="28"/>
  <c r="D17" i="28"/>
  <c r="B13" i="28"/>
  <c r="Z17" i="28"/>
  <c r="Z18" i="28"/>
  <c r="Z19" i="28"/>
  <c r="Z20" i="28"/>
  <c r="V135" i="27"/>
  <c r="W135" i="27"/>
  <c r="X135" i="27"/>
  <c r="Y135" i="27"/>
  <c r="AA135" i="27"/>
  <c r="AA207" i="27"/>
  <c r="AB207" i="27"/>
  <c r="Z207" i="27"/>
  <c r="V134" i="27"/>
  <c r="W134" i="27"/>
  <c r="X134" i="27"/>
  <c r="Y134" i="27"/>
  <c r="AA134" i="27"/>
  <c r="AA206" i="27"/>
  <c r="AB206" i="27"/>
  <c r="Z206" i="27"/>
  <c r="V133" i="27"/>
  <c r="W133" i="27"/>
  <c r="X133" i="27"/>
  <c r="Y133" i="27"/>
  <c r="AA133" i="27"/>
  <c r="AA205" i="27"/>
  <c r="AB205" i="27"/>
  <c r="Z205" i="27"/>
  <c r="V132" i="27"/>
  <c r="W132" i="27"/>
  <c r="X132" i="27"/>
  <c r="Y132" i="27"/>
  <c r="AA132" i="27"/>
  <c r="AA204" i="27"/>
  <c r="AB204" i="27"/>
  <c r="Z204" i="27"/>
  <c r="V131" i="27"/>
  <c r="W131" i="27"/>
  <c r="X131" i="27"/>
  <c r="Y131" i="27"/>
  <c r="AA131" i="27"/>
  <c r="AA203" i="27"/>
  <c r="AB203" i="27"/>
  <c r="Z203" i="27"/>
  <c r="V130" i="27"/>
  <c r="W130" i="27"/>
  <c r="X130" i="27"/>
  <c r="Y130" i="27"/>
  <c r="AA130" i="27"/>
  <c r="AA202" i="27"/>
  <c r="AB202" i="27"/>
  <c r="Z202" i="27"/>
  <c r="V129" i="27"/>
  <c r="W129" i="27"/>
  <c r="X129" i="27"/>
  <c r="Y129" i="27"/>
  <c r="AA129" i="27"/>
  <c r="AA201" i="27"/>
  <c r="AB201" i="27"/>
  <c r="Z201" i="27"/>
  <c r="V128" i="27"/>
  <c r="W128" i="27"/>
  <c r="X128" i="27"/>
  <c r="Y128" i="27"/>
  <c r="AA128" i="27"/>
  <c r="AA200" i="27"/>
  <c r="AB200" i="27"/>
  <c r="Z200" i="27"/>
  <c r="V127" i="27"/>
  <c r="W127" i="27"/>
  <c r="X127" i="27"/>
  <c r="Y127" i="27"/>
  <c r="AA127" i="27"/>
  <c r="AA199" i="27"/>
  <c r="AB199" i="27"/>
  <c r="Z199" i="27"/>
  <c r="V126" i="27"/>
  <c r="W126" i="27"/>
  <c r="X126" i="27"/>
  <c r="Y126" i="27"/>
  <c r="AA126" i="27"/>
  <c r="AA198" i="27"/>
  <c r="AB198" i="27"/>
  <c r="Z198" i="27"/>
  <c r="V125" i="27"/>
  <c r="W125" i="27"/>
  <c r="X125" i="27"/>
  <c r="Y125" i="27"/>
  <c r="AA125" i="27"/>
  <c r="AA197" i="27"/>
  <c r="AB197" i="27"/>
  <c r="Z197" i="27"/>
  <c r="V124" i="27"/>
  <c r="W124" i="27"/>
  <c r="X124" i="27"/>
  <c r="Y124" i="27"/>
  <c r="AA124" i="27"/>
  <c r="AA196" i="27"/>
  <c r="AB196" i="27"/>
  <c r="Z196" i="27"/>
  <c r="V123" i="27"/>
  <c r="W123" i="27"/>
  <c r="X123" i="27"/>
  <c r="Y123" i="27"/>
  <c r="AA123" i="27"/>
  <c r="AA195" i="27"/>
  <c r="AB195" i="27"/>
  <c r="Z195" i="27"/>
  <c r="V122" i="27"/>
  <c r="W122" i="27"/>
  <c r="X122" i="27"/>
  <c r="Y122" i="27"/>
  <c r="AA122" i="27"/>
  <c r="AA194" i="27"/>
  <c r="AB194" i="27"/>
  <c r="Z194" i="27"/>
  <c r="V121" i="27"/>
  <c r="W121" i="27"/>
  <c r="X121" i="27"/>
  <c r="Y121" i="27"/>
  <c r="AA121" i="27"/>
  <c r="AA193" i="27"/>
  <c r="AB193" i="27"/>
  <c r="Z193" i="27"/>
  <c r="V120" i="27"/>
  <c r="W120" i="27"/>
  <c r="X120" i="27"/>
  <c r="Y120" i="27"/>
  <c r="AA120" i="27"/>
  <c r="AA192" i="27"/>
  <c r="AB192" i="27"/>
  <c r="Z192" i="27"/>
  <c r="V119" i="27"/>
  <c r="W119" i="27"/>
  <c r="X119" i="27"/>
  <c r="Y119" i="27"/>
  <c r="AA119" i="27"/>
  <c r="AA191" i="27"/>
  <c r="AB191" i="27"/>
  <c r="Z191" i="27"/>
  <c r="V118" i="27"/>
  <c r="W118" i="27"/>
  <c r="X118" i="27"/>
  <c r="Y118" i="27"/>
  <c r="AA118" i="27"/>
  <c r="AA190" i="27"/>
  <c r="AB190" i="27"/>
  <c r="Z190" i="27"/>
  <c r="V117" i="27"/>
  <c r="W117" i="27"/>
  <c r="X117" i="27"/>
  <c r="Y117" i="27"/>
  <c r="AA117" i="27"/>
  <c r="AA189" i="27"/>
  <c r="AB189" i="27"/>
  <c r="Z189" i="27"/>
  <c r="V116" i="27"/>
  <c r="W116" i="27"/>
  <c r="X116" i="27"/>
  <c r="Y116" i="27"/>
  <c r="AA116" i="27"/>
  <c r="AA188" i="27"/>
  <c r="AB188" i="27"/>
  <c r="Z188" i="27"/>
  <c r="V115" i="27"/>
  <c r="W115" i="27"/>
  <c r="X115" i="27"/>
  <c r="Y115" i="27"/>
  <c r="AA115" i="27"/>
  <c r="AA187" i="27"/>
  <c r="AB187" i="27"/>
  <c r="Z187" i="27"/>
  <c r="V114" i="27"/>
  <c r="W114" i="27"/>
  <c r="X114" i="27"/>
  <c r="Y114" i="27"/>
  <c r="AA114" i="27"/>
  <c r="AA186" i="27"/>
  <c r="AB186" i="27"/>
  <c r="Z186" i="27"/>
  <c r="V113" i="27"/>
  <c r="W113" i="27"/>
  <c r="X113" i="27"/>
  <c r="Y113" i="27"/>
  <c r="AA113" i="27"/>
  <c r="AA185" i="27"/>
  <c r="AB185" i="27"/>
  <c r="Z185" i="27"/>
  <c r="V112" i="27"/>
  <c r="W112" i="27"/>
  <c r="X112" i="27"/>
  <c r="Y112" i="27"/>
  <c r="AA112" i="27"/>
  <c r="AA184" i="27"/>
  <c r="AB184" i="27"/>
  <c r="Z184" i="27"/>
  <c r="V111" i="27"/>
  <c r="W111" i="27"/>
  <c r="X111" i="27"/>
  <c r="Y111" i="27"/>
  <c r="AA111" i="27"/>
  <c r="AA183" i="27"/>
  <c r="AB183" i="27"/>
  <c r="Z183" i="27"/>
  <c r="V110" i="27"/>
  <c r="W110" i="27"/>
  <c r="X110" i="27"/>
  <c r="Y110" i="27"/>
  <c r="AA110" i="27"/>
  <c r="AA182" i="27"/>
  <c r="AB182" i="27"/>
  <c r="Z182" i="27"/>
  <c r="V109" i="27"/>
  <c r="W109" i="27"/>
  <c r="X109" i="27"/>
  <c r="Y109" i="27"/>
  <c r="AA109" i="27"/>
  <c r="AA181" i="27"/>
  <c r="AB181" i="27"/>
  <c r="Z181" i="27"/>
  <c r="V108" i="27"/>
  <c r="W108" i="27"/>
  <c r="X108" i="27"/>
  <c r="Y108" i="27"/>
  <c r="AA108" i="27"/>
  <c r="AA180" i="27"/>
  <c r="AB180" i="27"/>
  <c r="Z180" i="27"/>
  <c r="V107" i="27"/>
  <c r="W107" i="27"/>
  <c r="X107" i="27"/>
  <c r="Y107" i="27"/>
  <c r="AA107" i="27"/>
  <c r="AA179" i="27"/>
  <c r="AB179" i="27"/>
  <c r="Z179" i="27"/>
  <c r="V106" i="27"/>
  <c r="W106" i="27"/>
  <c r="X106" i="27"/>
  <c r="Y106" i="27"/>
  <c r="AA106" i="27"/>
  <c r="AA178" i="27"/>
  <c r="AB178" i="27"/>
  <c r="Z178" i="27"/>
  <c r="V105" i="27"/>
  <c r="W105" i="27"/>
  <c r="X105" i="27"/>
  <c r="Y105" i="27"/>
  <c r="AA105" i="27"/>
  <c r="AA177" i="27"/>
  <c r="AB177" i="27"/>
  <c r="Z177" i="27"/>
  <c r="V104" i="27"/>
  <c r="W104" i="27"/>
  <c r="X104" i="27"/>
  <c r="Y104" i="27"/>
  <c r="AA104" i="27"/>
  <c r="AA176" i="27"/>
  <c r="AB176" i="27"/>
  <c r="Z176" i="27"/>
  <c r="V103" i="27"/>
  <c r="W103" i="27"/>
  <c r="X103" i="27"/>
  <c r="Y103" i="27"/>
  <c r="AA103" i="27"/>
  <c r="AA175" i="27"/>
  <c r="AB175" i="27"/>
  <c r="Z175" i="27"/>
  <c r="V102" i="27"/>
  <c r="W102" i="27"/>
  <c r="X102" i="27"/>
  <c r="Y102" i="27"/>
  <c r="AA102" i="27"/>
  <c r="AA174" i="27"/>
  <c r="AB174" i="27"/>
  <c r="Z174" i="27"/>
  <c r="V101" i="27"/>
  <c r="W101" i="27"/>
  <c r="X101" i="27"/>
  <c r="Y101" i="27"/>
  <c r="AA101" i="27"/>
  <c r="AA173" i="27"/>
  <c r="AB173" i="27"/>
  <c r="Z173" i="27"/>
  <c r="AA172" i="27"/>
  <c r="AB172" i="27"/>
  <c r="Z172" i="27"/>
  <c r="AA171" i="27"/>
  <c r="AB171" i="27"/>
  <c r="Z171" i="27"/>
  <c r="AA170" i="27"/>
  <c r="AB170" i="27"/>
  <c r="Z170" i="27"/>
  <c r="AA169" i="27"/>
  <c r="AB169" i="27"/>
  <c r="Z169" i="27"/>
  <c r="AA168" i="27"/>
  <c r="AB168" i="27"/>
  <c r="Z168" i="27"/>
  <c r="AA167" i="27"/>
  <c r="AB167" i="27"/>
  <c r="Z167" i="27"/>
  <c r="AA166" i="27"/>
  <c r="AB166" i="27"/>
  <c r="Z166" i="27"/>
  <c r="AA165" i="27"/>
  <c r="AB165" i="27"/>
  <c r="Z165" i="27"/>
  <c r="AA164" i="27"/>
  <c r="AB164" i="27"/>
  <c r="Z164" i="27"/>
  <c r="AA163" i="27"/>
  <c r="AB163" i="27"/>
  <c r="Z163" i="27"/>
  <c r="AA162" i="27"/>
  <c r="AB162" i="27"/>
  <c r="Z162" i="27"/>
  <c r="AA161" i="27"/>
  <c r="AB161" i="27"/>
  <c r="Z161" i="27"/>
  <c r="AA160" i="27"/>
  <c r="AB160" i="27"/>
  <c r="Z160" i="27"/>
  <c r="AA159" i="27"/>
  <c r="AB159" i="27"/>
  <c r="Z159" i="27"/>
  <c r="AA158" i="27"/>
  <c r="AB158" i="27"/>
  <c r="Z158" i="27"/>
  <c r="AA157" i="27"/>
  <c r="AB157" i="27"/>
  <c r="Z157" i="27"/>
  <c r="AA156" i="27"/>
  <c r="AB156" i="27"/>
  <c r="Z156" i="27"/>
  <c r="AA155" i="27"/>
  <c r="AB155" i="27"/>
  <c r="Z155" i="27"/>
  <c r="AA154" i="27"/>
  <c r="AB154" i="27"/>
  <c r="Z154" i="27"/>
  <c r="AA153" i="27"/>
  <c r="AB153" i="27"/>
  <c r="Z153" i="27"/>
  <c r="AA152" i="27"/>
  <c r="AB152" i="27"/>
  <c r="Z152" i="27"/>
  <c r="AA151" i="27"/>
  <c r="AB151" i="27"/>
  <c r="Z151" i="27"/>
  <c r="AA150" i="27"/>
  <c r="AB150" i="27"/>
  <c r="Z150" i="27"/>
  <c r="AA149" i="27"/>
  <c r="AB149" i="27"/>
  <c r="Z149" i="27"/>
  <c r="AA148" i="27"/>
  <c r="AB148" i="27"/>
  <c r="Z148" i="27"/>
  <c r="AA147" i="27"/>
  <c r="AB147" i="27"/>
  <c r="Z147" i="27"/>
  <c r="AA146" i="27"/>
  <c r="AB146" i="27"/>
  <c r="Z146" i="27"/>
  <c r="AA145" i="27"/>
  <c r="AB145" i="27"/>
  <c r="Z145" i="27"/>
  <c r="AA144" i="27"/>
  <c r="AB144" i="27"/>
  <c r="Z144" i="27"/>
  <c r="AA143" i="27"/>
  <c r="AB143" i="27"/>
  <c r="Z143" i="27"/>
  <c r="AA142" i="27"/>
  <c r="AB142" i="27"/>
  <c r="Z142" i="27"/>
  <c r="AA141" i="27"/>
  <c r="AB141" i="27"/>
  <c r="Z141" i="27"/>
  <c r="AA140" i="27"/>
  <c r="AB140" i="27"/>
  <c r="Z140" i="27"/>
  <c r="AA139" i="27"/>
  <c r="AB139" i="27"/>
  <c r="Z139" i="27"/>
  <c r="AA138" i="27"/>
  <c r="AB138" i="27"/>
  <c r="Z138" i="27"/>
  <c r="AA137" i="27"/>
  <c r="AB137" i="27"/>
  <c r="Z137" i="27"/>
  <c r="AA136" i="27"/>
  <c r="AB136" i="27"/>
  <c r="Z136" i="27"/>
  <c r="AF135" i="27"/>
  <c r="AE135" i="27"/>
  <c r="AB135" i="27"/>
  <c r="Z135" i="27"/>
  <c r="AF134" i="27"/>
  <c r="AE134" i="27"/>
  <c r="AB134" i="27"/>
  <c r="Z134" i="27"/>
  <c r="AF133" i="27"/>
  <c r="AE133" i="27"/>
  <c r="AB133" i="27"/>
  <c r="Z133" i="27"/>
  <c r="AF132" i="27"/>
  <c r="AE132" i="27"/>
  <c r="AB132" i="27"/>
  <c r="Z132" i="27"/>
  <c r="AF131" i="27"/>
  <c r="AE131" i="27"/>
  <c r="AB131" i="27"/>
  <c r="Z131" i="27"/>
  <c r="AF130" i="27"/>
  <c r="AE130" i="27"/>
  <c r="AB130" i="27"/>
  <c r="Z130" i="27"/>
  <c r="AF129" i="27"/>
  <c r="AE129" i="27"/>
  <c r="AB129" i="27"/>
  <c r="Z129" i="27"/>
  <c r="AF128" i="27"/>
  <c r="AE128" i="27"/>
  <c r="AB128" i="27"/>
  <c r="Z128" i="27"/>
  <c r="AF127" i="27"/>
  <c r="AE127" i="27"/>
  <c r="AB127" i="27"/>
  <c r="Z127" i="27"/>
  <c r="AF126" i="27"/>
  <c r="AE126" i="27"/>
  <c r="AB126" i="27"/>
  <c r="Z126" i="27"/>
  <c r="AF125" i="27"/>
  <c r="AE125" i="27"/>
  <c r="AB125" i="27"/>
  <c r="Z125" i="27"/>
  <c r="AF124" i="27"/>
  <c r="AE124" i="27"/>
  <c r="AB124" i="27"/>
  <c r="Z124" i="27"/>
  <c r="AF123" i="27"/>
  <c r="AE123" i="27"/>
  <c r="AB123" i="27"/>
  <c r="Z123" i="27"/>
  <c r="AF122" i="27"/>
  <c r="AE122" i="27"/>
  <c r="AB122" i="27"/>
  <c r="Z122" i="27"/>
  <c r="AF121" i="27"/>
  <c r="AE121" i="27"/>
  <c r="AB121" i="27"/>
  <c r="Z121" i="27"/>
  <c r="AF120" i="27"/>
  <c r="AE120" i="27"/>
  <c r="AB120" i="27"/>
  <c r="Z120" i="27"/>
  <c r="AF119" i="27"/>
  <c r="AE119" i="27"/>
  <c r="AB119" i="27"/>
  <c r="Z119" i="27"/>
  <c r="AF118" i="27"/>
  <c r="AE118" i="27"/>
  <c r="AB118" i="27"/>
  <c r="Z118" i="27"/>
  <c r="AF117" i="27"/>
  <c r="AE117" i="27"/>
  <c r="AB117" i="27"/>
  <c r="Z117" i="27"/>
  <c r="AF116" i="27"/>
  <c r="AE116" i="27"/>
  <c r="AB116" i="27"/>
  <c r="Z116" i="27"/>
  <c r="AF115" i="27"/>
  <c r="AE115" i="27"/>
  <c r="AB115" i="27"/>
  <c r="Z115" i="27"/>
  <c r="AF114" i="27"/>
  <c r="AE114" i="27"/>
  <c r="AB114" i="27"/>
  <c r="Z114" i="27"/>
  <c r="AF113" i="27"/>
  <c r="AE113" i="27"/>
  <c r="AB113" i="27"/>
  <c r="Z113" i="27"/>
  <c r="AF112" i="27"/>
  <c r="AE112" i="27"/>
  <c r="AB112" i="27"/>
  <c r="Z112" i="27"/>
  <c r="AF111" i="27"/>
  <c r="AE111" i="27"/>
  <c r="AB111" i="27"/>
  <c r="Z111" i="27"/>
  <c r="AF110" i="27"/>
  <c r="AE110" i="27"/>
  <c r="AB110" i="27"/>
  <c r="Z110" i="27"/>
  <c r="AF109" i="27"/>
  <c r="AE109" i="27"/>
  <c r="AB109" i="27"/>
  <c r="Z109" i="27"/>
  <c r="AF108" i="27"/>
  <c r="AE108" i="27"/>
  <c r="AB108" i="27"/>
  <c r="Z108" i="27"/>
  <c r="AF107" i="27"/>
  <c r="AE107" i="27"/>
  <c r="AB107" i="27"/>
  <c r="Z107" i="27"/>
  <c r="AF106" i="27"/>
  <c r="AE106" i="27"/>
  <c r="AB106" i="27"/>
  <c r="Z106" i="27"/>
  <c r="AF105" i="27"/>
  <c r="AE105" i="27"/>
  <c r="AB105" i="27"/>
  <c r="Z105" i="27"/>
  <c r="AF104" i="27"/>
  <c r="AE104" i="27"/>
  <c r="AB104" i="27"/>
  <c r="Z104" i="27"/>
  <c r="AF103" i="27"/>
  <c r="AE103" i="27"/>
  <c r="AB103" i="27"/>
  <c r="Z103" i="27"/>
  <c r="AF102" i="27"/>
  <c r="AE102" i="27"/>
  <c r="AB102" i="27"/>
  <c r="Z102" i="27"/>
  <c r="AF101" i="27"/>
  <c r="AE101" i="27"/>
  <c r="AB101" i="27"/>
  <c r="Z101" i="27"/>
  <c r="AB82" i="27"/>
  <c r="Z82" i="27"/>
  <c r="AB81" i="27"/>
  <c r="Z81" i="27"/>
  <c r="AB80" i="27"/>
  <c r="Z80" i="27"/>
  <c r="AB79" i="27"/>
  <c r="Z79" i="27"/>
  <c r="AB78" i="27"/>
  <c r="Z78" i="27"/>
  <c r="AB77" i="27"/>
  <c r="Z77" i="27"/>
  <c r="AB76" i="27"/>
  <c r="Z76" i="27"/>
  <c r="AB75" i="27"/>
  <c r="Z75" i="27"/>
  <c r="AB74" i="27"/>
  <c r="Z74" i="27"/>
  <c r="AB73" i="27"/>
  <c r="Z73" i="27"/>
  <c r="AB72" i="27"/>
  <c r="Z72" i="27"/>
  <c r="Q72" i="27"/>
  <c r="AB71" i="27"/>
  <c r="Z71" i="27"/>
  <c r="Q71" i="27"/>
  <c r="AB70" i="27"/>
  <c r="Z70" i="27"/>
  <c r="Q70" i="27"/>
  <c r="AB69" i="27"/>
  <c r="Z69" i="27"/>
  <c r="Q69" i="27"/>
  <c r="AB68" i="27"/>
  <c r="Z68" i="27"/>
  <c r="Q68" i="27"/>
  <c r="AB67" i="27"/>
  <c r="Z67" i="27"/>
  <c r="AB66" i="27"/>
  <c r="Z66" i="27"/>
  <c r="AB65" i="27"/>
  <c r="Z65" i="27"/>
  <c r="AB64" i="27"/>
  <c r="Z64" i="27"/>
  <c r="BP38" i="27" a="1"/>
  <c r="BP38" i="27"/>
  <c r="BO38" i="27" a="1"/>
  <c r="BO38" i="27"/>
  <c r="BN38" i="27" a="1"/>
  <c r="BN38" i="27"/>
  <c r="BM38" i="27" a="1"/>
  <c r="BM38" i="27"/>
  <c r="BL38" i="27" a="1"/>
  <c r="BL38" i="27"/>
  <c r="BK38" i="27" a="1"/>
  <c r="BK38" i="27"/>
  <c r="BJ38" i="27" a="1"/>
  <c r="BJ38" i="27"/>
  <c r="BI38" i="27" a="1"/>
  <c r="BI38" i="27"/>
  <c r="BH38" i="27" a="1"/>
  <c r="BH38" i="27"/>
  <c r="BG38" i="27" a="1"/>
  <c r="BG38" i="27"/>
  <c r="BF38" i="27" a="1"/>
  <c r="BF38" i="27"/>
  <c r="BE38" i="27" a="1"/>
  <c r="BE38" i="27"/>
  <c r="BD38" i="27" a="1"/>
  <c r="BD38" i="27"/>
  <c r="BC38" i="27" a="1"/>
  <c r="BC38" i="27"/>
  <c r="BB38" i="27" a="1"/>
  <c r="BB38" i="27"/>
  <c r="BA38" i="27" a="1"/>
  <c r="BA38" i="27"/>
  <c r="AZ38" i="27" a="1"/>
  <c r="AZ38" i="27"/>
  <c r="AY38" i="27" a="1"/>
  <c r="AY38" i="27"/>
  <c r="AX38" i="27" a="1"/>
  <c r="AX38" i="27"/>
  <c r="AW38" i="27" a="1"/>
  <c r="AW38" i="27"/>
  <c r="AV38" i="27" a="1"/>
  <c r="AV38" i="27"/>
  <c r="AU38" i="27" a="1"/>
  <c r="AU38" i="27"/>
  <c r="AT38" i="27" a="1"/>
  <c r="AT38" i="27"/>
  <c r="AS38" i="27" a="1"/>
  <c r="AS38" i="27"/>
  <c r="AR38" i="27" a="1"/>
  <c r="AR38" i="27"/>
  <c r="AQ38" i="27" a="1"/>
  <c r="AQ38" i="27"/>
  <c r="AP38" i="27" a="1"/>
  <c r="AP38" i="27"/>
  <c r="AO38" i="27" a="1"/>
  <c r="AO38" i="27"/>
  <c r="AN38" i="27" a="1"/>
  <c r="AN38" i="27"/>
  <c r="AM38" i="27" a="1"/>
  <c r="AM38" i="27"/>
  <c r="AL38" i="27" a="1"/>
  <c r="AL38" i="27"/>
  <c r="AK38" i="27" a="1"/>
  <c r="AK38" i="27"/>
  <c r="AJ38" i="27" a="1"/>
  <c r="AJ38" i="27"/>
  <c r="AI38" i="27" a="1"/>
  <c r="AI38" i="27"/>
  <c r="AH38" i="27" a="1"/>
  <c r="AH38" i="27"/>
  <c r="AG38" i="27" a="1"/>
  <c r="AG38" i="27"/>
  <c r="AF38" i="27" a="1"/>
  <c r="AF38" i="27"/>
  <c r="AE38" i="27" a="1"/>
  <c r="AE38" i="27"/>
  <c r="AD38" i="27" a="1"/>
  <c r="AD38" i="27"/>
  <c r="AC38" i="27" a="1"/>
  <c r="AC38" i="27"/>
  <c r="AB38" i="27" a="1"/>
  <c r="AB38" i="27"/>
  <c r="AA38" i="27" a="1"/>
  <c r="AA38" i="27"/>
  <c r="Z38" i="27" a="1"/>
  <c r="Z38" i="27"/>
  <c r="Y38" i="27" a="1"/>
  <c r="Y38" i="27"/>
  <c r="X38" i="27" a="1"/>
  <c r="X38" i="27"/>
  <c r="W38" i="27" a="1"/>
  <c r="W38" i="27"/>
  <c r="V38" i="27" a="1"/>
  <c r="V38" i="27"/>
  <c r="U38" i="27" a="1"/>
  <c r="U38" i="27"/>
  <c r="T38" i="27" a="1"/>
  <c r="T38" i="27"/>
  <c r="S38" i="27" a="1"/>
  <c r="S38" i="27"/>
  <c r="R38" i="27" a="1"/>
  <c r="R38" i="27"/>
  <c r="Q38" i="27" a="1"/>
  <c r="Q38" i="27"/>
  <c r="P38" i="27" a="1"/>
  <c r="P38" i="27"/>
  <c r="O38" i="27" a="1"/>
  <c r="O38" i="27"/>
  <c r="N38" i="27" a="1"/>
  <c r="N38" i="27"/>
  <c r="M38" i="27" a="1"/>
  <c r="M38" i="27"/>
  <c r="L38" i="27" a="1"/>
  <c r="L38" i="27"/>
  <c r="K38" i="27" a="1"/>
  <c r="K38" i="27"/>
  <c r="J38" i="27" a="1"/>
  <c r="J38" i="27"/>
  <c r="I38" i="27" a="1"/>
  <c r="I38" i="27"/>
  <c r="H38" i="27" a="1"/>
  <c r="H38" i="27"/>
  <c r="G38" i="27" a="1"/>
  <c r="G38" i="27"/>
  <c r="F38" i="27" a="1"/>
  <c r="F38" i="27"/>
  <c r="E38" i="27" a="1"/>
  <c r="E38" i="27"/>
  <c r="C38" i="27"/>
  <c r="BP37" i="27" a="1"/>
  <c r="BP37" i="27"/>
  <c r="BO37" i="27" a="1"/>
  <c r="BO37" i="27"/>
  <c r="BN37" i="27" a="1"/>
  <c r="BN37" i="27"/>
  <c r="BM37" i="27" a="1"/>
  <c r="BM37" i="27"/>
  <c r="BL37" i="27" a="1"/>
  <c r="BL37" i="27"/>
  <c r="BK37" i="27" a="1"/>
  <c r="BK37" i="27"/>
  <c r="BJ37" i="27" a="1"/>
  <c r="BJ37" i="27"/>
  <c r="BI37" i="27" a="1"/>
  <c r="BI37" i="27"/>
  <c r="BH37" i="27" a="1"/>
  <c r="BH37" i="27"/>
  <c r="BG37" i="27" a="1"/>
  <c r="BG37" i="27"/>
  <c r="BF37" i="27" a="1"/>
  <c r="BF37" i="27"/>
  <c r="BE37" i="27" a="1"/>
  <c r="BE37" i="27"/>
  <c r="BD37" i="27" a="1"/>
  <c r="BD37" i="27"/>
  <c r="BC37" i="27" a="1"/>
  <c r="BC37" i="27"/>
  <c r="BB37" i="27" a="1"/>
  <c r="BB37" i="27"/>
  <c r="BA37" i="27" a="1"/>
  <c r="BA37" i="27"/>
  <c r="AZ37" i="27" a="1"/>
  <c r="AZ37" i="27"/>
  <c r="AY37" i="27" a="1"/>
  <c r="AY37" i="27"/>
  <c r="AX37" i="27" a="1"/>
  <c r="AX37" i="27"/>
  <c r="AW37" i="27" a="1"/>
  <c r="AW37" i="27"/>
  <c r="AV37" i="27" a="1"/>
  <c r="AV37" i="27"/>
  <c r="AU37" i="27" a="1"/>
  <c r="AU37" i="27"/>
  <c r="AT37" i="27" a="1"/>
  <c r="AT37" i="27"/>
  <c r="AS37" i="27" a="1"/>
  <c r="AS37" i="27"/>
  <c r="AR37" i="27" a="1"/>
  <c r="AR37" i="27"/>
  <c r="AQ37" i="27" a="1"/>
  <c r="AQ37" i="27"/>
  <c r="AP37" i="27" a="1"/>
  <c r="AP37" i="27"/>
  <c r="AO37" i="27" a="1"/>
  <c r="AO37" i="27"/>
  <c r="AN37" i="27" a="1"/>
  <c r="AN37" i="27"/>
  <c r="AM37" i="27" a="1"/>
  <c r="AM37" i="27"/>
  <c r="AL37" i="27" a="1"/>
  <c r="AL37" i="27"/>
  <c r="AK37" i="27" a="1"/>
  <c r="AK37" i="27"/>
  <c r="AJ37" i="27" a="1"/>
  <c r="AJ37" i="27"/>
  <c r="AI37" i="27" a="1"/>
  <c r="AI37" i="27"/>
  <c r="AH37" i="27" a="1"/>
  <c r="AH37" i="27"/>
  <c r="AG37" i="27" a="1"/>
  <c r="AG37" i="27"/>
  <c r="AF37" i="27" a="1"/>
  <c r="AF37" i="27"/>
  <c r="AE37" i="27" a="1"/>
  <c r="AE37" i="27"/>
  <c r="AD37" i="27" a="1"/>
  <c r="AD37" i="27"/>
  <c r="AC37" i="27" a="1"/>
  <c r="AC37" i="27"/>
  <c r="AB37" i="27" a="1"/>
  <c r="AB37" i="27"/>
  <c r="AA37" i="27" a="1"/>
  <c r="AA37" i="27"/>
  <c r="Z37" i="27" a="1"/>
  <c r="Z37" i="27"/>
  <c r="Y37" i="27" a="1"/>
  <c r="Y37" i="27"/>
  <c r="X37" i="27" a="1"/>
  <c r="X37" i="27"/>
  <c r="W37" i="27" a="1"/>
  <c r="W37" i="27"/>
  <c r="V37" i="27" a="1"/>
  <c r="V37" i="27"/>
  <c r="U37" i="27" a="1"/>
  <c r="U37" i="27"/>
  <c r="T37" i="27" a="1"/>
  <c r="T37" i="27"/>
  <c r="S37" i="27" a="1"/>
  <c r="S37" i="27"/>
  <c r="R37" i="27" a="1"/>
  <c r="R37" i="27"/>
  <c r="Q37" i="27" a="1"/>
  <c r="Q37" i="27"/>
  <c r="P37" i="27" a="1"/>
  <c r="P37" i="27"/>
  <c r="O37" i="27" a="1"/>
  <c r="O37" i="27"/>
  <c r="N37" i="27" a="1"/>
  <c r="N37" i="27"/>
  <c r="M37" i="27" a="1"/>
  <c r="M37" i="27"/>
  <c r="L37" i="27" a="1"/>
  <c r="L37" i="27"/>
  <c r="K37" i="27" a="1"/>
  <c r="K37" i="27"/>
  <c r="J37" i="27" a="1"/>
  <c r="J37" i="27"/>
  <c r="I37" i="27" a="1"/>
  <c r="I37" i="27"/>
  <c r="H37" i="27" a="1"/>
  <c r="H37" i="27"/>
  <c r="G37" i="27" a="1"/>
  <c r="G37" i="27"/>
  <c r="F37" i="27" a="1"/>
  <c r="F37" i="27"/>
  <c r="E37" i="27" a="1"/>
  <c r="E37" i="27"/>
  <c r="C37" i="27"/>
  <c r="BP36" i="27" a="1"/>
  <c r="BP36" i="27"/>
  <c r="BO36" i="27" a="1"/>
  <c r="BO36" i="27"/>
  <c r="BN36" i="27" a="1"/>
  <c r="BN36" i="27"/>
  <c r="BM36" i="27" a="1"/>
  <c r="BM36" i="27"/>
  <c r="BL36" i="27" a="1"/>
  <c r="BL36" i="27"/>
  <c r="BK36" i="27" a="1"/>
  <c r="BK36" i="27"/>
  <c r="BJ36" i="27" a="1"/>
  <c r="BJ36" i="27"/>
  <c r="BI36" i="27" a="1"/>
  <c r="BI36" i="27"/>
  <c r="BH36" i="27" a="1"/>
  <c r="BH36" i="27"/>
  <c r="BG36" i="27" a="1"/>
  <c r="BG36" i="27"/>
  <c r="BF36" i="27" a="1"/>
  <c r="BF36" i="27"/>
  <c r="BE36" i="27" a="1"/>
  <c r="BE36" i="27"/>
  <c r="BD36" i="27" a="1"/>
  <c r="BD36" i="27"/>
  <c r="BC36" i="27" a="1"/>
  <c r="BC36" i="27"/>
  <c r="BB36" i="27" a="1"/>
  <c r="BB36" i="27"/>
  <c r="BA36" i="27" a="1"/>
  <c r="BA36" i="27"/>
  <c r="AZ36" i="27" a="1"/>
  <c r="AZ36" i="27"/>
  <c r="AY36" i="27" a="1"/>
  <c r="AY36" i="27"/>
  <c r="AX36" i="27" a="1"/>
  <c r="AX36" i="27"/>
  <c r="AW36" i="27" a="1"/>
  <c r="AW36" i="27"/>
  <c r="AV36" i="27" a="1"/>
  <c r="AV36" i="27"/>
  <c r="AU36" i="27" a="1"/>
  <c r="AU36" i="27"/>
  <c r="AT36" i="27" a="1"/>
  <c r="AT36" i="27"/>
  <c r="AS36" i="27" a="1"/>
  <c r="AS36" i="27"/>
  <c r="AR36" i="27" a="1"/>
  <c r="AR36" i="27"/>
  <c r="AQ36" i="27" a="1"/>
  <c r="AQ36" i="27"/>
  <c r="AP36" i="27" a="1"/>
  <c r="AP36" i="27"/>
  <c r="AO36" i="27" a="1"/>
  <c r="AO36" i="27"/>
  <c r="AN36" i="27" a="1"/>
  <c r="AN36" i="27"/>
  <c r="AM36" i="27" a="1"/>
  <c r="AM36" i="27"/>
  <c r="AL36" i="27" a="1"/>
  <c r="AL36" i="27"/>
  <c r="AK36" i="27" a="1"/>
  <c r="AK36" i="27"/>
  <c r="AJ36" i="27" a="1"/>
  <c r="AJ36" i="27"/>
  <c r="AI36" i="27" a="1"/>
  <c r="AI36" i="27"/>
  <c r="AH36" i="27" a="1"/>
  <c r="AH36" i="27"/>
  <c r="AG36" i="27" a="1"/>
  <c r="AG36" i="27"/>
  <c r="AF36" i="27" a="1"/>
  <c r="AF36" i="27"/>
  <c r="AE36" i="27" a="1"/>
  <c r="AE36" i="27"/>
  <c r="AD36" i="27" a="1"/>
  <c r="AD36" i="27"/>
  <c r="AC36" i="27" a="1"/>
  <c r="AC36" i="27"/>
  <c r="AB36" i="27" a="1"/>
  <c r="AB36" i="27"/>
  <c r="AA36" i="27" a="1"/>
  <c r="AA36" i="27"/>
  <c r="Z36" i="27" a="1"/>
  <c r="Z36" i="27"/>
  <c r="Y36" i="27" a="1"/>
  <c r="Y36" i="27"/>
  <c r="X36" i="27" a="1"/>
  <c r="X36" i="27"/>
  <c r="W36" i="27" a="1"/>
  <c r="W36" i="27"/>
  <c r="V36" i="27" a="1"/>
  <c r="V36" i="27"/>
  <c r="U36" i="27" a="1"/>
  <c r="U36" i="27"/>
  <c r="T36" i="27" a="1"/>
  <c r="T36" i="27"/>
  <c r="S36" i="27" a="1"/>
  <c r="S36" i="27"/>
  <c r="R36" i="27" a="1"/>
  <c r="R36" i="27"/>
  <c r="Q36" i="27" a="1"/>
  <c r="Q36" i="27"/>
  <c r="P36" i="27" a="1"/>
  <c r="P36" i="27"/>
  <c r="O36" i="27" a="1"/>
  <c r="O36" i="27"/>
  <c r="N36" i="27" a="1"/>
  <c r="N36" i="27"/>
  <c r="M36" i="27" a="1"/>
  <c r="M36" i="27"/>
  <c r="L36" i="27" a="1"/>
  <c r="L36" i="27"/>
  <c r="K36" i="27" a="1"/>
  <c r="K36" i="27"/>
  <c r="J36" i="27" a="1"/>
  <c r="J36" i="27"/>
  <c r="I36" i="27" a="1"/>
  <c r="I36" i="27"/>
  <c r="H36" i="27" a="1"/>
  <c r="H36" i="27"/>
  <c r="G36" i="27" a="1"/>
  <c r="G36" i="27"/>
  <c r="F36" i="27" a="1"/>
  <c r="F36" i="27"/>
  <c r="E36" i="27" a="1"/>
  <c r="E36" i="27"/>
  <c r="C36" i="27"/>
  <c r="C35" i="27"/>
  <c r="C34" i="27"/>
  <c r="C33" i="27"/>
  <c r="C32" i="27"/>
  <c r="C31" i="27"/>
  <c r="C30" i="27"/>
  <c r="AD25" i="27"/>
  <c r="AF25" i="27"/>
  <c r="AA25" i="27"/>
  <c r="I25" i="27"/>
  <c r="G25" i="27"/>
  <c r="F25" i="27"/>
  <c r="E25" i="27"/>
  <c r="D25" i="27"/>
  <c r="AD24" i="27"/>
  <c r="AF24" i="27"/>
  <c r="AA24" i="27"/>
  <c r="I24" i="27"/>
  <c r="G24" i="27"/>
  <c r="F24" i="27"/>
  <c r="E24" i="27"/>
  <c r="D24" i="27"/>
  <c r="AD23" i="27"/>
  <c r="AF23" i="27"/>
  <c r="AA23" i="27"/>
  <c r="I23" i="27"/>
  <c r="G23" i="27"/>
  <c r="F23" i="27"/>
  <c r="E23" i="27"/>
  <c r="D23" i="27"/>
  <c r="AD22" i="27"/>
  <c r="AF22" i="27"/>
  <c r="I22" i="27"/>
  <c r="G22" i="27"/>
  <c r="F22" i="27"/>
  <c r="E22" i="27"/>
  <c r="D22" i="27"/>
  <c r="AD21" i="27"/>
  <c r="AF21" i="27"/>
  <c r="I21" i="27"/>
  <c r="G21" i="27"/>
  <c r="F21" i="27"/>
  <c r="E21" i="27"/>
  <c r="D21" i="27"/>
  <c r="AD20" i="27"/>
  <c r="AF20" i="27"/>
  <c r="I20" i="27"/>
  <c r="G20" i="27"/>
  <c r="F20" i="27"/>
  <c r="E20" i="27"/>
  <c r="D20" i="27"/>
  <c r="AD19" i="27"/>
  <c r="AF19" i="27"/>
  <c r="I19" i="27"/>
  <c r="G19" i="27"/>
  <c r="F19" i="27"/>
  <c r="E19" i="27"/>
  <c r="D19" i="27"/>
  <c r="AD18" i="27"/>
  <c r="AF18" i="27"/>
  <c r="I18" i="27"/>
  <c r="G18" i="27"/>
  <c r="F18" i="27"/>
  <c r="E18" i="27"/>
  <c r="D18" i="27"/>
  <c r="AD17" i="27"/>
  <c r="AF17" i="27"/>
  <c r="I17" i="27"/>
  <c r="G17" i="27"/>
  <c r="F17" i="27"/>
  <c r="E17" i="27"/>
  <c r="D17" i="27"/>
  <c r="B13" i="27"/>
  <c r="Z19" i="27"/>
  <c r="Z20" i="27"/>
  <c r="Z17" i="27"/>
  <c r="Z18" i="27"/>
  <c r="F13" i="26"/>
  <c r="B13" i="26"/>
  <c r="I11" i="21"/>
  <c r="V100" i="26"/>
  <c r="W100" i="26"/>
  <c r="X100" i="26"/>
  <c r="Y100" i="26"/>
  <c r="V101" i="26"/>
  <c r="W101" i="26"/>
  <c r="X101" i="26"/>
  <c r="Y101" i="26"/>
  <c r="V102" i="26"/>
  <c r="W102" i="26"/>
  <c r="X102" i="26"/>
  <c r="Y102" i="26"/>
  <c r="V103" i="26"/>
  <c r="W103" i="26"/>
  <c r="X103" i="26"/>
  <c r="Y103" i="26"/>
  <c r="V104" i="26"/>
  <c r="W104" i="26"/>
  <c r="X104" i="26"/>
  <c r="Y104" i="26"/>
  <c r="V105" i="26"/>
  <c r="W105" i="26"/>
  <c r="X105" i="26"/>
  <c r="Y105" i="26"/>
  <c r="V106" i="26"/>
  <c r="W106" i="26"/>
  <c r="X106" i="26"/>
  <c r="Y106" i="26"/>
  <c r="V107" i="26"/>
  <c r="W107" i="26"/>
  <c r="X107" i="26"/>
  <c r="Y107" i="26"/>
  <c r="V108" i="26"/>
  <c r="W108" i="26"/>
  <c r="X108" i="26"/>
  <c r="Y108" i="26"/>
  <c r="Q68" i="26"/>
  <c r="Q69" i="26"/>
  <c r="M13" i="21"/>
  <c r="M15" i="21"/>
  <c r="M16" i="21"/>
  <c r="M17" i="21"/>
  <c r="M18" i="21"/>
  <c r="M19" i="21"/>
  <c r="M20" i="21"/>
  <c r="M21" i="21"/>
  <c r="M23" i="21"/>
  <c r="L11" i="21"/>
  <c r="V135" i="26"/>
  <c r="W135" i="26"/>
  <c r="X135" i="26"/>
  <c r="Y135" i="26"/>
  <c r="AA135" i="26"/>
  <c r="AA207" i="26"/>
  <c r="AB207" i="26"/>
  <c r="Z207" i="26"/>
  <c r="V134" i="26"/>
  <c r="W134" i="26"/>
  <c r="X134" i="26"/>
  <c r="Y134" i="26"/>
  <c r="AA134" i="26"/>
  <c r="AA206" i="26"/>
  <c r="AB206" i="26"/>
  <c r="Z206" i="26"/>
  <c r="V133" i="26"/>
  <c r="W133" i="26"/>
  <c r="X133" i="26"/>
  <c r="Y133" i="26"/>
  <c r="AA133" i="26"/>
  <c r="AA205" i="26"/>
  <c r="AB205" i="26"/>
  <c r="Z205" i="26"/>
  <c r="V132" i="26"/>
  <c r="W132" i="26"/>
  <c r="X132" i="26"/>
  <c r="Y132" i="26"/>
  <c r="AA132" i="26"/>
  <c r="AA204" i="26"/>
  <c r="AB204" i="26"/>
  <c r="Z204" i="26"/>
  <c r="V131" i="26"/>
  <c r="W131" i="26"/>
  <c r="X131" i="26"/>
  <c r="Y131" i="26"/>
  <c r="AA131" i="26"/>
  <c r="AA203" i="26"/>
  <c r="AB203" i="26"/>
  <c r="Z203" i="26"/>
  <c r="V130" i="26"/>
  <c r="W130" i="26"/>
  <c r="X130" i="26"/>
  <c r="Y130" i="26"/>
  <c r="AA130" i="26"/>
  <c r="AA202" i="26"/>
  <c r="AB202" i="26"/>
  <c r="Z202" i="26"/>
  <c r="V129" i="26"/>
  <c r="W129" i="26"/>
  <c r="X129" i="26"/>
  <c r="Y129" i="26"/>
  <c r="AA129" i="26"/>
  <c r="AA201" i="26"/>
  <c r="AB201" i="26"/>
  <c r="Z201" i="26"/>
  <c r="V128" i="26"/>
  <c r="W128" i="26"/>
  <c r="X128" i="26"/>
  <c r="Y128" i="26"/>
  <c r="AA128" i="26"/>
  <c r="AA200" i="26"/>
  <c r="AB200" i="26"/>
  <c r="Z200" i="26"/>
  <c r="V127" i="26"/>
  <c r="W127" i="26"/>
  <c r="X127" i="26"/>
  <c r="Y127" i="26"/>
  <c r="AA127" i="26"/>
  <c r="AA199" i="26"/>
  <c r="AB199" i="26"/>
  <c r="Z199" i="26"/>
  <c r="V126" i="26"/>
  <c r="W126" i="26"/>
  <c r="X126" i="26"/>
  <c r="Y126" i="26"/>
  <c r="AA126" i="26"/>
  <c r="AA198" i="26"/>
  <c r="AB198" i="26"/>
  <c r="Z198" i="26"/>
  <c r="V125" i="26"/>
  <c r="W125" i="26"/>
  <c r="X125" i="26"/>
  <c r="Y125" i="26"/>
  <c r="AA125" i="26"/>
  <c r="AA197" i="26"/>
  <c r="AB197" i="26"/>
  <c r="Z197" i="26"/>
  <c r="V124" i="26"/>
  <c r="W124" i="26"/>
  <c r="X124" i="26"/>
  <c r="Y124" i="26"/>
  <c r="AA124" i="26"/>
  <c r="AA196" i="26"/>
  <c r="AB196" i="26"/>
  <c r="Z196" i="26"/>
  <c r="V123" i="26"/>
  <c r="W123" i="26"/>
  <c r="X123" i="26"/>
  <c r="Y123" i="26"/>
  <c r="AA123" i="26"/>
  <c r="AA195" i="26"/>
  <c r="AB195" i="26"/>
  <c r="Z195" i="26"/>
  <c r="V122" i="26"/>
  <c r="W122" i="26"/>
  <c r="X122" i="26"/>
  <c r="Y122" i="26"/>
  <c r="AA122" i="26"/>
  <c r="AA194" i="26"/>
  <c r="AB194" i="26"/>
  <c r="Z194" i="26"/>
  <c r="V121" i="26"/>
  <c r="W121" i="26"/>
  <c r="X121" i="26"/>
  <c r="Y121" i="26"/>
  <c r="AA121" i="26"/>
  <c r="AA193" i="26"/>
  <c r="AB193" i="26"/>
  <c r="Z193" i="26"/>
  <c r="V120" i="26"/>
  <c r="W120" i="26"/>
  <c r="X120" i="26"/>
  <c r="Y120" i="26"/>
  <c r="AA120" i="26"/>
  <c r="AA192" i="26"/>
  <c r="AB192" i="26"/>
  <c r="Z192" i="26"/>
  <c r="V119" i="26"/>
  <c r="W119" i="26"/>
  <c r="X119" i="26"/>
  <c r="Y119" i="26"/>
  <c r="AA119" i="26"/>
  <c r="AA191" i="26"/>
  <c r="AB191" i="26"/>
  <c r="Z191" i="26"/>
  <c r="V118" i="26"/>
  <c r="W118" i="26"/>
  <c r="X118" i="26"/>
  <c r="Y118" i="26"/>
  <c r="AA118" i="26"/>
  <c r="AA190" i="26"/>
  <c r="AB190" i="26"/>
  <c r="Z190" i="26"/>
  <c r="V117" i="26"/>
  <c r="W117" i="26"/>
  <c r="X117" i="26"/>
  <c r="Y117" i="26"/>
  <c r="AA117" i="26"/>
  <c r="AA189" i="26"/>
  <c r="AB189" i="26"/>
  <c r="Z189" i="26"/>
  <c r="V116" i="26"/>
  <c r="W116" i="26"/>
  <c r="X116" i="26"/>
  <c r="Y116" i="26"/>
  <c r="AA116" i="26"/>
  <c r="AA188" i="26"/>
  <c r="AB188" i="26"/>
  <c r="Z188" i="26"/>
  <c r="V115" i="26"/>
  <c r="W115" i="26"/>
  <c r="X115" i="26"/>
  <c r="Y115" i="26"/>
  <c r="AA115" i="26"/>
  <c r="AA187" i="26"/>
  <c r="AB187" i="26"/>
  <c r="Z187" i="26"/>
  <c r="V114" i="26"/>
  <c r="W114" i="26"/>
  <c r="X114" i="26"/>
  <c r="Y114" i="26"/>
  <c r="AA114" i="26"/>
  <c r="AA186" i="26"/>
  <c r="AB186" i="26"/>
  <c r="Z186" i="26"/>
  <c r="V113" i="26"/>
  <c r="W113" i="26"/>
  <c r="X113" i="26"/>
  <c r="Y113" i="26"/>
  <c r="AA113" i="26"/>
  <c r="AA185" i="26"/>
  <c r="AB185" i="26"/>
  <c r="Z185" i="26"/>
  <c r="V112" i="26"/>
  <c r="W112" i="26"/>
  <c r="X112" i="26"/>
  <c r="Y112" i="26"/>
  <c r="AA112" i="26"/>
  <c r="AA184" i="26"/>
  <c r="AB184" i="26"/>
  <c r="Z184" i="26"/>
  <c r="V111" i="26"/>
  <c r="W111" i="26"/>
  <c r="X111" i="26"/>
  <c r="Y111" i="26"/>
  <c r="AA111" i="26"/>
  <c r="AA183" i="26"/>
  <c r="AB183" i="26"/>
  <c r="Z183" i="26"/>
  <c r="V110" i="26"/>
  <c r="W110" i="26"/>
  <c r="X110" i="26"/>
  <c r="Y110" i="26"/>
  <c r="AA110" i="26"/>
  <c r="AA182" i="26"/>
  <c r="AB182" i="26"/>
  <c r="Z182" i="26"/>
  <c r="V109" i="26"/>
  <c r="W109" i="26"/>
  <c r="X109" i="26"/>
  <c r="Y109" i="26"/>
  <c r="AA109" i="26"/>
  <c r="AA181" i="26"/>
  <c r="AB181" i="26"/>
  <c r="Z181" i="26"/>
  <c r="AA108" i="26"/>
  <c r="AA180" i="26"/>
  <c r="AB180" i="26"/>
  <c r="Z180" i="26"/>
  <c r="AA107" i="26"/>
  <c r="AA179" i="26"/>
  <c r="AB179" i="26"/>
  <c r="Z179" i="26"/>
  <c r="AA106" i="26"/>
  <c r="AA178" i="26"/>
  <c r="AB178" i="26"/>
  <c r="Z178" i="26"/>
  <c r="AA105" i="26"/>
  <c r="AA177" i="26"/>
  <c r="AB177" i="26"/>
  <c r="Z177" i="26"/>
  <c r="AA104" i="26"/>
  <c r="AA176" i="26"/>
  <c r="AB176" i="26"/>
  <c r="Z176" i="26"/>
  <c r="AA103" i="26"/>
  <c r="AA175" i="26"/>
  <c r="AB175" i="26"/>
  <c r="Z175" i="26"/>
  <c r="AA102" i="26"/>
  <c r="AA174" i="26"/>
  <c r="AB174" i="26"/>
  <c r="Z174" i="26"/>
  <c r="AA101" i="26"/>
  <c r="AA173" i="26"/>
  <c r="AB173" i="26"/>
  <c r="Z173" i="26"/>
  <c r="AA172" i="26"/>
  <c r="AB172" i="26"/>
  <c r="Z172" i="26"/>
  <c r="AA171" i="26"/>
  <c r="AB171" i="26"/>
  <c r="Z171" i="26"/>
  <c r="AA170" i="26"/>
  <c r="AB170" i="26"/>
  <c r="Z170" i="26"/>
  <c r="AA169" i="26"/>
  <c r="AB169" i="26"/>
  <c r="Z169" i="26"/>
  <c r="AA168" i="26"/>
  <c r="AB168" i="26"/>
  <c r="Z168" i="26"/>
  <c r="AA167" i="26"/>
  <c r="AB167" i="26"/>
  <c r="Z167" i="26"/>
  <c r="AA166" i="26"/>
  <c r="AB166" i="26"/>
  <c r="Z166" i="26"/>
  <c r="AA165" i="26"/>
  <c r="AB165" i="26"/>
  <c r="Z165" i="26"/>
  <c r="AA164" i="26"/>
  <c r="AB164" i="26"/>
  <c r="Z164" i="26"/>
  <c r="AA163" i="26"/>
  <c r="AB163" i="26"/>
  <c r="Z163" i="26"/>
  <c r="AA162" i="26"/>
  <c r="AB162" i="26"/>
  <c r="Z162" i="26"/>
  <c r="AA161" i="26"/>
  <c r="AB161" i="26"/>
  <c r="Z161" i="26"/>
  <c r="AA160" i="26"/>
  <c r="AB160" i="26"/>
  <c r="Z160" i="26"/>
  <c r="AA159" i="26"/>
  <c r="AB159" i="26"/>
  <c r="Z159" i="26"/>
  <c r="AA158" i="26"/>
  <c r="AB158" i="26"/>
  <c r="Z158" i="26"/>
  <c r="AA157" i="26"/>
  <c r="AB157" i="26"/>
  <c r="Z157" i="26"/>
  <c r="AA156" i="26"/>
  <c r="AB156" i="26"/>
  <c r="Z156" i="26"/>
  <c r="AA155" i="26"/>
  <c r="AB155" i="26"/>
  <c r="Z155" i="26"/>
  <c r="AA154" i="26"/>
  <c r="AB154" i="26"/>
  <c r="Z154" i="26"/>
  <c r="AA153" i="26"/>
  <c r="AB153" i="26"/>
  <c r="Z153" i="26"/>
  <c r="AA152" i="26"/>
  <c r="AB152" i="26"/>
  <c r="Z152" i="26"/>
  <c r="AA151" i="26"/>
  <c r="AB151" i="26"/>
  <c r="Z151" i="26"/>
  <c r="AA150" i="26"/>
  <c r="AB150" i="26"/>
  <c r="Z150" i="26"/>
  <c r="AA149" i="26"/>
  <c r="AB149" i="26"/>
  <c r="Z149" i="26"/>
  <c r="AA148" i="26"/>
  <c r="AB148" i="26"/>
  <c r="Z148" i="26"/>
  <c r="AA147" i="26"/>
  <c r="AB147" i="26"/>
  <c r="Z147" i="26"/>
  <c r="AA146" i="26"/>
  <c r="AB146" i="26"/>
  <c r="Z146" i="26"/>
  <c r="AA145" i="26"/>
  <c r="AB145" i="26"/>
  <c r="Z145" i="26"/>
  <c r="AA144" i="26"/>
  <c r="AB144" i="26"/>
  <c r="Z144" i="26"/>
  <c r="AA143" i="26"/>
  <c r="AB143" i="26"/>
  <c r="Z143" i="26"/>
  <c r="AA142" i="26"/>
  <c r="AB142" i="26"/>
  <c r="Z142" i="26"/>
  <c r="AA141" i="26"/>
  <c r="AB141" i="26"/>
  <c r="Z141" i="26"/>
  <c r="AA140" i="26"/>
  <c r="AB140" i="26"/>
  <c r="Z140" i="26"/>
  <c r="AA139" i="26"/>
  <c r="AB139" i="26"/>
  <c r="Z139" i="26"/>
  <c r="AA138" i="26"/>
  <c r="AB138" i="26"/>
  <c r="Z138" i="26"/>
  <c r="AA137" i="26"/>
  <c r="AB137" i="26"/>
  <c r="Z137" i="26"/>
  <c r="AA136" i="26"/>
  <c r="AB136" i="26"/>
  <c r="Z136" i="26"/>
  <c r="AF135" i="26"/>
  <c r="AE135" i="26"/>
  <c r="AB135" i="26"/>
  <c r="Z135" i="26"/>
  <c r="AF134" i="26"/>
  <c r="AE134" i="26"/>
  <c r="AB134" i="26"/>
  <c r="Z134" i="26"/>
  <c r="AF133" i="26"/>
  <c r="AE133" i="26"/>
  <c r="AB133" i="26"/>
  <c r="Z133" i="26"/>
  <c r="AF132" i="26"/>
  <c r="AE132" i="26"/>
  <c r="AB132" i="26"/>
  <c r="Z132" i="26"/>
  <c r="AF131" i="26"/>
  <c r="AE131" i="26"/>
  <c r="AB131" i="26"/>
  <c r="Z131" i="26"/>
  <c r="AF130" i="26"/>
  <c r="AE130" i="26"/>
  <c r="AB130" i="26"/>
  <c r="Z130" i="26"/>
  <c r="AF129" i="26"/>
  <c r="AE129" i="26"/>
  <c r="AB129" i="26"/>
  <c r="Z129" i="26"/>
  <c r="AF128" i="26"/>
  <c r="AE128" i="26"/>
  <c r="AB128" i="26"/>
  <c r="Z128" i="26"/>
  <c r="AF127" i="26"/>
  <c r="AE127" i="26"/>
  <c r="AB127" i="26"/>
  <c r="Z127" i="26"/>
  <c r="AF126" i="26"/>
  <c r="AE126" i="26"/>
  <c r="AB126" i="26"/>
  <c r="Z126" i="26"/>
  <c r="AF125" i="26"/>
  <c r="AE125" i="26"/>
  <c r="AB125" i="26"/>
  <c r="Z125" i="26"/>
  <c r="AF124" i="26"/>
  <c r="AE124" i="26"/>
  <c r="AB124" i="26"/>
  <c r="Z124" i="26"/>
  <c r="AF123" i="26"/>
  <c r="AE123" i="26"/>
  <c r="AB123" i="26"/>
  <c r="Z123" i="26"/>
  <c r="AF122" i="26"/>
  <c r="AE122" i="26"/>
  <c r="AB122" i="26"/>
  <c r="Z122" i="26"/>
  <c r="AF121" i="26"/>
  <c r="AE121" i="26"/>
  <c r="AB121" i="26"/>
  <c r="Z121" i="26"/>
  <c r="AF120" i="26"/>
  <c r="AE120" i="26"/>
  <c r="AB120" i="26"/>
  <c r="Z120" i="26"/>
  <c r="AF119" i="26"/>
  <c r="AE119" i="26"/>
  <c r="AB119" i="26"/>
  <c r="Z119" i="26"/>
  <c r="AF118" i="26"/>
  <c r="AE118" i="26"/>
  <c r="AB118" i="26"/>
  <c r="Z118" i="26"/>
  <c r="AF117" i="26"/>
  <c r="AE117" i="26"/>
  <c r="AB117" i="26"/>
  <c r="Z117" i="26"/>
  <c r="AF116" i="26"/>
  <c r="AE116" i="26"/>
  <c r="AB116" i="26"/>
  <c r="Z116" i="26"/>
  <c r="AF115" i="26"/>
  <c r="AE115" i="26"/>
  <c r="AB115" i="26"/>
  <c r="Z115" i="26"/>
  <c r="AF114" i="26"/>
  <c r="AE114" i="26"/>
  <c r="AB114" i="26"/>
  <c r="Z114" i="26"/>
  <c r="AF113" i="26"/>
  <c r="AE113" i="26"/>
  <c r="AB113" i="26"/>
  <c r="Z113" i="26"/>
  <c r="AF112" i="26"/>
  <c r="AE112" i="26"/>
  <c r="AB112" i="26"/>
  <c r="Z112" i="26"/>
  <c r="AF111" i="26"/>
  <c r="AE111" i="26"/>
  <c r="AB111" i="26"/>
  <c r="Z111" i="26"/>
  <c r="AF110" i="26"/>
  <c r="AE110" i="26"/>
  <c r="AB110" i="26"/>
  <c r="Z110" i="26"/>
  <c r="AF109" i="26"/>
  <c r="AE109" i="26"/>
  <c r="AB109" i="26"/>
  <c r="Z109" i="26"/>
  <c r="AF108" i="26"/>
  <c r="AE108" i="26"/>
  <c r="AB108" i="26"/>
  <c r="Z108" i="26"/>
  <c r="AF107" i="26"/>
  <c r="AE107" i="26"/>
  <c r="AB107" i="26"/>
  <c r="Z107" i="26"/>
  <c r="AF106" i="26"/>
  <c r="AE106" i="26"/>
  <c r="AB106" i="26"/>
  <c r="Z106" i="26"/>
  <c r="AF105" i="26"/>
  <c r="AE105" i="26"/>
  <c r="AB105" i="26"/>
  <c r="Z105" i="26"/>
  <c r="AF104" i="26"/>
  <c r="AE104" i="26"/>
  <c r="AB104" i="26"/>
  <c r="Z104" i="26"/>
  <c r="AF103" i="26"/>
  <c r="AE103" i="26"/>
  <c r="AB103" i="26"/>
  <c r="Z103" i="26"/>
  <c r="AF102" i="26"/>
  <c r="AE102" i="26"/>
  <c r="AB102" i="26"/>
  <c r="Z102" i="26"/>
  <c r="AF101" i="26"/>
  <c r="AE101" i="26"/>
  <c r="AB101" i="26"/>
  <c r="Z101" i="26"/>
  <c r="AB100" i="26"/>
  <c r="Z100" i="26"/>
  <c r="AB99" i="26"/>
  <c r="Z99" i="26"/>
  <c r="AB98" i="26"/>
  <c r="Z98" i="26"/>
  <c r="AB97" i="26"/>
  <c r="Z97" i="26"/>
  <c r="AB96" i="26"/>
  <c r="Z96" i="26"/>
  <c r="AB95" i="26"/>
  <c r="Z95" i="26"/>
  <c r="AB94" i="26"/>
  <c r="Z94" i="26"/>
  <c r="AB93" i="26"/>
  <c r="Z93" i="26"/>
  <c r="AB92" i="26"/>
  <c r="Z92" i="26"/>
  <c r="AB91" i="26"/>
  <c r="Z91" i="26"/>
  <c r="AB90" i="26"/>
  <c r="Z90" i="26"/>
  <c r="AB89" i="26"/>
  <c r="Z89" i="26"/>
  <c r="AB88" i="26"/>
  <c r="Z88" i="26"/>
  <c r="AB87" i="26"/>
  <c r="Z87" i="26"/>
  <c r="AB86" i="26"/>
  <c r="Z86" i="26"/>
  <c r="AB85" i="26"/>
  <c r="Z85" i="26"/>
  <c r="AB84" i="26"/>
  <c r="Z84" i="26"/>
  <c r="AB83" i="26"/>
  <c r="Z83" i="26"/>
  <c r="AB82" i="26"/>
  <c r="Z82" i="26"/>
  <c r="AB81" i="26"/>
  <c r="Z81" i="26"/>
  <c r="AB80" i="26"/>
  <c r="Z80" i="26"/>
  <c r="AB79" i="26"/>
  <c r="Z79" i="26"/>
  <c r="AB78" i="26"/>
  <c r="Z78" i="26"/>
  <c r="AB77" i="26"/>
  <c r="Z77" i="26"/>
  <c r="AB76" i="26"/>
  <c r="Z76" i="26"/>
  <c r="AB75" i="26"/>
  <c r="Z75" i="26"/>
  <c r="AB74" i="26"/>
  <c r="Z74" i="26"/>
  <c r="AB73" i="26"/>
  <c r="Z73" i="26"/>
  <c r="AB72" i="26"/>
  <c r="Z72" i="26"/>
  <c r="Q72" i="26"/>
  <c r="AB71" i="26"/>
  <c r="Z71" i="26"/>
  <c r="Q71" i="26"/>
  <c r="AB70" i="26"/>
  <c r="Z70" i="26"/>
  <c r="Q70" i="26"/>
  <c r="AB69" i="26"/>
  <c r="Z69" i="26"/>
  <c r="AB68" i="26"/>
  <c r="Z68" i="26"/>
  <c r="AB67" i="26"/>
  <c r="Z67" i="26"/>
  <c r="AB66" i="26"/>
  <c r="Z66" i="26"/>
  <c r="AB65" i="26"/>
  <c r="Z65" i="26"/>
  <c r="AB64" i="26"/>
  <c r="Z64" i="26"/>
  <c r="BP38" i="26" a="1"/>
  <c r="BP38" i="26"/>
  <c r="BO38" i="26" a="1"/>
  <c r="BO38" i="26"/>
  <c r="BN38" i="26" a="1"/>
  <c r="BN38" i="26"/>
  <c r="BM38" i="26" a="1"/>
  <c r="BM38" i="26"/>
  <c r="BL38" i="26" a="1"/>
  <c r="BL38" i="26"/>
  <c r="BK38" i="26" a="1"/>
  <c r="BK38" i="26"/>
  <c r="BJ38" i="26" a="1"/>
  <c r="BJ38" i="26"/>
  <c r="BI38" i="26" a="1"/>
  <c r="BI38" i="26"/>
  <c r="BH38" i="26" a="1"/>
  <c r="BH38" i="26"/>
  <c r="BG38" i="26" a="1"/>
  <c r="BG38" i="26"/>
  <c r="BF38" i="26" a="1"/>
  <c r="BF38" i="26"/>
  <c r="BE38" i="26" a="1"/>
  <c r="BE38" i="26"/>
  <c r="BD38" i="26" a="1"/>
  <c r="BD38" i="26"/>
  <c r="BC38" i="26" a="1"/>
  <c r="BC38" i="26"/>
  <c r="BB38" i="26" a="1"/>
  <c r="BB38" i="26"/>
  <c r="BA38" i="26" a="1"/>
  <c r="BA38" i="26"/>
  <c r="AZ38" i="26" a="1"/>
  <c r="AZ38" i="26"/>
  <c r="AY38" i="26" a="1"/>
  <c r="AY38" i="26"/>
  <c r="AX38" i="26" a="1"/>
  <c r="AX38" i="26"/>
  <c r="AW38" i="26" a="1"/>
  <c r="AW38" i="26"/>
  <c r="AV38" i="26" a="1"/>
  <c r="AV38" i="26"/>
  <c r="AU38" i="26" a="1"/>
  <c r="AU38" i="26"/>
  <c r="AT38" i="26" a="1"/>
  <c r="AT38" i="26"/>
  <c r="AS38" i="26" a="1"/>
  <c r="AS38" i="26"/>
  <c r="AR38" i="26" a="1"/>
  <c r="AR38" i="26"/>
  <c r="AQ38" i="26" a="1"/>
  <c r="AQ38" i="26"/>
  <c r="AP38" i="26" a="1"/>
  <c r="AP38" i="26"/>
  <c r="AO38" i="26" a="1"/>
  <c r="AO38" i="26"/>
  <c r="AN38" i="26" a="1"/>
  <c r="AN38" i="26"/>
  <c r="AM38" i="26" a="1"/>
  <c r="AM38" i="26"/>
  <c r="AL38" i="26" a="1"/>
  <c r="AL38" i="26"/>
  <c r="AK38" i="26" a="1"/>
  <c r="AK38" i="26"/>
  <c r="AJ38" i="26" a="1"/>
  <c r="AJ38" i="26"/>
  <c r="AI38" i="26" a="1"/>
  <c r="AI38" i="26"/>
  <c r="AH38" i="26" a="1"/>
  <c r="AH38" i="26"/>
  <c r="AG38" i="26" a="1"/>
  <c r="AG38" i="26"/>
  <c r="AF38" i="26" a="1"/>
  <c r="AF38" i="26"/>
  <c r="AE38" i="26" a="1"/>
  <c r="AE38" i="26"/>
  <c r="AD38" i="26" a="1"/>
  <c r="AD38" i="26"/>
  <c r="AC38" i="26" a="1"/>
  <c r="AC38" i="26"/>
  <c r="AB38" i="26" a="1"/>
  <c r="AB38" i="26"/>
  <c r="AA38" i="26" a="1"/>
  <c r="AA38" i="26"/>
  <c r="Z38" i="26" a="1"/>
  <c r="Z38" i="26"/>
  <c r="Y38" i="26" a="1"/>
  <c r="Y38" i="26"/>
  <c r="X38" i="26" a="1"/>
  <c r="X38" i="26"/>
  <c r="W38" i="26" a="1"/>
  <c r="W38" i="26"/>
  <c r="V38" i="26" a="1"/>
  <c r="V38" i="26"/>
  <c r="U38" i="26" a="1"/>
  <c r="U38" i="26"/>
  <c r="T38" i="26" a="1"/>
  <c r="T38" i="26"/>
  <c r="S38" i="26" a="1"/>
  <c r="S38" i="26"/>
  <c r="R38" i="26" a="1"/>
  <c r="R38" i="26"/>
  <c r="Q38" i="26" a="1"/>
  <c r="Q38" i="26"/>
  <c r="P38" i="26" a="1"/>
  <c r="P38" i="26"/>
  <c r="O38" i="26" a="1"/>
  <c r="O38" i="26"/>
  <c r="N38" i="26" a="1"/>
  <c r="N38" i="26"/>
  <c r="M38" i="26" a="1"/>
  <c r="M38" i="26"/>
  <c r="L38" i="26" a="1"/>
  <c r="L38" i="26"/>
  <c r="K38" i="26" a="1"/>
  <c r="K38" i="26"/>
  <c r="J38" i="26" a="1"/>
  <c r="J38" i="26"/>
  <c r="I38" i="26" a="1"/>
  <c r="I38" i="26"/>
  <c r="H38" i="26" a="1"/>
  <c r="H38" i="26"/>
  <c r="G38" i="26" a="1"/>
  <c r="G38" i="26"/>
  <c r="F38" i="26" a="1"/>
  <c r="F38" i="26"/>
  <c r="E38" i="26" a="1"/>
  <c r="E38" i="26"/>
  <c r="C38" i="26"/>
  <c r="BP37" i="26" a="1"/>
  <c r="BP37" i="26"/>
  <c r="BO37" i="26" a="1"/>
  <c r="BO37" i="26"/>
  <c r="BN37" i="26" a="1"/>
  <c r="BN37" i="26"/>
  <c r="BM37" i="26" a="1"/>
  <c r="BM37" i="26"/>
  <c r="BL37" i="26" a="1"/>
  <c r="BL37" i="26"/>
  <c r="BK37" i="26" a="1"/>
  <c r="BK37" i="26"/>
  <c r="BJ37" i="26" a="1"/>
  <c r="BJ37" i="26"/>
  <c r="BI37" i="26" a="1"/>
  <c r="BI37" i="26"/>
  <c r="BH37" i="26" a="1"/>
  <c r="BH37" i="26"/>
  <c r="BG37" i="26" a="1"/>
  <c r="BG37" i="26"/>
  <c r="BF37" i="26" a="1"/>
  <c r="BF37" i="26"/>
  <c r="BE37" i="26" a="1"/>
  <c r="BE37" i="26"/>
  <c r="BD37" i="26" a="1"/>
  <c r="BD37" i="26"/>
  <c r="BC37" i="26" a="1"/>
  <c r="BC37" i="26"/>
  <c r="BB37" i="26" a="1"/>
  <c r="BB37" i="26"/>
  <c r="BA37" i="26" a="1"/>
  <c r="BA37" i="26"/>
  <c r="AZ37" i="26" a="1"/>
  <c r="AZ37" i="26"/>
  <c r="AY37" i="26" a="1"/>
  <c r="AY37" i="26"/>
  <c r="AX37" i="26" a="1"/>
  <c r="AX37" i="26"/>
  <c r="AW37" i="26" a="1"/>
  <c r="AW37" i="26"/>
  <c r="AV37" i="26" a="1"/>
  <c r="AV37" i="26"/>
  <c r="AU37" i="26" a="1"/>
  <c r="AU37" i="26"/>
  <c r="AT37" i="26" a="1"/>
  <c r="AT37" i="26"/>
  <c r="AS37" i="26" a="1"/>
  <c r="AS37" i="26"/>
  <c r="AR37" i="26" a="1"/>
  <c r="AR37" i="26"/>
  <c r="AQ37" i="26" a="1"/>
  <c r="AQ37" i="26"/>
  <c r="AP37" i="26" a="1"/>
  <c r="AP37" i="26"/>
  <c r="AO37" i="26" a="1"/>
  <c r="AO37" i="26"/>
  <c r="AN37" i="26" a="1"/>
  <c r="AN37" i="26"/>
  <c r="AM37" i="26" a="1"/>
  <c r="AM37" i="26"/>
  <c r="AL37" i="26" a="1"/>
  <c r="AL37" i="26"/>
  <c r="AK37" i="26" a="1"/>
  <c r="AK37" i="26"/>
  <c r="AJ37" i="26" a="1"/>
  <c r="AJ37" i="26"/>
  <c r="AI37" i="26" a="1"/>
  <c r="AI37" i="26"/>
  <c r="AH37" i="26" a="1"/>
  <c r="AH37" i="26"/>
  <c r="AG37" i="26" a="1"/>
  <c r="AG37" i="26"/>
  <c r="AF37" i="26" a="1"/>
  <c r="AF37" i="26"/>
  <c r="AE37" i="26" a="1"/>
  <c r="AE37" i="26"/>
  <c r="AD37" i="26" a="1"/>
  <c r="AD37" i="26"/>
  <c r="AC37" i="26" a="1"/>
  <c r="AC37" i="26"/>
  <c r="AB37" i="26" a="1"/>
  <c r="AB37" i="26"/>
  <c r="AA37" i="26" a="1"/>
  <c r="AA37" i="26"/>
  <c r="Z37" i="26" a="1"/>
  <c r="Z37" i="26"/>
  <c r="Y37" i="26" a="1"/>
  <c r="Y37" i="26"/>
  <c r="X37" i="26" a="1"/>
  <c r="X37" i="26"/>
  <c r="W37" i="26" a="1"/>
  <c r="W37" i="26"/>
  <c r="V37" i="26" a="1"/>
  <c r="V37" i="26"/>
  <c r="U37" i="26" a="1"/>
  <c r="U37" i="26"/>
  <c r="T37" i="26" a="1"/>
  <c r="T37" i="26"/>
  <c r="S37" i="26" a="1"/>
  <c r="S37" i="26"/>
  <c r="R37" i="26" a="1"/>
  <c r="R37" i="26"/>
  <c r="Q37" i="26" a="1"/>
  <c r="Q37" i="26"/>
  <c r="P37" i="26" a="1"/>
  <c r="P37" i="26"/>
  <c r="O37" i="26" a="1"/>
  <c r="O37" i="26"/>
  <c r="N37" i="26" a="1"/>
  <c r="N37" i="26"/>
  <c r="M37" i="26" a="1"/>
  <c r="M37" i="26"/>
  <c r="L37" i="26" a="1"/>
  <c r="L37" i="26"/>
  <c r="K37" i="26" a="1"/>
  <c r="K37" i="26"/>
  <c r="J37" i="26" a="1"/>
  <c r="J37" i="26"/>
  <c r="I37" i="26" a="1"/>
  <c r="I37" i="26"/>
  <c r="H37" i="26" a="1"/>
  <c r="H37" i="26"/>
  <c r="G37" i="26" a="1"/>
  <c r="G37" i="26"/>
  <c r="F37" i="26" a="1"/>
  <c r="F37" i="26"/>
  <c r="E37" i="26" a="1"/>
  <c r="E37" i="26"/>
  <c r="C37" i="26"/>
  <c r="BP36" i="26" a="1"/>
  <c r="BP36" i="26"/>
  <c r="BO36" i="26" a="1"/>
  <c r="BO36" i="26"/>
  <c r="BN36" i="26" a="1"/>
  <c r="BN36" i="26"/>
  <c r="BM36" i="26" a="1"/>
  <c r="BM36" i="26"/>
  <c r="BL36" i="26" a="1"/>
  <c r="BL36" i="26"/>
  <c r="BK36" i="26" a="1"/>
  <c r="BK36" i="26"/>
  <c r="BJ36" i="26" a="1"/>
  <c r="BJ36" i="26"/>
  <c r="BI36" i="26" a="1"/>
  <c r="BI36" i="26"/>
  <c r="BH36" i="26" a="1"/>
  <c r="BH36" i="26"/>
  <c r="BG36" i="26" a="1"/>
  <c r="BG36" i="26"/>
  <c r="BF36" i="26" a="1"/>
  <c r="BF36" i="26"/>
  <c r="BE36" i="26" a="1"/>
  <c r="BE36" i="26"/>
  <c r="BD36" i="26" a="1"/>
  <c r="BD36" i="26"/>
  <c r="BC36" i="26" a="1"/>
  <c r="BC36" i="26"/>
  <c r="BB36" i="26" a="1"/>
  <c r="BB36" i="26"/>
  <c r="BA36" i="26" a="1"/>
  <c r="BA36" i="26"/>
  <c r="AZ36" i="26" a="1"/>
  <c r="AZ36" i="26"/>
  <c r="AY36" i="26" a="1"/>
  <c r="AY36" i="26"/>
  <c r="AX36" i="26" a="1"/>
  <c r="AX36" i="26"/>
  <c r="AW36" i="26" a="1"/>
  <c r="AW36" i="26"/>
  <c r="AV36" i="26" a="1"/>
  <c r="AV36" i="26"/>
  <c r="AU36" i="26" a="1"/>
  <c r="AU36" i="26"/>
  <c r="AT36" i="26" a="1"/>
  <c r="AT36" i="26"/>
  <c r="AS36" i="26" a="1"/>
  <c r="AS36" i="26"/>
  <c r="AR36" i="26" a="1"/>
  <c r="AR36" i="26"/>
  <c r="AQ36" i="26" a="1"/>
  <c r="AQ36" i="26"/>
  <c r="AP36" i="26" a="1"/>
  <c r="AP36" i="26"/>
  <c r="AO36" i="26" a="1"/>
  <c r="AO36" i="26"/>
  <c r="AN36" i="26" a="1"/>
  <c r="AN36" i="26"/>
  <c r="AM36" i="26" a="1"/>
  <c r="AM36" i="26"/>
  <c r="AL36" i="26" a="1"/>
  <c r="AL36" i="26"/>
  <c r="AK36" i="26" a="1"/>
  <c r="AK36" i="26"/>
  <c r="AJ36" i="26" a="1"/>
  <c r="AJ36" i="26"/>
  <c r="AI36" i="26" a="1"/>
  <c r="AI36" i="26"/>
  <c r="AH36" i="26" a="1"/>
  <c r="AH36" i="26"/>
  <c r="AG36" i="26" a="1"/>
  <c r="AG36" i="26"/>
  <c r="AF36" i="26" a="1"/>
  <c r="AF36" i="26"/>
  <c r="AE36" i="26" a="1"/>
  <c r="AE36" i="26"/>
  <c r="AD36" i="26" a="1"/>
  <c r="AD36" i="26"/>
  <c r="AC36" i="26" a="1"/>
  <c r="AC36" i="26"/>
  <c r="AB36" i="26" a="1"/>
  <c r="AB36" i="26"/>
  <c r="AA36" i="26" a="1"/>
  <c r="AA36" i="26"/>
  <c r="Z36" i="26" a="1"/>
  <c r="Z36" i="26"/>
  <c r="Y36" i="26" a="1"/>
  <c r="Y36" i="26"/>
  <c r="X36" i="26" a="1"/>
  <c r="X36" i="26"/>
  <c r="W36" i="26" a="1"/>
  <c r="W36" i="26"/>
  <c r="V36" i="26" a="1"/>
  <c r="V36" i="26"/>
  <c r="U36" i="26" a="1"/>
  <c r="U36" i="26"/>
  <c r="T36" i="26" a="1"/>
  <c r="T36" i="26"/>
  <c r="S36" i="26" a="1"/>
  <c r="S36" i="26"/>
  <c r="R36" i="26" a="1"/>
  <c r="R36" i="26"/>
  <c r="Q36" i="26" a="1"/>
  <c r="Q36" i="26"/>
  <c r="P36" i="26" a="1"/>
  <c r="P36" i="26"/>
  <c r="O36" i="26" a="1"/>
  <c r="O36" i="26"/>
  <c r="N36" i="26" a="1"/>
  <c r="N36" i="26"/>
  <c r="M36" i="26" a="1"/>
  <c r="M36" i="26"/>
  <c r="L36" i="26" a="1"/>
  <c r="L36" i="26"/>
  <c r="K36" i="26" a="1"/>
  <c r="K36" i="26"/>
  <c r="J36" i="26" a="1"/>
  <c r="J36" i="26"/>
  <c r="I36" i="26" a="1"/>
  <c r="I36" i="26"/>
  <c r="H36" i="26" a="1"/>
  <c r="H36" i="26"/>
  <c r="G36" i="26" a="1"/>
  <c r="G36" i="26"/>
  <c r="F36" i="26" a="1"/>
  <c r="F36" i="26"/>
  <c r="E36" i="26" a="1"/>
  <c r="E36" i="26"/>
  <c r="C36" i="26"/>
  <c r="C35" i="26"/>
  <c r="C34" i="26"/>
  <c r="C33" i="26"/>
  <c r="C32" i="26"/>
  <c r="C31" i="26"/>
  <c r="C30" i="26"/>
  <c r="AD25" i="26"/>
  <c r="AG25" i="26"/>
  <c r="AF25" i="26"/>
  <c r="AH25" i="26"/>
  <c r="AA25" i="26"/>
  <c r="Z25" i="26"/>
  <c r="I25" i="26"/>
  <c r="G25" i="26"/>
  <c r="F25" i="26"/>
  <c r="E25" i="26"/>
  <c r="D25" i="26"/>
  <c r="AD24" i="26"/>
  <c r="AG24" i="26"/>
  <c r="AF24" i="26"/>
  <c r="AH24" i="26"/>
  <c r="AA24" i="26"/>
  <c r="Z24" i="26"/>
  <c r="I24" i="26"/>
  <c r="G24" i="26"/>
  <c r="F24" i="26"/>
  <c r="E24" i="26"/>
  <c r="D24" i="26"/>
  <c r="AD23" i="26"/>
  <c r="AG23" i="26"/>
  <c r="AF23" i="26"/>
  <c r="AH23" i="26"/>
  <c r="AA23" i="26"/>
  <c r="Z23" i="26"/>
  <c r="I23" i="26"/>
  <c r="G23" i="26"/>
  <c r="F23" i="26"/>
  <c r="E23" i="26"/>
  <c r="D23" i="26"/>
  <c r="AD22" i="26"/>
  <c r="AG22" i="26"/>
  <c r="AF22" i="26"/>
  <c r="AH22" i="26"/>
  <c r="Z22" i="26"/>
  <c r="I22" i="26"/>
  <c r="G22" i="26"/>
  <c r="F22" i="26"/>
  <c r="E22" i="26"/>
  <c r="D22" i="26"/>
  <c r="AD21" i="26"/>
  <c r="AG21" i="26"/>
  <c r="AF21" i="26"/>
  <c r="AH21" i="26"/>
  <c r="Z21" i="26"/>
  <c r="I21" i="26"/>
  <c r="G21" i="26"/>
  <c r="F21" i="26"/>
  <c r="E21" i="26"/>
  <c r="D21" i="26"/>
  <c r="AD20" i="26"/>
  <c r="AG20" i="26"/>
  <c r="AF20" i="26"/>
  <c r="AH20" i="26"/>
  <c r="Z20" i="26"/>
  <c r="I20" i="26"/>
  <c r="G20" i="26"/>
  <c r="F20" i="26"/>
  <c r="E20" i="26"/>
  <c r="D20" i="26"/>
  <c r="AD19" i="26"/>
  <c r="AG19" i="26"/>
  <c r="AF19" i="26"/>
  <c r="AH19" i="26"/>
  <c r="Z19" i="26"/>
  <c r="I19" i="26"/>
  <c r="G19" i="26"/>
  <c r="F19" i="26"/>
  <c r="E19" i="26"/>
  <c r="D19" i="26"/>
  <c r="AD18" i="26"/>
  <c r="AG18" i="26"/>
  <c r="AF18" i="26"/>
  <c r="AH18" i="26"/>
  <c r="Z18" i="26"/>
  <c r="I18" i="26"/>
  <c r="G18" i="26"/>
  <c r="F18" i="26"/>
  <c r="E18" i="26"/>
  <c r="D18" i="26"/>
  <c r="AD17" i="26"/>
  <c r="AG17" i="26"/>
  <c r="AF17" i="26"/>
  <c r="AH17" i="26"/>
  <c r="Z17" i="26"/>
  <c r="I17" i="26"/>
  <c r="G17" i="26"/>
  <c r="F17" i="26"/>
  <c r="E17" i="26"/>
  <c r="D17" i="26"/>
  <c r="E12" i="21"/>
  <c r="E34" i="9"/>
  <c r="E11" i="21"/>
  <c r="D11" i="21"/>
  <c r="C11" i="21"/>
  <c r="E32" i="9"/>
  <c r="M22" i="6"/>
  <c r="M23" i="6"/>
  <c r="M24" i="6"/>
  <c r="M25" i="6"/>
  <c r="M26" i="6"/>
  <c r="M27" i="6"/>
  <c r="Z196" i="25"/>
  <c r="AA196" i="25"/>
  <c r="AB196" i="25"/>
  <c r="O33" i="6"/>
  <c r="P33" i="6"/>
  <c r="Q33" i="6"/>
  <c r="R33" i="6"/>
  <c r="S33" i="6"/>
  <c r="T33" i="6"/>
  <c r="U33" i="6"/>
  <c r="V33" i="6"/>
  <c r="W33" i="6"/>
  <c r="O34" i="6"/>
  <c r="P34" i="6"/>
  <c r="Q34" i="6"/>
  <c r="R34" i="6"/>
  <c r="S34" i="6"/>
  <c r="T34" i="6"/>
  <c r="U34" i="6"/>
  <c r="V34" i="6"/>
  <c r="W34" i="6"/>
  <c r="O35" i="6"/>
  <c r="P35" i="6"/>
  <c r="Q35" i="6"/>
  <c r="R35" i="6"/>
  <c r="S35" i="6"/>
  <c r="T35" i="6"/>
  <c r="U35" i="6"/>
  <c r="V35" i="6"/>
  <c r="W35" i="6"/>
  <c r="O36" i="6"/>
  <c r="P36" i="6"/>
  <c r="Q36" i="6"/>
  <c r="R36" i="6"/>
  <c r="S36" i="6"/>
  <c r="T36" i="6"/>
  <c r="U36" i="6"/>
  <c r="V36" i="6"/>
  <c r="W36" i="6"/>
  <c r="O37" i="6"/>
  <c r="P37" i="6"/>
  <c r="Q37" i="6"/>
  <c r="R37" i="6"/>
  <c r="S37" i="6"/>
  <c r="T37" i="6"/>
  <c r="U37" i="6"/>
  <c r="V37" i="6"/>
  <c r="W37" i="6"/>
  <c r="W32" i="6"/>
  <c r="V32" i="6"/>
  <c r="U32" i="6"/>
  <c r="S32" i="6"/>
  <c r="R32" i="6"/>
  <c r="Q32" i="6"/>
  <c r="P32" i="6"/>
  <c r="O32" i="6"/>
  <c r="M30" i="6"/>
  <c r="AD37" i="6"/>
  <c r="AD36" i="6"/>
  <c r="AD35" i="6"/>
  <c r="AD34" i="6"/>
  <c r="AD33" i="6"/>
  <c r="AD32" i="6"/>
  <c r="T32" i="6"/>
  <c r="W31" i="6"/>
  <c r="V31" i="6"/>
  <c r="S31" i="6"/>
  <c r="R31" i="6"/>
  <c r="Q31" i="6"/>
  <c r="P31" i="6"/>
  <c r="O31" i="6"/>
  <c r="AC30" i="6"/>
  <c r="AB30" i="6"/>
  <c r="AA30" i="6"/>
  <c r="Z30" i="6"/>
  <c r="Y30" i="6"/>
  <c r="X30" i="6"/>
  <c r="E41" i="6"/>
  <c r="J41" i="6"/>
  <c r="E42" i="6"/>
  <c r="J42" i="6"/>
  <c r="E43" i="6"/>
  <c r="J43" i="6"/>
  <c r="E44" i="6"/>
  <c r="J44" i="6"/>
  <c r="E45" i="6"/>
  <c r="J45" i="6"/>
  <c r="E46" i="6"/>
  <c r="J46" i="6"/>
  <c r="E47" i="6"/>
  <c r="J47" i="6"/>
  <c r="E48" i="6"/>
  <c r="J48" i="6"/>
  <c r="E49" i="6"/>
  <c r="J49" i="6"/>
  <c r="E50" i="6"/>
  <c r="J50" i="6"/>
  <c r="E51" i="6"/>
  <c r="J51" i="6"/>
  <c r="E52" i="6"/>
  <c r="J52" i="6"/>
  <c r="E53" i="6"/>
  <c r="J53" i="6"/>
  <c r="E54" i="6"/>
  <c r="J54" i="6"/>
  <c r="E55" i="6"/>
  <c r="J55" i="6"/>
  <c r="V135" i="25"/>
  <c r="W135" i="25"/>
  <c r="X135" i="25"/>
  <c r="Y135" i="25"/>
  <c r="AA135" i="25"/>
  <c r="AA207" i="25"/>
  <c r="AB207" i="25"/>
  <c r="Z207" i="25"/>
  <c r="V134" i="25"/>
  <c r="W134" i="25"/>
  <c r="X134" i="25"/>
  <c r="Y134" i="25"/>
  <c r="AA134" i="25"/>
  <c r="AA206" i="25"/>
  <c r="AB206" i="25"/>
  <c r="Z206" i="25"/>
  <c r="V133" i="25"/>
  <c r="W133" i="25"/>
  <c r="X133" i="25"/>
  <c r="Y133" i="25"/>
  <c r="AA133" i="25"/>
  <c r="AA205" i="25"/>
  <c r="AB205" i="25"/>
  <c r="Z205" i="25"/>
  <c r="V132" i="25"/>
  <c r="W132" i="25"/>
  <c r="X132" i="25"/>
  <c r="Y132" i="25"/>
  <c r="AA132" i="25"/>
  <c r="AA204" i="25"/>
  <c r="AB204" i="25"/>
  <c r="Z204" i="25"/>
  <c r="V131" i="25"/>
  <c r="W131" i="25"/>
  <c r="X131" i="25"/>
  <c r="Y131" i="25"/>
  <c r="AA131" i="25"/>
  <c r="AA203" i="25"/>
  <c r="AB203" i="25"/>
  <c r="Z203" i="25"/>
  <c r="V130" i="25"/>
  <c r="W130" i="25"/>
  <c r="X130" i="25"/>
  <c r="Y130" i="25"/>
  <c r="AA130" i="25"/>
  <c r="AA202" i="25"/>
  <c r="AB202" i="25"/>
  <c r="Z202" i="25"/>
  <c r="V129" i="25"/>
  <c r="W129" i="25"/>
  <c r="X129" i="25"/>
  <c r="Y129" i="25"/>
  <c r="AA129" i="25"/>
  <c r="AA201" i="25"/>
  <c r="AB201" i="25"/>
  <c r="Z201" i="25"/>
  <c r="V128" i="25"/>
  <c r="W128" i="25"/>
  <c r="X128" i="25"/>
  <c r="Y128" i="25"/>
  <c r="AA128" i="25"/>
  <c r="AA200" i="25"/>
  <c r="AB200" i="25"/>
  <c r="Z200" i="25"/>
  <c r="V127" i="25"/>
  <c r="W127" i="25"/>
  <c r="X127" i="25"/>
  <c r="Y127" i="25"/>
  <c r="AA127" i="25"/>
  <c r="AA199" i="25"/>
  <c r="AB199" i="25"/>
  <c r="Z199" i="25"/>
  <c r="V126" i="25"/>
  <c r="W126" i="25"/>
  <c r="X126" i="25"/>
  <c r="Y126" i="25"/>
  <c r="AA126" i="25"/>
  <c r="AA198" i="25"/>
  <c r="AB198" i="25"/>
  <c r="Z198" i="25"/>
  <c r="V125" i="25"/>
  <c r="W125" i="25"/>
  <c r="X125" i="25"/>
  <c r="Y125" i="25"/>
  <c r="AA125" i="25"/>
  <c r="AA197" i="25"/>
  <c r="AB197" i="25"/>
  <c r="Z197" i="25"/>
  <c r="AF135" i="25"/>
  <c r="AE135" i="25"/>
  <c r="AB135" i="25"/>
  <c r="Z135" i="25"/>
  <c r="AF134" i="25"/>
  <c r="AE134" i="25"/>
  <c r="AB134" i="25"/>
  <c r="Z134" i="25"/>
  <c r="AF133" i="25"/>
  <c r="AE133" i="25"/>
  <c r="AB133" i="25"/>
  <c r="Z133" i="25"/>
  <c r="AF132" i="25"/>
  <c r="AE132" i="25"/>
  <c r="AB132" i="25"/>
  <c r="Z132" i="25"/>
  <c r="AF131" i="25"/>
  <c r="AE131" i="25"/>
  <c r="AB131" i="25"/>
  <c r="Z131" i="25"/>
  <c r="AF130" i="25"/>
  <c r="AE130" i="25"/>
  <c r="AB130" i="25"/>
  <c r="Z130" i="25"/>
  <c r="AF129" i="25"/>
  <c r="AE129" i="25"/>
  <c r="AB129" i="25"/>
  <c r="Z129" i="25"/>
  <c r="AF128" i="25"/>
  <c r="AE128" i="25"/>
  <c r="AB128" i="25"/>
  <c r="Z128" i="25"/>
  <c r="AF127" i="25"/>
  <c r="AE127" i="25"/>
  <c r="AB127" i="25"/>
  <c r="Z127" i="25"/>
  <c r="AF126" i="25"/>
  <c r="AE126" i="25"/>
  <c r="AB126" i="25"/>
  <c r="Z126" i="25"/>
  <c r="AF125" i="25"/>
  <c r="AE125" i="25"/>
  <c r="AB125" i="25"/>
  <c r="Z125" i="25"/>
  <c r="Q72" i="25"/>
  <c r="Q71" i="25"/>
  <c r="Q70" i="25"/>
  <c r="F12" i="25"/>
  <c r="BR60" i="25"/>
  <c r="F11" i="25"/>
  <c r="BZ51" i="25"/>
  <c r="F10" i="25"/>
  <c r="BY51" i="25"/>
  <c r="C25" i="25"/>
  <c r="BR59" i="25"/>
  <c r="CA51" i="25"/>
  <c r="C24" i="25"/>
  <c r="BR58" i="25"/>
  <c r="C23" i="25"/>
  <c r="BR37" i="25"/>
  <c r="CA29" i="25"/>
  <c r="BR38" i="25"/>
  <c r="BZ29" i="25"/>
  <c r="BR36" i="25"/>
  <c r="BY29" i="25"/>
  <c r="BR49" i="25"/>
  <c r="BR48" i="25"/>
  <c r="BR47" i="25"/>
  <c r="CA40" i="25"/>
  <c r="BZ40" i="25"/>
  <c r="BY40" i="25"/>
  <c r="BP38" i="25" a="1"/>
  <c r="BP38" i="25"/>
  <c r="BO38" i="25" a="1"/>
  <c r="BO38" i="25"/>
  <c r="BN38" i="25" a="1"/>
  <c r="BN38" i="25"/>
  <c r="BM38" i="25" a="1"/>
  <c r="BM38" i="25"/>
  <c r="BL38" i="25" a="1"/>
  <c r="BL38" i="25"/>
  <c r="BK38" i="25" a="1"/>
  <c r="BK38" i="25"/>
  <c r="BJ38" i="25" a="1"/>
  <c r="BJ38" i="25"/>
  <c r="BI38" i="25" a="1"/>
  <c r="BI38" i="25"/>
  <c r="BH38" i="25" a="1"/>
  <c r="BH38" i="25"/>
  <c r="BG38" i="25" a="1"/>
  <c r="BG38" i="25"/>
  <c r="BF38" i="25" a="1"/>
  <c r="BF38" i="25"/>
  <c r="BE38" i="25" a="1"/>
  <c r="BE38" i="25"/>
  <c r="BD38" i="25" a="1"/>
  <c r="BD38" i="25"/>
  <c r="BC38" i="25" a="1"/>
  <c r="BC38" i="25"/>
  <c r="BB38" i="25" a="1"/>
  <c r="BB38" i="25"/>
  <c r="BA38" i="25" a="1"/>
  <c r="BA38" i="25"/>
  <c r="AZ38" i="25" a="1"/>
  <c r="AZ38" i="25"/>
  <c r="AY38" i="25" a="1"/>
  <c r="AY38" i="25"/>
  <c r="AX38" i="25" a="1"/>
  <c r="AX38" i="25"/>
  <c r="AW38" i="25" a="1"/>
  <c r="AW38" i="25"/>
  <c r="AV38" i="25" a="1"/>
  <c r="AV38" i="25"/>
  <c r="AU38" i="25" a="1"/>
  <c r="AU38" i="25"/>
  <c r="AT38" i="25" a="1"/>
  <c r="AT38" i="25"/>
  <c r="AS38" i="25" a="1"/>
  <c r="AS38" i="25"/>
  <c r="AR38" i="25" a="1"/>
  <c r="AR38" i="25"/>
  <c r="AQ38" i="25" a="1"/>
  <c r="AQ38" i="25"/>
  <c r="AP38" i="25" a="1"/>
  <c r="AP38" i="25"/>
  <c r="AO38" i="25" a="1"/>
  <c r="AO38" i="25"/>
  <c r="AN38" i="25" a="1"/>
  <c r="AN38" i="25"/>
  <c r="AM38" i="25" a="1"/>
  <c r="AM38" i="25"/>
  <c r="AL38" i="25" a="1"/>
  <c r="AL38" i="25"/>
  <c r="AK38" i="25" a="1"/>
  <c r="AK38" i="25"/>
  <c r="AJ38" i="25" a="1"/>
  <c r="AJ38" i="25"/>
  <c r="AI38" i="25" a="1"/>
  <c r="AI38" i="25"/>
  <c r="AH38" i="25" a="1"/>
  <c r="AH38" i="25"/>
  <c r="AG38" i="25" a="1"/>
  <c r="AG38" i="25"/>
  <c r="AF38" i="25" a="1"/>
  <c r="AF38" i="25"/>
  <c r="AE38" i="25" a="1"/>
  <c r="AE38" i="25"/>
  <c r="AD38" i="25" a="1"/>
  <c r="AD38" i="25"/>
  <c r="AC38" i="25" a="1"/>
  <c r="AC38" i="25"/>
  <c r="AB38" i="25" a="1"/>
  <c r="AB38" i="25"/>
  <c r="AA38" i="25" a="1"/>
  <c r="AA38" i="25"/>
  <c r="Z38" i="25" a="1"/>
  <c r="Z38" i="25"/>
  <c r="Y38" i="25" a="1"/>
  <c r="Y38" i="25"/>
  <c r="X38" i="25" a="1"/>
  <c r="X38" i="25"/>
  <c r="W38" i="25" a="1"/>
  <c r="W38" i="25"/>
  <c r="V38" i="25" a="1"/>
  <c r="V38" i="25"/>
  <c r="U38" i="25" a="1"/>
  <c r="U38" i="25"/>
  <c r="T38" i="25" a="1"/>
  <c r="T38" i="25"/>
  <c r="S38" i="25" a="1"/>
  <c r="S38" i="25"/>
  <c r="R38" i="25" a="1"/>
  <c r="R38" i="25"/>
  <c r="Q38" i="25" a="1"/>
  <c r="Q38" i="25"/>
  <c r="P38" i="25" a="1"/>
  <c r="P38" i="25"/>
  <c r="O38" i="25" a="1"/>
  <c r="O38" i="25"/>
  <c r="N38" i="25" a="1"/>
  <c r="N38" i="25"/>
  <c r="M38" i="25" a="1"/>
  <c r="M38" i="25"/>
  <c r="L38" i="25" a="1"/>
  <c r="L38" i="25"/>
  <c r="K38" i="25" a="1"/>
  <c r="K38" i="25"/>
  <c r="J38" i="25" a="1"/>
  <c r="J38" i="25"/>
  <c r="I38" i="25" a="1"/>
  <c r="I38" i="25"/>
  <c r="H38" i="25" a="1"/>
  <c r="H38" i="25"/>
  <c r="G38" i="25" a="1"/>
  <c r="G38" i="25"/>
  <c r="F38" i="25" a="1"/>
  <c r="F38" i="25"/>
  <c r="E38" i="25" a="1"/>
  <c r="E38" i="25"/>
  <c r="C38" i="25"/>
  <c r="BP37" i="25" a="1"/>
  <c r="BP37" i="25"/>
  <c r="BO37" i="25" a="1"/>
  <c r="BO37" i="25"/>
  <c r="BN37" i="25" a="1"/>
  <c r="BN37" i="25"/>
  <c r="BM37" i="25" a="1"/>
  <c r="BM37" i="25"/>
  <c r="BL37" i="25" a="1"/>
  <c r="BL37" i="25"/>
  <c r="BK37" i="25" a="1"/>
  <c r="BK37" i="25"/>
  <c r="BJ37" i="25" a="1"/>
  <c r="BJ37" i="25"/>
  <c r="BI37" i="25" a="1"/>
  <c r="BI37" i="25"/>
  <c r="BH37" i="25" a="1"/>
  <c r="BH37" i="25"/>
  <c r="BG37" i="25" a="1"/>
  <c r="BG37" i="25"/>
  <c r="BF37" i="25" a="1"/>
  <c r="BF37" i="25"/>
  <c r="BE37" i="25" a="1"/>
  <c r="BE37" i="25"/>
  <c r="BD37" i="25" a="1"/>
  <c r="BD37" i="25"/>
  <c r="BC37" i="25" a="1"/>
  <c r="BC37" i="25"/>
  <c r="BB37" i="25" a="1"/>
  <c r="BB37" i="25"/>
  <c r="BA37" i="25" a="1"/>
  <c r="BA37" i="25"/>
  <c r="AZ37" i="25" a="1"/>
  <c r="AZ37" i="25"/>
  <c r="AY37" i="25" a="1"/>
  <c r="AY37" i="25"/>
  <c r="AX37" i="25" a="1"/>
  <c r="AX37" i="25"/>
  <c r="AW37" i="25" a="1"/>
  <c r="AW37" i="25"/>
  <c r="AV37" i="25" a="1"/>
  <c r="AV37" i="25"/>
  <c r="AU37" i="25" a="1"/>
  <c r="AU37" i="25"/>
  <c r="AT37" i="25" a="1"/>
  <c r="AT37" i="25"/>
  <c r="AS37" i="25" a="1"/>
  <c r="AS37" i="25"/>
  <c r="AR37" i="25" a="1"/>
  <c r="AR37" i="25"/>
  <c r="AQ37" i="25" a="1"/>
  <c r="AQ37" i="25"/>
  <c r="AP37" i="25" a="1"/>
  <c r="AP37" i="25"/>
  <c r="AO37" i="25" a="1"/>
  <c r="AO37" i="25"/>
  <c r="AN37" i="25" a="1"/>
  <c r="AN37" i="25"/>
  <c r="AM37" i="25" a="1"/>
  <c r="AM37" i="25"/>
  <c r="AL37" i="25" a="1"/>
  <c r="AL37" i="25"/>
  <c r="AK37" i="25" a="1"/>
  <c r="AK37" i="25"/>
  <c r="AJ37" i="25" a="1"/>
  <c r="AJ37" i="25"/>
  <c r="AI37" i="25" a="1"/>
  <c r="AI37" i="25"/>
  <c r="AH37" i="25" a="1"/>
  <c r="AH37" i="25"/>
  <c r="AG37" i="25" a="1"/>
  <c r="AG37" i="25"/>
  <c r="AF37" i="25" a="1"/>
  <c r="AF37" i="25"/>
  <c r="AE37" i="25" a="1"/>
  <c r="AE37" i="25"/>
  <c r="AD37" i="25" a="1"/>
  <c r="AD37" i="25"/>
  <c r="AC37" i="25" a="1"/>
  <c r="AC37" i="25"/>
  <c r="AB37" i="25" a="1"/>
  <c r="AB37" i="25"/>
  <c r="AA37" i="25" a="1"/>
  <c r="AA37" i="25"/>
  <c r="Z37" i="25" a="1"/>
  <c r="Z37" i="25"/>
  <c r="Y37" i="25" a="1"/>
  <c r="Y37" i="25"/>
  <c r="X37" i="25" a="1"/>
  <c r="X37" i="25"/>
  <c r="W37" i="25" a="1"/>
  <c r="W37" i="25"/>
  <c r="V37" i="25" a="1"/>
  <c r="V37" i="25"/>
  <c r="U37" i="25" a="1"/>
  <c r="U37" i="25"/>
  <c r="T37" i="25" a="1"/>
  <c r="T37" i="25"/>
  <c r="S37" i="25" a="1"/>
  <c r="S37" i="25"/>
  <c r="R37" i="25" a="1"/>
  <c r="R37" i="25"/>
  <c r="Q37" i="25" a="1"/>
  <c r="Q37" i="25"/>
  <c r="P37" i="25" a="1"/>
  <c r="P37" i="25"/>
  <c r="O37" i="25" a="1"/>
  <c r="O37" i="25"/>
  <c r="N37" i="25" a="1"/>
  <c r="N37" i="25"/>
  <c r="M37" i="25" a="1"/>
  <c r="M37" i="25"/>
  <c r="L37" i="25" a="1"/>
  <c r="L37" i="25"/>
  <c r="K37" i="25" a="1"/>
  <c r="K37" i="25"/>
  <c r="J37" i="25" a="1"/>
  <c r="J37" i="25"/>
  <c r="I37" i="25" a="1"/>
  <c r="I37" i="25"/>
  <c r="H37" i="25" a="1"/>
  <c r="H37" i="25"/>
  <c r="G37" i="25" a="1"/>
  <c r="G37" i="25"/>
  <c r="F37" i="25" a="1"/>
  <c r="F37" i="25"/>
  <c r="E37" i="25" a="1"/>
  <c r="E37" i="25"/>
  <c r="C37" i="25"/>
  <c r="BP36" i="25" a="1"/>
  <c r="BP36" i="25"/>
  <c r="BO36" i="25" a="1"/>
  <c r="BO36" i="25"/>
  <c r="BN36" i="25" a="1"/>
  <c r="BN36" i="25"/>
  <c r="BM36" i="25" a="1"/>
  <c r="BM36" i="25"/>
  <c r="BL36" i="25" a="1"/>
  <c r="BL36" i="25"/>
  <c r="BK36" i="25" a="1"/>
  <c r="BK36" i="25"/>
  <c r="BJ36" i="25" a="1"/>
  <c r="BJ36" i="25"/>
  <c r="BI36" i="25" a="1"/>
  <c r="BI36" i="25"/>
  <c r="BH36" i="25" a="1"/>
  <c r="BH36" i="25"/>
  <c r="BG36" i="25" a="1"/>
  <c r="BG36" i="25"/>
  <c r="BF36" i="25" a="1"/>
  <c r="BF36" i="25"/>
  <c r="BE36" i="25" a="1"/>
  <c r="BE36" i="25"/>
  <c r="BD36" i="25" a="1"/>
  <c r="BD36" i="25"/>
  <c r="BC36" i="25" a="1"/>
  <c r="BC36" i="25"/>
  <c r="BB36" i="25" a="1"/>
  <c r="BB36" i="25"/>
  <c r="BA36" i="25" a="1"/>
  <c r="BA36" i="25"/>
  <c r="AZ36" i="25" a="1"/>
  <c r="AZ36" i="25"/>
  <c r="AY36" i="25" a="1"/>
  <c r="AY36" i="25"/>
  <c r="AX36" i="25" a="1"/>
  <c r="AX36" i="25"/>
  <c r="AW36" i="25" a="1"/>
  <c r="AW36" i="25"/>
  <c r="AV36" i="25" a="1"/>
  <c r="AV36" i="25"/>
  <c r="AU36" i="25" a="1"/>
  <c r="AU36" i="25"/>
  <c r="AT36" i="25" a="1"/>
  <c r="AT36" i="25"/>
  <c r="AS36" i="25" a="1"/>
  <c r="AS36" i="25"/>
  <c r="AR36" i="25" a="1"/>
  <c r="AR36" i="25"/>
  <c r="AQ36" i="25" a="1"/>
  <c r="AQ36" i="25"/>
  <c r="AP36" i="25" a="1"/>
  <c r="AP36" i="25"/>
  <c r="AO36" i="25" a="1"/>
  <c r="AO36" i="25"/>
  <c r="AN36" i="25" a="1"/>
  <c r="AN36" i="25"/>
  <c r="AM36" i="25" a="1"/>
  <c r="AM36" i="25"/>
  <c r="AL36" i="25" a="1"/>
  <c r="AL36" i="25"/>
  <c r="AK36" i="25" a="1"/>
  <c r="AK36" i="25"/>
  <c r="AJ36" i="25" a="1"/>
  <c r="AJ36" i="25"/>
  <c r="AI36" i="25" a="1"/>
  <c r="AI36" i="25"/>
  <c r="AH36" i="25" a="1"/>
  <c r="AH36" i="25"/>
  <c r="AG36" i="25" a="1"/>
  <c r="AG36" i="25"/>
  <c r="AF36" i="25" a="1"/>
  <c r="AF36" i="25"/>
  <c r="AE36" i="25" a="1"/>
  <c r="AE36" i="25"/>
  <c r="AD36" i="25" a="1"/>
  <c r="AD36" i="25"/>
  <c r="AC36" i="25" a="1"/>
  <c r="AC36" i="25"/>
  <c r="AB36" i="25" a="1"/>
  <c r="AB36" i="25"/>
  <c r="AA36" i="25" a="1"/>
  <c r="AA36" i="25"/>
  <c r="Z36" i="25" a="1"/>
  <c r="Z36" i="25"/>
  <c r="Y36" i="25" a="1"/>
  <c r="Y36" i="25"/>
  <c r="X36" i="25" a="1"/>
  <c r="X36" i="25"/>
  <c r="W36" i="25" a="1"/>
  <c r="W36" i="25"/>
  <c r="V36" i="25" a="1"/>
  <c r="V36" i="25"/>
  <c r="U36" i="25" a="1"/>
  <c r="U36" i="25"/>
  <c r="T36" i="25" a="1"/>
  <c r="T36" i="25"/>
  <c r="S36" i="25" a="1"/>
  <c r="S36" i="25"/>
  <c r="R36" i="25" a="1"/>
  <c r="R36" i="25"/>
  <c r="Q36" i="25" a="1"/>
  <c r="Q36" i="25"/>
  <c r="P36" i="25" a="1"/>
  <c r="P36" i="25"/>
  <c r="O36" i="25" a="1"/>
  <c r="O36" i="25"/>
  <c r="N36" i="25" a="1"/>
  <c r="N36" i="25"/>
  <c r="M36" i="25" a="1"/>
  <c r="M36" i="25"/>
  <c r="L36" i="25" a="1"/>
  <c r="L36" i="25"/>
  <c r="K36" i="25" a="1"/>
  <c r="K36" i="25"/>
  <c r="J36" i="25" a="1"/>
  <c r="J36" i="25"/>
  <c r="I36" i="25" a="1"/>
  <c r="I36" i="25"/>
  <c r="H36" i="25" a="1"/>
  <c r="H36" i="25"/>
  <c r="G36" i="25" a="1"/>
  <c r="G36" i="25"/>
  <c r="F36" i="25" a="1"/>
  <c r="F36" i="25"/>
  <c r="E36" i="25" a="1"/>
  <c r="E36" i="25"/>
  <c r="C36" i="25"/>
  <c r="C35" i="25"/>
  <c r="C34" i="25"/>
  <c r="C33" i="25"/>
  <c r="C32" i="25"/>
  <c r="C31" i="25"/>
  <c r="C30" i="25"/>
  <c r="AD25" i="25"/>
  <c r="AF25" i="25"/>
  <c r="AA25" i="25"/>
  <c r="I25" i="25"/>
  <c r="G25" i="25"/>
  <c r="F25" i="25"/>
  <c r="E25" i="25"/>
  <c r="D25" i="25"/>
  <c r="AD24" i="25"/>
  <c r="AF24" i="25"/>
  <c r="AA24" i="25"/>
  <c r="I24" i="25"/>
  <c r="G24" i="25"/>
  <c r="F24" i="25"/>
  <c r="E24" i="25"/>
  <c r="D24" i="25"/>
  <c r="AD23" i="25"/>
  <c r="AF23" i="25"/>
  <c r="AA23" i="25"/>
  <c r="I23" i="25"/>
  <c r="G23" i="25"/>
  <c r="F23" i="25"/>
  <c r="E23" i="25"/>
  <c r="D23" i="25"/>
  <c r="AD22" i="25"/>
  <c r="AF22" i="25"/>
  <c r="I22" i="25"/>
  <c r="G22" i="25"/>
  <c r="F22" i="25"/>
  <c r="E22" i="25"/>
  <c r="D22" i="25"/>
  <c r="AD21" i="25"/>
  <c r="AF21" i="25"/>
  <c r="I21" i="25"/>
  <c r="G21" i="25"/>
  <c r="F21" i="25"/>
  <c r="E21" i="25"/>
  <c r="D21" i="25"/>
  <c r="AD20" i="25"/>
  <c r="AF20" i="25"/>
  <c r="I20" i="25"/>
  <c r="G20" i="25"/>
  <c r="F20" i="25"/>
  <c r="E20" i="25"/>
  <c r="D20" i="25"/>
  <c r="AD19" i="25"/>
  <c r="AF19" i="25"/>
  <c r="I19" i="25"/>
  <c r="G19" i="25"/>
  <c r="F19" i="25"/>
  <c r="E19" i="25"/>
  <c r="D19" i="25"/>
  <c r="AD18" i="25"/>
  <c r="AF18" i="25"/>
  <c r="I18" i="25"/>
  <c r="G18" i="25"/>
  <c r="F18" i="25"/>
  <c r="E18" i="25"/>
  <c r="D18" i="25"/>
  <c r="AD17" i="25"/>
  <c r="AF17" i="25"/>
  <c r="I17" i="25"/>
  <c r="G17" i="25"/>
  <c r="F17" i="25"/>
  <c r="E17" i="25"/>
  <c r="D17" i="25"/>
  <c r="Z17" i="25"/>
  <c r="Z18" i="25"/>
  <c r="Z19" i="25"/>
  <c r="Z20" i="25"/>
  <c r="Z21" i="25"/>
  <c r="Z22" i="25"/>
  <c r="C37" i="22"/>
  <c r="C39" i="22"/>
  <c r="E122" i="9"/>
  <c r="E123" i="9"/>
  <c r="Q22" i="22"/>
  <c r="E118" i="9"/>
  <c r="D17" i="14"/>
  <c r="AD17" i="3"/>
  <c r="AG17"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AD25" i="3"/>
  <c r="AG25" i="3"/>
  <c r="AF25" i="3"/>
  <c r="AH25" i="3"/>
  <c r="AD17" i="17"/>
  <c r="AG17" i="17"/>
  <c r="AF17" i="17"/>
  <c r="AH17" i="17"/>
  <c r="AD18" i="17"/>
  <c r="AG18" i="17"/>
  <c r="AF18" i="17"/>
  <c r="AH18" i="17"/>
  <c r="AD19" i="17"/>
  <c r="AG19" i="17"/>
  <c r="AF19" i="17"/>
  <c r="AH19" i="17"/>
  <c r="AD20" i="17"/>
  <c r="AG20" i="17"/>
  <c r="AF20" i="17"/>
  <c r="AH20" i="17"/>
  <c r="AD21" i="17"/>
  <c r="AG21" i="17"/>
  <c r="AF21" i="17"/>
  <c r="AH21" i="17"/>
  <c r="AD22" i="17"/>
  <c r="AG22" i="17"/>
  <c r="AF22" i="17"/>
  <c r="AH22" i="17"/>
  <c r="AD23" i="17"/>
  <c r="AG23" i="17"/>
  <c r="AF23" i="17"/>
  <c r="AH23" i="17"/>
  <c r="AD24" i="17"/>
  <c r="AG24" i="17"/>
  <c r="AF24" i="17"/>
  <c r="AH24" i="17"/>
  <c r="AD25" i="17"/>
  <c r="AG25" i="17"/>
  <c r="AF25" i="17"/>
  <c r="AH25" i="17"/>
  <c r="E55" i="9"/>
  <c r="C11" i="24"/>
  <c r="B3" i="20"/>
  <c r="M18" i="24"/>
  <c r="M20" i="24"/>
  <c r="P20" i="24"/>
  <c r="P17" i="24"/>
  <c r="P18" i="24"/>
  <c r="P21" i="24"/>
  <c r="M21" i="24"/>
  <c r="M17" i="24"/>
  <c r="I25" i="24"/>
  <c r="F25" i="24"/>
  <c r="I23" i="24"/>
  <c r="C19" i="24"/>
  <c r="C16" i="24"/>
  <c r="P15" i="24"/>
  <c r="M15" i="24"/>
  <c r="P14" i="24"/>
  <c r="M14" i="24"/>
  <c r="P13" i="24"/>
  <c r="M13" i="24"/>
  <c r="P12" i="24"/>
  <c r="M12" i="24"/>
  <c r="O11" i="24"/>
  <c r="L11" i="24"/>
  <c r="I11" i="24"/>
  <c r="E11" i="24"/>
  <c r="D11" i="24"/>
  <c r="R9" i="24"/>
  <c r="J7" i="24"/>
  <c r="H5" i="24"/>
  <c r="H4" i="24"/>
  <c r="H3" i="24"/>
  <c r="H2" i="24"/>
  <c r="E41" i="9"/>
  <c r="Q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Q13" i="22"/>
  <c r="E44" i="9"/>
  <c r="Q11" i="22"/>
  <c r="E43" i="9"/>
  <c r="Q9" i="22"/>
  <c r="E42" i="9"/>
  <c r="Q7" i="22"/>
  <c r="E45" i="9"/>
  <c r="S5" i="22"/>
  <c r="Q5" i="22"/>
  <c r="E31" i="9"/>
  <c r="L5" i="22"/>
  <c r="I5" i="22"/>
  <c r="E17" i="9"/>
  <c r="H5" i="22"/>
  <c r="G5" i="22"/>
  <c r="F5" i="22"/>
  <c r="E5" i="22"/>
  <c r="C5" i="22"/>
  <c r="O4" i="22"/>
  <c r="E4" i="22"/>
  <c r="C4" i="22"/>
  <c r="E30" i="9"/>
  <c r="E2" i="22"/>
  <c r="F54" i="21"/>
  <c r="J7" i="21"/>
  <c r="F5" i="21"/>
  <c r="F4" i="21"/>
  <c r="F3" i="21"/>
  <c r="F2" i="21"/>
  <c r="R16" i="6"/>
  <c r="R12" i="6"/>
  <c r="Z21" i="17"/>
  <c r="Z20" i="17"/>
  <c r="Z22" i="17"/>
  <c r="F40" i="20"/>
  <c r="E40" i="20"/>
  <c r="D40" i="20"/>
  <c r="B40" i="20"/>
  <c r="F39" i="20"/>
  <c r="E39" i="20"/>
  <c r="D39" i="20"/>
  <c r="B39" i="20"/>
  <c r="F38" i="20"/>
  <c r="E38" i="20"/>
  <c r="D38" i="20"/>
  <c r="B38" i="20"/>
  <c r="F37" i="20"/>
  <c r="E37" i="20"/>
  <c r="D37" i="20"/>
  <c r="B37" i="20"/>
  <c r="F36" i="20"/>
  <c r="E36" i="20"/>
  <c r="D36" i="20"/>
  <c r="B36" i="20"/>
  <c r="F35" i="20"/>
  <c r="E35" i="20"/>
  <c r="D35" i="20"/>
  <c r="B35" i="20"/>
  <c r="F31" i="20"/>
  <c r="E31" i="20"/>
  <c r="D31" i="20"/>
  <c r="B31" i="20"/>
  <c r="F30" i="20"/>
  <c r="E30" i="20"/>
  <c r="D30" i="20"/>
  <c r="B30" i="20"/>
  <c r="F29" i="20"/>
  <c r="E29" i="20"/>
  <c r="D29" i="20"/>
  <c r="B29" i="20"/>
  <c r="F28" i="20"/>
  <c r="E28" i="20"/>
  <c r="D28" i="20"/>
  <c r="B28" i="20"/>
  <c r="F27" i="20"/>
  <c r="E27" i="20"/>
  <c r="D27" i="20"/>
  <c r="B27" i="20"/>
  <c r="F26" i="20"/>
  <c r="E26" i="20"/>
  <c r="D26" i="20"/>
  <c r="B26" i="20"/>
  <c r="F22" i="20"/>
  <c r="E22" i="20"/>
  <c r="D22" i="20"/>
  <c r="B22" i="20"/>
  <c r="F21" i="20"/>
  <c r="E21" i="20"/>
  <c r="D21" i="20"/>
  <c r="B21" i="20"/>
  <c r="F20" i="20"/>
  <c r="E20" i="20"/>
  <c r="D20" i="20"/>
  <c r="B20" i="20"/>
  <c r="F19" i="20"/>
  <c r="E19" i="20"/>
  <c r="D19" i="20"/>
  <c r="B19" i="20"/>
  <c r="F18" i="20"/>
  <c r="E18" i="20"/>
  <c r="D18" i="20"/>
  <c r="B18" i="20"/>
  <c r="F17" i="20"/>
  <c r="E17" i="20"/>
  <c r="D17" i="20"/>
  <c r="B17" i="20"/>
  <c r="F13" i="20"/>
  <c r="E13" i="20"/>
  <c r="D13" i="20"/>
  <c r="B13" i="20"/>
  <c r="F12" i="20"/>
  <c r="E12" i="20"/>
  <c r="D12" i="20"/>
  <c r="B12" i="20"/>
  <c r="F11" i="20"/>
  <c r="E11" i="20"/>
  <c r="D11" i="20"/>
  <c r="B11" i="20"/>
  <c r="F10" i="20"/>
  <c r="E10" i="20"/>
  <c r="D10" i="20"/>
  <c r="B10" i="20"/>
  <c r="F9" i="20"/>
  <c r="E9" i="20"/>
  <c r="D9" i="20"/>
  <c r="B9" i="20"/>
  <c r="F8" i="20"/>
  <c r="E8" i="20"/>
  <c r="D8" i="20"/>
  <c r="B8" i="20"/>
  <c r="N40" i="20"/>
  <c r="N39" i="20"/>
  <c r="N38" i="20"/>
  <c r="N37" i="20"/>
  <c r="N36" i="20"/>
  <c r="N35" i="20"/>
  <c r="G34" i="20"/>
  <c r="F34" i="20"/>
  <c r="E34" i="20"/>
  <c r="D34" i="20"/>
  <c r="C34" i="20"/>
  <c r="M33" i="20"/>
  <c r="L33" i="20"/>
  <c r="K33" i="20"/>
  <c r="J33" i="20"/>
  <c r="I33" i="20"/>
  <c r="H33" i="20"/>
  <c r="N31" i="20"/>
  <c r="N30" i="20"/>
  <c r="N29" i="20"/>
  <c r="N28" i="20"/>
  <c r="N27" i="20"/>
  <c r="N26" i="20"/>
  <c r="G25" i="20"/>
  <c r="F25" i="20"/>
  <c r="E25" i="20"/>
  <c r="D25" i="20"/>
  <c r="C25" i="20"/>
  <c r="M24" i="20"/>
  <c r="L24" i="20"/>
  <c r="K24" i="20"/>
  <c r="J24" i="20"/>
  <c r="I24" i="20"/>
  <c r="H24" i="20"/>
  <c r="Z19" i="3"/>
  <c r="N22" i="20"/>
  <c r="N21" i="20"/>
  <c r="N20" i="20"/>
  <c r="N19" i="20"/>
  <c r="N18" i="20"/>
  <c r="N17" i="20"/>
  <c r="G16" i="20"/>
  <c r="F16" i="20"/>
  <c r="E16" i="20"/>
  <c r="D16" i="20"/>
  <c r="C16" i="20"/>
  <c r="M15" i="20"/>
  <c r="L15" i="20"/>
  <c r="K15" i="20"/>
  <c r="J15" i="20"/>
  <c r="I15" i="20"/>
  <c r="H15" i="20"/>
  <c r="Z20" i="3"/>
  <c r="Z21" i="3"/>
  <c r="N13" i="20"/>
  <c r="N12" i="20"/>
  <c r="N11" i="20"/>
  <c r="N10" i="20"/>
  <c r="N9" i="20"/>
  <c r="N8" i="20"/>
  <c r="G7" i="20"/>
  <c r="F7" i="20"/>
  <c r="E7" i="20"/>
  <c r="D7" i="20"/>
  <c r="C7" i="20"/>
  <c r="M6" i="20"/>
  <c r="L6" i="20"/>
  <c r="K6" i="20"/>
  <c r="J6" i="20"/>
  <c r="I6" i="20"/>
  <c r="H6" i="20"/>
  <c r="B4" i="20"/>
  <c r="B2" i="20"/>
  <c r="E6" i="9"/>
  <c r="E11" i="6"/>
  <c r="E18" i="9"/>
  <c r="K7" i="6"/>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Z196" i="17"/>
  <c r="AA196" i="17"/>
  <c r="AB196" i="17"/>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W27" i="6"/>
  <c r="V27" i="6"/>
  <c r="U27" i="6"/>
  <c r="S27" i="6"/>
  <c r="R27" i="6"/>
  <c r="Q27" i="6"/>
  <c r="P27" i="6"/>
  <c r="O27" i="6"/>
  <c r="W26" i="6"/>
  <c r="V26" i="6"/>
  <c r="U26" i="6"/>
  <c r="S26" i="6"/>
  <c r="R26" i="6"/>
  <c r="Q26" i="6"/>
  <c r="P26" i="6"/>
  <c r="O26" i="6"/>
  <c r="W25" i="6"/>
  <c r="V25" i="6"/>
  <c r="U25" i="6"/>
  <c r="S25" i="6"/>
  <c r="R25" i="6"/>
  <c r="Q25" i="6"/>
  <c r="P25" i="6"/>
  <c r="O25" i="6"/>
  <c r="W24" i="6"/>
  <c r="V24" i="6"/>
  <c r="U24" i="6"/>
  <c r="S24" i="6"/>
  <c r="R24" i="6"/>
  <c r="Q24" i="6"/>
  <c r="P24" i="6"/>
  <c r="O24" i="6"/>
  <c r="W23" i="6"/>
  <c r="V23" i="6"/>
  <c r="U23" i="6"/>
  <c r="S23" i="6"/>
  <c r="R23" i="6"/>
  <c r="Q23" i="6"/>
  <c r="P23" i="6"/>
  <c r="O23" i="6"/>
  <c r="W22" i="6"/>
  <c r="V22" i="6"/>
  <c r="U22" i="6"/>
  <c r="S22" i="6"/>
  <c r="R22" i="6"/>
  <c r="Q22" i="6"/>
  <c r="P22" i="6"/>
  <c r="O22" i="6"/>
  <c r="T23" i="6"/>
  <c r="T24" i="6"/>
  <c r="T25" i="6"/>
  <c r="T26" i="6"/>
  <c r="T27" i="6"/>
  <c r="M12" i="6"/>
  <c r="M13" i="6"/>
  <c r="M14" i="6"/>
  <c r="M15" i="6"/>
  <c r="M16" i="6"/>
  <c r="M20" i="6"/>
  <c r="AD27" i="6"/>
  <c r="M17" i="6"/>
  <c r="AD26" i="6"/>
  <c r="AD25" i="6"/>
  <c r="AD24" i="6"/>
  <c r="AD23" i="6"/>
  <c r="AD22" i="6"/>
  <c r="T22" i="6"/>
  <c r="W21" i="6"/>
  <c r="V21" i="6"/>
  <c r="S21" i="6"/>
  <c r="R21" i="6"/>
  <c r="Q21" i="6"/>
  <c r="P21" i="6"/>
  <c r="O21" i="6"/>
  <c r="AC20" i="6"/>
  <c r="AB20" i="6"/>
  <c r="AA20" i="6"/>
  <c r="Z20" i="6"/>
  <c r="Y20" i="6"/>
  <c r="X20" i="6"/>
  <c r="M10" i="6"/>
  <c r="Z22" i="3"/>
  <c r="V135" i="3"/>
  <c r="W135" i="3"/>
  <c r="X135" i="3"/>
  <c r="Y135" i="3"/>
  <c r="AA135" i="3"/>
  <c r="AF135" i="3"/>
  <c r="AE135" i="3"/>
  <c r="AB135" i="3"/>
  <c r="Z135" i="3"/>
  <c r="V134" i="3"/>
  <c r="W134" i="3"/>
  <c r="X134" i="3"/>
  <c r="Y134" i="3"/>
  <c r="AA134" i="3"/>
  <c r="AF134" i="3"/>
  <c r="AE134" i="3"/>
  <c r="AB134" i="3"/>
  <c r="Z134" i="3"/>
  <c r="V133" i="3"/>
  <c r="W133" i="3"/>
  <c r="X133" i="3"/>
  <c r="Y133" i="3"/>
  <c r="AA133" i="3"/>
  <c r="AF133" i="3"/>
  <c r="AE133" i="3"/>
  <c r="AB133" i="3"/>
  <c r="Z133" i="3"/>
  <c r="V132" i="3"/>
  <c r="W132" i="3"/>
  <c r="X132" i="3"/>
  <c r="Y132" i="3"/>
  <c r="AA132" i="3"/>
  <c r="AF132" i="3"/>
  <c r="AE132" i="3"/>
  <c r="AB132" i="3"/>
  <c r="Z132" i="3"/>
  <c r="V131" i="3"/>
  <c r="W131" i="3"/>
  <c r="X131" i="3"/>
  <c r="Y131" i="3"/>
  <c r="AA131" i="3"/>
  <c r="AF131" i="3"/>
  <c r="AE131" i="3"/>
  <c r="AB131" i="3"/>
  <c r="Z131" i="3"/>
  <c r="V130" i="3"/>
  <c r="W130" i="3"/>
  <c r="X130" i="3"/>
  <c r="Y130" i="3"/>
  <c r="AA130" i="3"/>
  <c r="AF130" i="3"/>
  <c r="AE130" i="3"/>
  <c r="AB130" i="3"/>
  <c r="Z130" i="3"/>
  <c r="V129" i="3"/>
  <c r="W129" i="3"/>
  <c r="X129" i="3"/>
  <c r="Y129" i="3"/>
  <c r="AA129" i="3"/>
  <c r="AF129" i="3"/>
  <c r="AE129" i="3"/>
  <c r="AB129" i="3"/>
  <c r="Z129" i="3"/>
  <c r="V128" i="3"/>
  <c r="W128" i="3"/>
  <c r="X128" i="3"/>
  <c r="Y128" i="3"/>
  <c r="AA128" i="3"/>
  <c r="AF128" i="3"/>
  <c r="AE128" i="3"/>
  <c r="AB128" i="3"/>
  <c r="Z128" i="3"/>
  <c r="V127" i="3"/>
  <c r="W127" i="3"/>
  <c r="X127" i="3"/>
  <c r="Y127" i="3"/>
  <c r="AA127" i="3"/>
  <c r="AF127" i="3"/>
  <c r="AE127" i="3"/>
  <c r="AB127" i="3"/>
  <c r="Z127" i="3"/>
  <c r="V126" i="3"/>
  <c r="W126" i="3"/>
  <c r="X126" i="3"/>
  <c r="Y126" i="3"/>
  <c r="AA126" i="3"/>
  <c r="AF126" i="3"/>
  <c r="AE126" i="3"/>
  <c r="AB126" i="3"/>
  <c r="Z126" i="3"/>
  <c r="V125" i="3"/>
  <c r="W125" i="3"/>
  <c r="X125" i="3"/>
  <c r="Y125" i="3"/>
  <c r="AA125" i="3"/>
  <c r="AF125" i="3"/>
  <c r="AE125" i="3"/>
  <c r="AB125" i="3"/>
  <c r="Z125" i="3"/>
  <c r="V135" i="17"/>
  <c r="W135" i="17"/>
  <c r="X135" i="17"/>
  <c r="Y135" i="17"/>
  <c r="Z135" i="17"/>
  <c r="V125" i="17"/>
  <c r="W125" i="17"/>
  <c r="X125" i="17"/>
  <c r="Y125" i="17"/>
  <c r="Z125" i="17"/>
  <c r="V126" i="17"/>
  <c r="W126" i="17"/>
  <c r="X126" i="17"/>
  <c r="Y126" i="17"/>
  <c r="Z126" i="17"/>
  <c r="V127" i="17"/>
  <c r="W127" i="17"/>
  <c r="X127" i="17"/>
  <c r="Y127" i="17"/>
  <c r="Z127" i="17"/>
  <c r="V128" i="17"/>
  <c r="W128" i="17"/>
  <c r="X128" i="17"/>
  <c r="Y128" i="17"/>
  <c r="Z128" i="17"/>
  <c r="V129" i="17"/>
  <c r="W129" i="17"/>
  <c r="X129" i="17"/>
  <c r="Y129" i="17"/>
  <c r="Z129" i="17"/>
  <c r="V130" i="17"/>
  <c r="W130" i="17"/>
  <c r="X130" i="17"/>
  <c r="Y130" i="17"/>
  <c r="Z130" i="17"/>
  <c r="V131" i="17"/>
  <c r="W131" i="17"/>
  <c r="X131" i="17"/>
  <c r="Y131" i="17"/>
  <c r="Z131" i="17"/>
  <c r="V132" i="17"/>
  <c r="W132" i="17"/>
  <c r="X132" i="17"/>
  <c r="Y132" i="17"/>
  <c r="Z132" i="17"/>
  <c r="V133" i="17"/>
  <c r="W133" i="17"/>
  <c r="X133" i="17"/>
  <c r="Y133" i="17"/>
  <c r="Z133" i="17"/>
  <c r="V134" i="17"/>
  <c r="W134" i="17"/>
  <c r="X134" i="17"/>
  <c r="Y134" i="17"/>
  <c r="Z134" i="17"/>
  <c r="AB135" i="17"/>
  <c r="AB125" i="17"/>
  <c r="AB126" i="17"/>
  <c r="AB127" i="17"/>
  <c r="AB128" i="17"/>
  <c r="AB129" i="17"/>
  <c r="AB130" i="17"/>
  <c r="AB131" i="17"/>
  <c r="AB132" i="17"/>
  <c r="AB133" i="17"/>
  <c r="AB134" i="17"/>
  <c r="AA135" i="17"/>
  <c r="AA207" i="17"/>
  <c r="AB207" i="17"/>
  <c r="Z207" i="17"/>
  <c r="AA134" i="17"/>
  <c r="AA206" i="17"/>
  <c r="AB206" i="17"/>
  <c r="Z206" i="17"/>
  <c r="AA133" i="17"/>
  <c r="AA205" i="17"/>
  <c r="AB205" i="17"/>
  <c r="Z205" i="17"/>
  <c r="AA132" i="17"/>
  <c r="AA204" i="17"/>
  <c r="AB204" i="17"/>
  <c r="Z204" i="17"/>
  <c r="AA131" i="17"/>
  <c r="AA203" i="17"/>
  <c r="AB203" i="17"/>
  <c r="Z203" i="17"/>
  <c r="AA130" i="17"/>
  <c r="AA202" i="17"/>
  <c r="AB202" i="17"/>
  <c r="Z202" i="17"/>
  <c r="AA129" i="17"/>
  <c r="AA201" i="17"/>
  <c r="AB201" i="17"/>
  <c r="Z201" i="17"/>
  <c r="AA128" i="17"/>
  <c r="AA200" i="17"/>
  <c r="AB200" i="17"/>
  <c r="Z200" i="17"/>
  <c r="AA127" i="17"/>
  <c r="AA199" i="17"/>
  <c r="AB199" i="17"/>
  <c r="Z199" i="17"/>
  <c r="AA126" i="17"/>
  <c r="AA198" i="17"/>
  <c r="AB198" i="17"/>
  <c r="Z198" i="17"/>
  <c r="AA125" i="17"/>
  <c r="AA197" i="17"/>
  <c r="AB197" i="17"/>
  <c r="Z197" i="17"/>
  <c r="AF135" i="17"/>
  <c r="AE135" i="17"/>
  <c r="AF134" i="17"/>
  <c r="AE134" i="17"/>
  <c r="AF133" i="17"/>
  <c r="AE133" i="17"/>
  <c r="AF132" i="17"/>
  <c r="AE132" i="17"/>
  <c r="AF131" i="17"/>
  <c r="AE131" i="17"/>
  <c r="AF130" i="17"/>
  <c r="AE130" i="17"/>
  <c r="AF129" i="17"/>
  <c r="AE129" i="17"/>
  <c r="AF128" i="17"/>
  <c r="AE128" i="17"/>
  <c r="AF127" i="17"/>
  <c r="AE127" i="17"/>
  <c r="AF126" i="17"/>
  <c r="AE126" i="17"/>
  <c r="AF125" i="17"/>
  <c r="AE125" i="17"/>
  <c r="Q72" i="17"/>
  <c r="Q71" i="17"/>
  <c r="Q70" i="17"/>
  <c r="F12" i="17"/>
  <c r="BR60" i="17"/>
  <c r="F11" i="17"/>
  <c r="BZ51" i="17"/>
  <c r="F10" i="17"/>
  <c r="BY51" i="17"/>
  <c r="C25" i="17"/>
  <c r="BR59" i="17"/>
  <c r="CA51" i="17"/>
  <c r="C24" i="17"/>
  <c r="BR58" i="17"/>
  <c r="C23" i="17"/>
  <c r="BR37" i="17"/>
  <c r="CA29" i="17"/>
  <c r="BR38" i="17"/>
  <c r="BZ29" i="17"/>
  <c r="BR36" i="17"/>
  <c r="BY29" i="17"/>
  <c r="BR49" i="17"/>
  <c r="BR48" i="17"/>
  <c r="BR47" i="17"/>
  <c r="CA40" i="17"/>
  <c r="BZ40" i="17"/>
  <c r="BY40" i="17"/>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D17" i="17"/>
  <c r="Q72" i="3"/>
  <c r="Q71" i="3"/>
  <c r="Q70" i="3"/>
  <c r="F10" i="3"/>
  <c r="F11" i="3"/>
  <c r="F12" i="3"/>
  <c r="E117" i="9"/>
  <c r="B17" i="14"/>
  <c r="AA207" i="3"/>
  <c r="AB207" i="3"/>
  <c r="AA196" i="3"/>
  <c r="AB196" i="3"/>
  <c r="AA197" i="3"/>
  <c r="AB197" i="3"/>
  <c r="AA198" i="3"/>
  <c r="AB198" i="3"/>
  <c r="AA199" i="3"/>
  <c r="AB199" i="3"/>
  <c r="AA200" i="3"/>
  <c r="AB200" i="3"/>
  <c r="AA201" i="3"/>
  <c r="AB201" i="3"/>
  <c r="AA202" i="3"/>
  <c r="AB202" i="3"/>
  <c r="AA203" i="3"/>
  <c r="AB203" i="3"/>
  <c r="AA204" i="3"/>
  <c r="AB204" i="3"/>
  <c r="AA205" i="3"/>
  <c r="AB205" i="3"/>
  <c r="AA206" i="3"/>
  <c r="AB206" i="3"/>
  <c r="Z207" i="3"/>
  <c r="Z196" i="3"/>
  <c r="Z197" i="3"/>
  <c r="Z198" i="3"/>
  <c r="Z199" i="3"/>
  <c r="Z200" i="3"/>
  <c r="Z201" i="3"/>
  <c r="Z202" i="3"/>
  <c r="Z203" i="3"/>
  <c r="Z204" i="3"/>
  <c r="Z205" i="3"/>
  <c r="Z206" i="3"/>
  <c r="E13" i="9"/>
  <c r="E105" i="9"/>
  <c r="E106" i="9"/>
  <c r="E12" i="9"/>
  <c r="E11" i="9"/>
  <c r="E8" i="9"/>
  <c r="E38" i="9"/>
  <c r="E108" i="9"/>
  <c r="E104" i="9"/>
  <c r="E110" i="9"/>
  <c r="BY51" i="3"/>
  <c r="BZ51" i="3"/>
  <c r="CA51" i="3"/>
  <c r="BR58" i="3"/>
  <c r="BR59" i="3"/>
  <c r="BR60" i="3"/>
  <c r="BY29" i="3"/>
  <c r="BR36" i="3"/>
  <c r="BZ29" i="3"/>
  <c r="BR37" i="3"/>
  <c r="CA29" i="3"/>
  <c r="BR38" i="3"/>
  <c r="E113" i="9"/>
  <c r="B15" i="14"/>
  <c r="B14" i="14"/>
  <c r="E112" i="9"/>
  <c r="B12" i="14"/>
  <c r="E115" i="9"/>
  <c r="B11" i="14"/>
  <c r="E114" i="9"/>
  <c r="B7" i="14"/>
  <c r="E140" i="9"/>
  <c r="C23" i="3"/>
  <c r="C24" i="3"/>
  <c r="BY40" i="3"/>
  <c r="BR47" i="3"/>
  <c r="BZ40" i="3"/>
  <c r="BR48" i="3"/>
  <c r="E52" i="9"/>
  <c r="B4" i="14"/>
  <c r="E51" i="9"/>
  <c r="B1" i="14"/>
  <c r="E50" i="9"/>
  <c r="A1" i="13"/>
  <c r="C25" i="3"/>
  <c r="CA40" i="3"/>
  <c r="BR49" i="3"/>
  <c r="D11" i="6"/>
  <c r="C11" i="6"/>
  <c r="E47" i="9"/>
  <c r="E46" i="9"/>
  <c r="E107" i="9"/>
  <c r="L1" i="9"/>
  <c r="E35" i="9"/>
  <c r="E36" i="9"/>
  <c r="E37" i="9"/>
  <c r="F102" i="9"/>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Z23" i="3"/>
  <c r="Z25" i="3"/>
  <c r="Z24" i="3"/>
  <c r="AD13" i="6"/>
  <c r="AD14" i="6"/>
  <c r="AD15" i="6"/>
  <c r="AD16" i="6"/>
  <c r="AD17" i="6"/>
  <c r="AD12" i="6"/>
  <c r="Y10" i="6"/>
  <c r="Z10" i="6"/>
  <c r="AA10" i="6"/>
  <c r="AB10" i="6"/>
  <c r="AC10" i="6"/>
  <c r="X10" i="6"/>
  <c r="W17" i="6"/>
  <c r="V17" i="6"/>
  <c r="U17" i="6"/>
  <c r="S17" i="6"/>
  <c r="R17" i="6"/>
  <c r="Q17" i="6"/>
  <c r="P17" i="6"/>
  <c r="O17"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D17" i="3"/>
  <c r="Z23" i="17"/>
  <c r="Z24" i="17"/>
  <c r="Z25" i="17"/>
  <c r="AG17" i="25"/>
  <c r="AH17" i="25"/>
  <c r="AG18" i="25"/>
  <c r="AH18" i="25"/>
  <c r="AG19" i="25"/>
  <c r="AH19" i="25"/>
  <c r="AG20" i="25"/>
  <c r="AH20" i="25"/>
  <c r="AG21" i="25"/>
  <c r="AH21" i="25"/>
  <c r="AG22" i="25"/>
  <c r="AH22" i="25"/>
  <c r="Z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AG23" i="25"/>
  <c r="AH23" i="25"/>
  <c r="Z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AG24" i="25"/>
  <c r="AH24" i="25"/>
  <c r="Z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AG25" i="25"/>
  <c r="AH25" i="25"/>
  <c r="E47" i="26" a="1"/>
  <c r="E47" i="26"/>
  <c r="F47" i="26" a="1"/>
  <c r="F47" i="26"/>
  <c r="G47" i="26" a="1"/>
  <c r="H47" i="26" a="1"/>
  <c r="I47" i="26" a="1"/>
  <c r="J47" i="26" a="1"/>
  <c r="K47" i="26" a="1"/>
  <c r="L47" i="26" a="1"/>
  <c r="M47" i="26" a="1"/>
  <c r="N47" i="26" a="1"/>
  <c r="O47" i="26" a="1"/>
  <c r="P47" i="26" a="1"/>
  <c r="Q47" i="26" a="1"/>
  <c r="R47" i="26" a="1"/>
  <c r="S47" i="26" a="1"/>
  <c r="T47" i="26" a="1"/>
  <c r="U47" i="26" a="1"/>
  <c r="V47" i="26" a="1"/>
  <c r="W47" i="26" a="1"/>
  <c r="X47" i="26" a="1"/>
  <c r="Y47" i="26" a="1"/>
  <c r="Z47" i="26" a="1"/>
  <c r="AA47" i="26" a="1"/>
  <c r="AB47" i="26" a="1"/>
  <c r="AC47" i="26" a="1"/>
  <c r="AD47" i="26" a="1"/>
  <c r="AE47" i="26" a="1"/>
  <c r="AF47" i="26" a="1"/>
  <c r="AG47" i="26" a="1"/>
  <c r="AH47" i="26" a="1"/>
  <c r="AI47" i="26" a="1"/>
  <c r="AJ47" i="26" a="1"/>
  <c r="AK47" i="26" a="1"/>
  <c r="AL47" i="26" a="1"/>
  <c r="AM47" i="26" a="1"/>
  <c r="AN47" i="26" a="1"/>
  <c r="AO47" i="26" a="1"/>
  <c r="AP47" i="26" a="1"/>
  <c r="AQ47" i="26" a="1"/>
  <c r="AR47" i="26" a="1"/>
  <c r="AS47" i="26" a="1"/>
  <c r="AT47" i="26" a="1"/>
  <c r="AU47" i="26" a="1"/>
  <c r="AV47" i="26" a="1"/>
  <c r="AW47" i="26" a="1"/>
  <c r="AX47" i="26" a="1"/>
  <c r="AY47" i="26" a="1"/>
  <c r="AZ47" i="26" a="1"/>
  <c r="BA47" i="26" a="1"/>
  <c r="BB47" i="26" a="1"/>
  <c r="BC47" i="26" a="1"/>
  <c r="BD47" i="26" a="1"/>
  <c r="BE47" i="26" a="1"/>
  <c r="BF47" i="26" a="1"/>
  <c r="BG47" i="26" a="1"/>
  <c r="BH47" i="26" a="1"/>
  <c r="BI47" i="26" a="1"/>
  <c r="BJ47" i="26" a="1"/>
  <c r="BK47" i="26" a="1"/>
  <c r="BL47" i="26" a="1"/>
  <c r="BM47" i="26" a="1"/>
  <c r="BN47" i="26" a="1"/>
  <c r="BO47" i="26" a="1"/>
  <c r="BP47" i="26" a="1"/>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AX47" i="26"/>
  <c r="AY47" i="26"/>
  <c r="AZ47" i="26"/>
  <c r="BA47" i="26"/>
  <c r="BB47" i="26"/>
  <c r="BC47" i="26"/>
  <c r="BD47" i="26"/>
  <c r="BE47" i="26"/>
  <c r="BF47" i="26"/>
  <c r="BG47" i="26"/>
  <c r="BH47" i="26"/>
  <c r="BI47" i="26"/>
  <c r="BJ47" i="26"/>
  <c r="BK47" i="26"/>
  <c r="BL47" i="26"/>
  <c r="BM47" i="26"/>
  <c r="BN47" i="26"/>
  <c r="BO47" i="26"/>
  <c r="BP47" i="26"/>
  <c r="AB23" i="26"/>
  <c r="E58" i="26" a="1"/>
  <c r="E58" i="26"/>
  <c r="F58" i="26" a="1"/>
  <c r="F58" i="26"/>
  <c r="G58" i="26" a="1"/>
  <c r="H58" i="26" a="1"/>
  <c r="I58" i="26" a="1"/>
  <c r="J58" i="26" a="1"/>
  <c r="K58" i="26" a="1"/>
  <c r="L58" i="26" a="1"/>
  <c r="M58" i="26" a="1"/>
  <c r="N58" i="26" a="1"/>
  <c r="O58" i="26" a="1"/>
  <c r="P58" i="26" a="1"/>
  <c r="Q58" i="26" a="1"/>
  <c r="R58" i="26" a="1"/>
  <c r="S58" i="26" a="1"/>
  <c r="T58" i="26" a="1"/>
  <c r="U58" i="26" a="1"/>
  <c r="V58" i="26" a="1"/>
  <c r="W58" i="26" a="1"/>
  <c r="X58" i="26" a="1"/>
  <c r="Y58" i="26" a="1"/>
  <c r="Z58" i="26" a="1"/>
  <c r="AA58" i="26" a="1"/>
  <c r="AB58" i="26" a="1"/>
  <c r="AC58" i="26" a="1"/>
  <c r="AD58" i="26" a="1"/>
  <c r="AE58" i="26" a="1"/>
  <c r="AF58" i="26" a="1"/>
  <c r="AG58" i="26" a="1"/>
  <c r="AH58" i="26" a="1"/>
  <c r="AI58" i="26" a="1"/>
  <c r="AJ58" i="26" a="1"/>
  <c r="AK58" i="26" a="1"/>
  <c r="AL58" i="26" a="1"/>
  <c r="AM58" i="26" a="1"/>
  <c r="AN58" i="26" a="1"/>
  <c r="AO58" i="26" a="1"/>
  <c r="AP58" i="26" a="1"/>
  <c r="AQ58" i="26" a="1"/>
  <c r="AR58" i="26" a="1"/>
  <c r="AS58" i="26" a="1"/>
  <c r="AT58" i="26" a="1"/>
  <c r="AU58" i="26" a="1"/>
  <c r="AV58" i="26" a="1"/>
  <c r="AW58" i="26" a="1"/>
  <c r="AX58" i="26" a="1"/>
  <c r="AY58" i="26" a="1"/>
  <c r="AZ58" i="26" a="1"/>
  <c r="BA58" i="26" a="1"/>
  <c r="BB58" i="26" a="1"/>
  <c r="BC58" i="26" a="1"/>
  <c r="BD58" i="26" a="1"/>
  <c r="BE58" i="26" a="1"/>
  <c r="BF58" i="26" a="1"/>
  <c r="BG58" i="26" a="1"/>
  <c r="BH58" i="26" a="1"/>
  <c r="BI58" i="26" a="1"/>
  <c r="BJ58" i="26" a="1"/>
  <c r="BK58" i="26" a="1"/>
  <c r="BL58" i="26" a="1"/>
  <c r="BM58" i="26" a="1"/>
  <c r="BN58" i="26" a="1"/>
  <c r="BO58" i="26" a="1"/>
  <c r="BP58" i="26" a="1"/>
  <c r="G58" i="26"/>
  <c r="H58" i="26"/>
  <c r="I58" i="26"/>
  <c r="J58" i="26"/>
  <c r="K58" i="26"/>
  <c r="L58" i="26"/>
  <c r="M58" i="26"/>
  <c r="N58" i="26"/>
  <c r="O58" i="26"/>
  <c r="P58" i="26"/>
  <c r="Q58" i="26"/>
  <c r="R58" i="26"/>
  <c r="S58" i="26"/>
  <c r="T58" i="26"/>
  <c r="U58" i="26"/>
  <c r="V58" i="26"/>
  <c r="W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AU58" i="26"/>
  <c r="AV58" i="26"/>
  <c r="AW58" i="26"/>
  <c r="AX58" i="26"/>
  <c r="AY58" i="26"/>
  <c r="AZ58" i="26"/>
  <c r="BA58" i="26"/>
  <c r="BB58" i="26"/>
  <c r="BC58" i="26"/>
  <c r="BD58" i="26"/>
  <c r="BE58" i="26"/>
  <c r="BF58" i="26"/>
  <c r="BG58" i="26"/>
  <c r="BH58" i="26"/>
  <c r="BI58" i="26"/>
  <c r="BJ58" i="26"/>
  <c r="BK58" i="26"/>
  <c r="BL58" i="26"/>
  <c r="BM58" i="26"/>
  <c r="BN58" i="26"/>
  <c r="BO58" i="26"/>
  <c r="BP58" i="26"/>
  <c r="AC23" i="26"/>
  <c r="E48" i="26" a="1"/>
  <c r="E48" i="26"/>
  <c r="F48" i="26" a="1"/>
  <c r="F48" i="26"/>
  <c r="G48" i="26" a="1"/>
  <c r="H48" i="26" a="1"/>
  <c r="I48" i="26" a="1"/>
  <c r="J48" i="26" a="1"/>
  <c r="K48" i="26" a="1"/>
  <c r="L48" i="26" a="1"/>
  <c r="M48" i="26" a="1"/>
  <c r="N48" i="26" a="1"/>
  <c r="O48" i="26" a="1"/>
  <c r="P48" i="26" a="1"/>
  <c r="Q48" i="26" a="1"/>
  <c r="R48" i="26" a="1"/>
  <c r="S48" i="26" a="1"/>
  <c r="T48" i="26" a="1"/>
  <c r="U48" i="26" a="1"/>
  <c r="V48" i="26" a="1"/>
  <c r="W48" i="26" a="1"/>
  <c r="X48" i="26" a="1"/>
  <c r="Y48" i="26" a="1"/>
  <c r="Z48" i="26" a="1"/>
  <c r="AA48" i="26" a="1"/>
  <c r="AB48" i="26" a="1"/>
  <c r="AC48" i="26" a="1"/>
  <c r="AD48" i="26" a="1"/>
  <c r="AE48" i="26" a="1"/>
  <c r="AF48" i="26" a="1"/>
  <c r="AG48" i="26" a="1"/>
  <c r="AH48" i="26" a="1"/>
  <c r="AI48" i="26" a="1"/>
  <c r="AJ48" i="26" a="1"/>
  <c r="AK48" i="26" a="1"/>
  <c r="AL48" i="26" a="1"/>
  <c r="AM48" i="26" a="1"/>
  <c r="AN48" i="26" a="1"/>
  <c r="AO48" i="26" a="1"/>
  <c r="AP48" i="26" a="1"/>
  <c r="AQ48" i="26" a="1"/>
  <c r="AR48" i="26" a="1"/>
  <c r="AS48" i="26" a="1"/>
  <c r="AT48" i="26" a="1"/>
  <c r="AU48" i="26" a="1"/>
  <c r="AV48" i="26" a="1"/>
  <c r="AW48" i="26" a="1"/>
  <c r="AX48" i="26" a="1"/>
  <c r="AY48" i="26" a="1"/>
  <c r="AZ48" i="26" a="1"/>
  <c r="BA48" i="26" a="1"/>
  <c r="BB48" i="26" a="1"/>
  <c r="BC48" i="26" a="1"/>
  <c r="BD48" i="26" a="1"/>
  <c r="BE48" i="26" a="1"/>
  <c r="BF48" i="26" a="1"/>
  <c r="BG48" i="26" a="1"/>
  <c r="BH48" i="26" a="1"/>
  <c r="BI48" i="26" a="1"/>
  <c r="BJ48" i="26" a="1"/>
  <c r="BK48" i="26" a="1"/>
  <c r="BL48" i="26" a="1"/>
  <c r="BM48" i="26" a="1"/>
  <c r="BN48" i="26" a="1"/>
  <c r="BO48" i="26" a="1"/>
  <c r="BP48" i="26" a="1"/>
  <c r="G48" i="26"/>
  <c r="H48" i="26"/>
  <c r="I48" i="26"/>
  <c r="J48" i="26"/>
  <c r="K48" i="26"/>
  <c r="L48" i="26"/>
  <c r="M48" i="26"/>
  <c r="N48" i="26"/>
  <c r="O48" i="26"/>
  <c r="P48" i="26"/>
  <c r="Q48" i="26"/>
  <c r="R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AX48" i="26"/>
  <c r="AY48" i="26"/>
  <c r="AZ48" i="26"/>
  <c r="BA48" i="26"/>
  <c r="BB48" i="26"/>
  <c r="BC48" i="26"/>
  <c r="BD48" i="26"/>
  <c r="BE48" i="26"/>
  <c r="BF48" i="26"/>
  <c r="BG48" i="26"/>
  <c r="BH48" i="26"/>
  <c r="BI48" i="26"/>
  <c r="BJ48" i="26"/>
  <c r="BK48" i="26"/>
  <c r="BL48" i="26"/>
  <c r="BM48" i="26"/>
  <c r="BN48" i="26"/>
  <c r="BO48" i="26"/>
  <c r="BP48" i="26"/>
  <c r="AB24" i="26"/>
  <c r="E59" i="26" a="1"/>
  <c r="E59" i="26"/>
  <c r="F59" i="26" a="1"/>
  <c r="F59" i="26"/>
  <c r="G59" i="26" a="1"/>
  <c r="H59" i="26" a="1"/>
  <c r="I59" i="26" a="1"/>
  <c r="J59" i="26" a="1"/>
  <c r="K59" i="26" a="1"/>
  <c r="L59" i="26" a="1"/>
  <c r="M59" i="26" a="1"/>
  <c r="N59" i="26" a="1"/>
  <c r="O59" i="26" a="1"/>
  <c r="P59" i="26" a="1"/>
  <c r="Q59" i="26" a="1"/>
  <c r="R59" i="26" a="1"/>
  <c r="S59" i="26" a="1"/>
  <c r="T59" i="26" a="1"/>
  <c r="U59" i="26" a="1"/>
  <c r="V59" i="26" a="1"/>
  <c r="W59" i="26" a="1"/>
  <c r="X59" i="26" a="1"/>
  <c r="Y59" i="26" a="1"/>
  <c r="Z59" i="26" a="1"/>
  <c r="AA59" i="26" a="1"/>
  <c r="AB59" i="26" a="1"/>
  <c r="AC59" i="26" a="1"/>
  <c r="AD59" i="26" a="1"/>
  <c r="AE59" i="26" a="1"/>
  <c r="AF59" i="26" a="1"/>
  <c r="AG59" i="26" a="1"/>
  <c r="AH59" i="26" a="1"/>
  <c r="AI59" i="26" a="1"/>
  <c r="AJ59" i="26" a="1"/>
  <c r="AK59" i="26" a="1"/>
  <c r="AL59" i="26" a="1"/>
  <c r="AM59" i="26" a="1"/>
  <c r="AN59" i="26" a="1"/>
  <c r="AO59" i="26" a="1"/>
  <c r="AP59" i="26" a="1"/>
  <c r="AQ59" i="26" a="1"/>
  <c r="AR59" i="26" a="1"/>
  <c r="AS59" i="26" a="1"/>
  <c r="AT59" i="26" a="1"/>
  <c r="AU59" i="26" a="1"/>
  <c r="AV59" i="26" a="1"/>
  <c r="AW59" i="26" a="1"/>
  <c r="AX59" i="26" a="1"/>
  <c r="AY59" i="26" a="1"/>
  <c r="AZ59" i="26" a="1"/>
  <c r="BA59" i="26" a="1"/>
  <c r="BB59" i="26" a="1"/>
  <c r="BC59" i="26" a="1"/>
  <c r="BD59" i="26" a="1"/>
  <c r="BE59" i="26" a="1"/>
  <c r="BF59" i="26" a="1"/>
  <c r="BG59" i="26" a="1"/>
  <c r="BH59" i="26" a="1"/>
  <c r="BI59" i="26" a="1"/>
  <c r="BJ59" i="26" a="1"/>
  <c r="BK59" i="26" a="1"/>
  <c r="BL59" i="26" a="1"/>
  <c r="BM59" i="26" a="1"/>
  <c r="BN59" i="26" a="1"/>
  <c r="BO59" i="26" a="1"/>
  <c r="BP59" i="26" a="1"/>
  <c r="G59" i="26"/>
  <c r="H59" i="26"/>
  <c r="I59" i="26"/>
  <c r="J59" i="26"/>
  <c r="K59" i="26"/>
  <c r="L59" i="26"/>
  <c r="M59" i="26"/>
  <c r="N59" i="26"/>
  <c r="O59" i="26"/>
  <c r="P59" i="26"/>
  <c r="Q59" i="26"/>
  <c r="R59"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AX59" i="26"/>
  <c r="AY59" i="26"/>
  <c r="AZ59" i="26"/>
  <c r="BA59" i="26"/>
  <c r="BB59" i="26"/>
  <c r="BC59" i="26"/>
  <c r="BD59" i="26"/>
  <c r="BE59" i="26"/>
  <c r="BF59" i="26"/>
  <c r="BG59" i="26"/>
  <c r="BH59" i="26"/>
  <c r="BI59" i="26"/>
  <c r="BJ59" i="26"/>
  <c r="BK59" i="26"/>
  <c r="BL59" i="26"/>
  <c r="BM59" i="26"/>
  <c r="BN59" i="26"/>
  <c r="BO59" i="26"/>
  <c r="BP59" i="26"/>
  <c r="AC24" i="26"/>
  <c r="E49" i="26" a="1"/>
  <c r="E49" i="26"/>
  <c r="F49" i="26" a="1"/>
  <c r="F49" i="26"/>
  <c r="G49" i="26" a="1"/>
  <c r="H49" i="26" a="1"/>
  <c r="I49" i="26" a="1"/>
  <c r="J49" i="26" a="1"/>
  <c r="K49" i="26" a="1"/>
  <c r="L49" i="26" a="1"/>
  <c r="M49" i="26" a="1"/>
  <c r="N49" i="26" a="1"/>
  <c r="O49" i="26" a="1"/>
  <c r="P49" i="26" a="1"/>
  <c r="Q49" i="26" a="1"/>
  <c r="R49" i="26" a="1"/>
  <c r="S49" i="26" a="1"/>
  <c r="T49" i="26" a="1"/>
  <c r="U49" i="26" a="1"/>
  <c r="V49" i="26" a="1"/>
  <c r="W49" i="26" a="1"/>
  <c r="X49" i="26" a="1"/>
  <c r="Y49" i="26" a="1"/>
  <c r="Z49" i="26" a="1"/>
  <c r="AA49" i="26" a="1"/>
  <c r="AB49" i="26" a="1"/>
  <c r="AC49" i="26" a="1"/>
  <c r="AD49" i="26" a="1"/>
  <c r="AE49" i="26" a="1"/>
  <c r="AF49" i="26" a="1"/>
  <c r="AG49" i="26" a="1"/>
  <c r="AH49" i="26" a="1"/>
  <c r="AI49" i="26" a="1"/>
  <c r="AJ49" i="26" a="1"/>
  <c r="AK49" i="26" a="1"/>
  <c r="AL49" i="26" a="1"/>
  <c r="AM49" i="26" a="1"/>
  <c r="AN49" i="26" a="1"/>
  <c r="AO49" i="26" a="1"/>
  <c r="AP49" i="26" a="1"/>
  <c r="AQ49" i="26" a="1"/>
  <c r="AR49" i="26" a="1"/>
  <c r="AS49" i="26" a="1"/>
  <c r="AT49" i="26" a="1"/>
  <c r="AU49" i="26" a="1"/>
  <c r="AV49" i="26" a="1"/>
  <c r="AW49" i="26" a="1"/>
  <c r="AX49" i="26" a="1"/>
  <c r="AY49" i="26" a="1"/>
  <c r="AZ49" i="26" a="1"/>
  <c r="BA49" i="26" a="1"/>
  <c r="BB49" i="26" a="1"/>
  <c r="BC49" i="26" a="1"/>
  <c r="BD49" i="26" a="1"/>
  <c r="BE49" i="26" a="1"/>
  <c r="BF49" i="26" a="1"/>
  <c r="BG49" i="26" a="1"/>
  <c r="BH49" i="26" a="1"/>
  <c r="BI49" i="26" a="1"/>
  <c r="BJ49" i="26" a="1"/>
  <c r="BK49" i="26" a="1"/>
  <c r="BL49" i="26" a="1"/>
  <c r="BM49" i="26" a="1"/>
  <c r="BN49" i="26" a="1"/>
  <c r="BO49" i="26" a="1"/>
  <c r="BP49" i="26" a="1"/>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AT49" i="26"/>
  <c r="AU49" i="26"/>
  <c r="AV49" i="26"/>
  <c r="AW49" i="26"/>
  <c r="AX49" i="26"/>
  <c r="AY49" i="26"/>
  <c r="AZ49" i="26"/>
  <c r="BA49" i="26"/>
  <c r="BB49" i="26"/>
  <c r="BC49" i="26"/>
  <c r="BD49" i="26"/>
  <c r="BE49" i="26"/>
  <c r="BF49" i="26"/>
  <c r="BG49" i="26"/>
  <c r="BH49" i="26"/>
  <c r="BI49" i="26"/>
  <c r="BJ49" i="26"/>
  <c r="BK49" i="26"/>
  <c r="BL49" i="26"/>
  <c r="BM49" i="26"/>
  <c r="BN49" i="26"/>
  <c r="BO49" i="26"/>
  <c r="BP49" i="26"/>
  <c r="AB25" i="26"/>
  <c r="E60" i="26" a="1"/>
  <c r="E60" i="26"/>
  <c r="F60" i="26" a="1"/>
  <c r="F60" i="26"/>
  <c r="G60" i="26" a="1"/>
  <c r="H60" i="26" a="1"/>
  <c r="I60" i="26" a="1"/>
  <c r="J60" i="26" a="1"/>
  <c r="K60" i="26" a="1"/>
  <c r="L60" i="26" a="1"/>
  <c r="M60" i="26" a="1"/>
  <c r="N60" i="26" a="1"/>
  <c r="O60" i="26" a="1"/>
  <c r="P60" i="26" a="1"/>
  <c r="Q60" i="26" a="1"/>
  <c r="R60" i="26" a="1"/>
  <c r="S60" i="26" a="1"/>
  <c r="T60" i="26" a="1"/>
  <c r="U60" i="26" a="1"/>
  <c r="V60" i="26" a="1"/>
  <c r="W60" i="26" a="1"/>
  <c r="X60" i="26" a="1"/>
  <c r="Y60" i="26" a="1"/>
  <c r="Z60" i="26" a="1"/>
  <c r="AA60" i="26" a="1"/>
  <c r="AB60" i="26" a="1"/>
  <c r="AC60" i="26" a="1"/>
  <c r="AD60" i="26" a="1"/>
  <c r="AE60" i="26" a="1"/>
  <c r="AF60" i="26" a="1"/>
  <c r="AG60" i="26" a="1"/>
  <c r="AH60" i="26" a="1"/>
  <c r="AI60" i="26" a="1"/>
  <c r="AJ60" i="26" a="1"/>
  <c r="AK60" i="26" a="1"/>
  <c r="AL60" i="26" a="1"/>
  <c r="AM60" i="26" a="1"/>
  <c r="AN60" i="26" a="1"/>
  <c r="AO60" i="26" a="1"/>
  <c r="AP60" i="26" a="1"/>
  <c r="AQ60" i="26" a="1"/>
  <c r="AR60" i="26" a="1"/>
  <c r="AS60" i="26" a="1"/>
  <c r="AT60" i="26" a="1"/>
  <c r="AU60" i="26" a="1"/>
  <c r="AV60" i="26" a="1"/>
  <c r="AW60" i="26" a="1"/>
  <c r="AX60" i="26" a="1"/>
  <c r="AY60" i="26" a="1"/>
  <c r="AZ60" i="26" a="1"/>
  <c r="BA60" i="26" a="1"/>
  <c r="BB60" i="26" a="1"/>
  <c r="BC60" i="26" a="1"/>
  <c r="BD60" i="26" a="1"/>
  <c r="BE60" i="26" a="1"/>
  <c r="BF60" i="26" a="1"/>
  <c r="BG60" i="26" a="1"/>
  <c r="BH60" i="26" a="1"/>
  <c r="BI60" i="26" a="1"/>
  <c r="BJ60" i="26" a="1"/>
  <c r="BK60" i="26" a="1"/>
  <c r="BL60" i="26" a="1"/>
  <c r="BM60" i="26" a="1"/>
  <c r="BN60" i="26" a="1"/>
  <c r="BO60" i="26" a="1"/>
  <c r="BP60" i="26" a="1"/>
  <c r="G60" i="26"/>
  <c r="H60" i="26"/>
  <c r="I60" i="26"/>
  <c r="J60" i="26"/>
  <c r="K60" i="26"/>
  <c r="L60" i="26"/>
  <c r="M60" i="26"/>
  <c r="N60" i="26"/>
  <c r="O60" i="26"/>
  <c r="P60" i="26"/>
  <c r="Q60" i="26"/>
  <c r="R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AX60" i="26"/>
  <c r="AY60" i="26"/>
  <c r="AZ60" i="26"/>
  <c r="BA60" i="26"/>
  <c r="BB60" i="26"/>
  <c r="BC60" i="26"/>
  <c r="BD60" i="26"/>
  <c r="BE60" i="26"/>
  <c r="BF60" i="26"/>
  <c r="BG60" i="26"/>
  <c r="BH60" i="26"/>
  <c r="BI60" i="26"/>
  <c r="BJ60" i="26"/>
  <c r="BK60" i="26"/>
  <c r="BL60" i="26"/>
  <c r="BM60" i="26"/>
  <c r="BN60" i="26"/>
  <c r="BO60" i="26"/>
  <c r="BP60" i="26"/>
  <c r="AC25" i="26"/>
  <c r="AG17" i="27"/>
  <c r="AH17" i="27"/>
  <c r="AG18" i="27"/>
  <c r="AH18" i="27"/>
  <c r="AG19" i="27"/>
  <c r="AH19" i="27"/>
  <c r="AG20" i="27"/>
  <c r="AH20" i="27"/>
  <c r="Z21" i="27"/>
  <c r="AG21" i="27"/>
  <c r="AH21" i="27"/>
  <c r="Z22" i="27"/>
  <c r="AG22" i="27"/>
  <c r="AH22" i="27"/>
  <c r="Z23" i="27"/>
  <c r="E47" i="27" a="1"/>
  <c r="E47" i="27"/>
  <c r="F47" i="27" a="1"/>
  <c r="F47" i="27"/>
  <c r="G47" i="27" a="1"/>
  <c r="H47" i="27" a="1"/>
  <c r="I47" i="27" a="1"/>
  <c r="J47" i="27" a="1"/>
  <c r="K47" i="27" a="1"/>
  <c r="L47" i="27" a="1"/>
  <c r="M47" i="27" a="1"/>
  <c r="N47" i="27" a="1"/>
  <c r="O47" i="27" a="1"/>
  <c r="P47" i="27" a="1"/>
  <c r="Q47" i="27" a="1"/>
  <c r="R47" i="27" a="1"/>
  <c r="S47" i="27" a="1"/>
  <c r="T47" i="27" a="1"/>
  <c r="U47" i="27" a="1"/>
  <c r="V47" i="27" a="1"/>
  <c r="W47" i="27" a="1"/>
  <c r="X47" i="27" a="1"/>
  <c r="Y47" i="27" a="1"/>
  <c r="Z47" i="27" a="1"/>
  <c r="AA47" i="27" a="1"/>
  <c r="AB47" i="27" a="1"/>
  <c r="AC47" i="27" a="1"/>
  <c r="AD47" i="27" a="1"/>
  <c r="AE47" i="27" a="1"/>
  <c r="AF47" i="27" a="1"/>
  <c r="AG47" i="27" a="1"/>
  <c r="AH47" i="27" a="1"/>
  <c r="AI47" i="27" a="1"/>
  <c r="AJ47" i="27" a="1"/>
  <c r="AK47" i="27" a="1"/>
  <c r="AL47" i="27" a="1"/>
  <c r="AM47" i="27" a="1"/>
  <c r="AN47" i="27" a="1"/>
  <c r="AO47" i="27" a="1"/>
  <c r="AP47" i="27" a="1"/>
  <c r="AQ47" i="27" a="1"/>
  <c r="AR47" i="27" a="1"/>
  <c r="AS47" i="27" a="1"/>
  <c r="AT47" i="27" a="1"/>
  <c r="AU47" i="27" a="1"/>
  <c r="AV47" i="27" a="1"/>
  <c r="AW47" i="27" a="1"/>
  <c r="AX47" i="27" a="1"/>
  <c r="AY47" i="27" a="1"/>
  <c r="AZ47" i="27" a="1"/>
  <c r="BA47" i="27" a="1"/>
  <c r="BB47" i="27" a="1"/>
  <c r="BC47" i="27" a="1"/>
  <c r="BD47" i="27" a="1"/>
  <c r="BE47" i="27" a="1"/>
  <c r="BF47" i="27" a="1"/>
  <c r="BG47" i="27" a="1"/>
  <c r="BH47" i="27" a="1"/>
  <c r="BI47" i="27" a="1"/>
  <c r="BJ47" i="27" a="1"/>
  <c r="BK47" i="27" a="1"/>
  <c r="BL47" i="27" a="1"/>
  <c r="BM47" i="27" a="1"/>
  <c r="BN47" i="27" a="1"/>
  <c r="BO47" i="27" a="1"/>
  <c r="BP47" i="27" a="1"/>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J47" i="27"/>
  <c r="BK47" i="27"/>
  <c r="BL47" i="27"/>
  <c r="BM47" i="27"/>
  <c r="BN47" i="27"/>
  <c r="BO47" i="27"/>
  <c r="BP47" i="27"/>
  <c r="AB23" i="27"/>
  <c r="E58" i="27" a="1"/>
  <c r="E58" i="27"/>
  <c r="F58" i="27" a="1"/>
  <c r="F58" i="27"/>
  <c r="G58" i="27" a="1"/>
  <c r="H58" i="27" a="1"/>
  <c r="I58" i="27" a="1"/>
  <c r="J58" i="27" a="1"/>
  <c r="K58" i="27" a="1"/>
  <c r="L58" i="27" a="1"/>
  <c r="M58" i="27" a="1"/>
  <c r="N58" i="27" a="1"/>
  <c r="O58" i="27" a="1"/>
  <c r="P58" i="27" a="1"/>
  <c r="Q58" i="27" a="1"/>
  <c r="R58" i="27" a="1"/>
  <c r="S58" i="27" a="1"/>
  <c r="T58" i="27" a="1"/>
  <c r="U58" i="27" a="1"/>
  <c r="V58" i="27" a="1"/>
  <c r="W58" i="27" a="1"/>
  <c r="X58" i="27" a="1"/>
  <c r="Y58" i="27" a="1"/>
  <c r="Z58" i="27" a="1"/>
  <c r="AA58" i="27" a="1"/>
  <c r="AB58" i="27" a="1"/>
  <c r="AC58" i="27" a="1"/>
  <c r="AD58" i="27" a="1"/>
  <c r="AE58" i="27" a="1"/>
  <c r="AF58" i="27" a="1"/>
  <c r="AG58" i="27" a="1"/>
  <c r="AH58" i="27" a="1"/>
  <c r="AI58" i="27" a="1"/>
  <c r="AJ58" i="27" a="1"/>
  <c r="AK58" i="27" a="1"/>
  <c r="AL58" i="27" a="1"/>
  <c r="AM58" i="27" a="1"/>
  <c r="AN58" i="27" a="1"/>
  <c r="AO58" i="27" a="1"/>
  <c r="AP58" i="27" a="1"/>
  <c r="AQ58" i="27" a="1"/>
  <c r="AR58" i="27" a="1"/>
  <c r="AS58" i="27" a="1"/>
  <c r="AT58" i="27" a="1"/>
  <c r="AU58" i="27" a="1"/>
  <c r="AV58" i="27" a="1"/>
  <c r="AW58" i="27" a="1"/>
  <c r="AX58" i="27" a="1"/>
  <c r="AY58" i="27" a="1"/>
  <c r="AZ58" i="27" a="1"/>
  <c r="BA58" i="27" a="1"/>
  <c r="BB58" i="27" a="1"/>
  <c r="BC58" i="27" a="1"/>
  <c r="BD58" i="27" a="1"/>
  <c r="BE58" i="27" a="1"/>
  <c r="BF58" i="27" a="1"/>
  <c r="BG58" i="27" a="1"/>
  <c r="BH58" i="27" a="1"/>
  <c r="BI58" i="27" a="1"/>
  <c r="BJ58" i="27" a="1"/>
  <c r="BK58" i="27" a="1"/>
  <c r="BL58" i="27" a="1"/>
  <c r="BM58" i="27" a="1"/>
  <c r="BN58" i="27" a="1"/>
  <c r="BO58" i="27" a="1"/>
  <c r="BP58" i="27" a="1"/>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U58" i="27"/>
  <c r="AV58" i="27"/>
  <c r="AW58" i="27"/>
  <c r="AX58" i="27"/>
  <c r="AY58" i="27"/>
  <c r="AZ58" i="27"/>
  <c r="BA58" i="27"/>
  <c r="BB58" i="27"/>
  <c r="BC58" i="27"/>
  <c r="BD58" i="27"/>
  <c r="BE58" i="27"/>
  <c r="BF58" i="27"/>
  <c r="BG58" i="27"/>
  <c r="BH58" i="27"/>
  <c r="BI58" i="27"/>
  <c r="BJ58" i="27"/>
  <c r="BK58" i="27"/>
  <c r="BL58" i="27"/>
  <c r="BM58" i="27"/>
  <c r="BN58" i="27"/>
  <c r="BO58" i="27"/>
  <c r="BP58" i="27"/>
  <c r="AC23" i="27"/>
  <c r="AG23" i="27"/>
  <c r="AH23" i="27"/>
  <c r="Z24" i="27"/>
  <c r="E48" i="27" a="1"/>
  <c r="E48" i="27"/>
  <c r="F48" i="27" a="1"/>
  <c r="F48" i="27"/>
  <c r="G48" i="27" a="1"/>
  <c r="H48" i="27" a="1"/>
  <c r="I48" i="27" a="1"/>
  <c r="J48" i="27" a="1"/>
  <c r="K48" i="27" a="1"/>
  <c r="L48" i="27" a="1"/>
  <c r="M48" i="27" a="1"/>
  <c r="N48" i="27" a="1"/>
  <c r="O48" i="27" a="1"/>
  <c r="P48" i="27" a="1"/>
  <c r="Q48" i="27" a="1"/>
  <c r="R48" i="27" a="1"/>
  <c r="S48" i="27" a="1"/>
  <c r="T48" i="27" a="1"/>
  <c r="U48" i="27" a="1"/>
  <c r="V48" i="27" a="1"/>
  <c r="W48" i="27" a="1"/>
  <c r="X48" i="27" a="1"/>
  <c r="Y48" i="27" a="1"/>
  <c r="Z48" i="27" a="1"/>
  <c r="AA48" i="27" a="1"/>
  <c r="AB48" i="27" a="1"/>
  <c r="AC48" i="27" a="1"/>
  <c r="AD48" i="27" a="1"/>
  <c r="AE48" i="27" a="1"/>
  <c r="AF48" i="27" a="1"/>
  <c r="AG48" i="27" a="1"/>
  <c r="AH48" i="27" a="1"/>
  <c r="AI48" i="27" a="1"/>
  <c r="AJ48" i="27" a="1"/>
  <c r="AK48" i="27" a="1"/>
  <c r="AL48" i="27" a="1"/>
  <c r="AM48" i="27" a="1"/>
  <c r="AN48" i="27" a="1"/>
  <c r="AO48" i="27" a="1"/>
  <c r="AP48" i="27" a="1"/>
  <c r="AQ48" i="27" a="1"/>
  <c r="AR48" i="27" a="1"/>
  <c r="AS48" i="27" a="1"/>
  <c r="AT48" i="27" a="1"/>
  <c r="AU48" i="27" a="1"/>
  <c r="AV48" i="27" a="1"/>
  <c r="AW48" i="27" a="1"/>
  <c r="AX48" i="27" a="1"/>
  <c r="AY48" i="27" a="1"/>
  <c r="AZ48" i="27" a="1"/>
  <c r="BA48" i="27" a="1"/>
  <c r="BB48" i="27" a="1"/>
  <c r="BC48" i="27" a="1"/>
  <c r="BD48" i="27" a="1"/>
  <c r="BE48" i="27" a="1"/>
  <c r="BF48" i="27" a="1"/>
  <c r="BG48" i="27" a="1"/>
  <c r="BH48" i="27" a="1"/>
  <c r="BI48" i="27" a="1"/>
  <c r="BJ48" i="27" a="1"/>
  <c r="BK48" i="27" a="1"/>
  <c r="BL48" i="27" a="1"/>
  <c r="BM48" i="27" a="1"/>
  <c r="BN48" i="27" a="1"/>
  <c r="BO48" i="27" a="1"/>
  <c r="BP48" i="27" a="1"/>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U48" i="27"/>
  <c r="AV48" i="27"/>
  <c r="AW48" i="27"/>
  <c r="AX48" i="27"/>
  <c r="AY48" i="27"/>
  <c r="AZ48" i="27"/>
  <c r="BA48" i="27"/>
  <c r="BB48" i="27"/>
  <c r="BC48" i="27"/>
  <c r="BD48" i="27"/>
  <c r="BE48" i="27"/>
  <c r="BF48" i="27"/>
  <c r="BG48" i="27"/>
  <c r="BH48" i="27"/>
  <c r="BI48" i="27"/>
  <c r="BJ48" i="27"/>
  <c r="BK48" i="27"/>
  <c r="BL48" i="27"/>
  <c r="BM48" i="27"/>
  <c r="BN48" i="27"/>
  <c r="BO48" i="27"/>
  <c r="BP48" i="27"/>
  <c r="AB24" i="27"/>
  <c r="E59" i="27" a="1"/>
  <c r="E59" i="27"/>
  <c r="F59" i="27" a="1"/>
  <c r="F59" i="27"/>
  <c r="G59" i="27" a="1"/>
  <c r="H59" i="27" a="1"/>
  <c r="I59" i="27" a="1"/>
  <c r="J59" i="27" a="1"/>
  <c r="K59" i="27" a="1"/>
  <c r="L59" i="27" a="1"/>
  <c r="M59" i="27" a="1"/>
  <c r="N59" i="27" a="1"/>
  <c r="O59" i="27" a="1"/>
  <c r="P59" i="27" a="1"/>
  <c r="Q59" i="27" a="1"/>
  <c r="R59" i="27" a="1"/>
  <c r="S59" i="27" a="1"/>
  <c r="T59" i="27" a="1"/>
  <c r="U59" i="27" a="1"/>
  <c r="V59" i="27" a="1"/>
  <c r="W59" i="27" a="1"/>
  <c r="X59" i="27" a="1"/>
  <c r="Y59" i="27" a="1"/>
  <c r="Z59" i="27" a="1"/>
  <c r="AA59" i="27" a="1"/>
  <c r="AB59" i="27" a="1"/>
  <c r="AC59" i="27" a="1"/>
  <c r="AD59" i="27" a="1"/>
  <c r="AE59" i="27" a="1"/>
  <c r="AF59" i="27" a="1"/>
  <c r="AG59" i="27" a="1"/>
  <c r="AH59" i="27" a="1"/>
  <c r="AI59" i="27" a="1"/>
  <c r="AJ59" i="27" a="1"/>
  <c r="AK59" i="27" a="1"/>
  <c r="AL59" i="27" a="1"/>
  <c r="AM59" i="27" a="1"/>
  <c r="AN59" i="27" a="1"/>
  <c r="AO59" i="27" a="1"/>
  <c r="AP59" i="27" a="1"/>
  <c r="AQ59" i="27" a="1"/>
  <c r="AR59" i="27" a="1"/>
  <c r="AS59" i="27" a="1"/>
  <c r="AT59" i="27" a="1"/>
  <c r="AU59" i="27" a="1"/>
  <c r="AV59" i="27" a="1"/>
  <c r="AW59" i="27" a="1"/>
  <c r="AX59" i="27" a="1"/>
  <c r="AY59" i="27" a="1"/>
  <c r="AZ59" i="27" a="1"/>
  <c r="BA59" i="27" a="1"/>
  <c r="BB59" i="27" a="1"/>
  <c r="BC59" i="27" a="1"/>
  <c r="BD59" i="27" a="1"/>
  <c r="BE59" i="27" a="1"/>
  <c r="BF59" i="27" a="1"/>
  <c r="BG59" i="27" a="1"/>
  <c r="BH59" i="27" a="1"/>
  <c r="BI59" i="27" a="1"/>
  <c r="BJ59" i="27" a="1"/>
  <c r="BK59" i="27" a="1"/>
  <c r="BL59" i="27" a="1"/>
  <c r="BM59" i="27" a="1"/>
  <c r="BN59" i="27" a="1"/>
  <c r="BO59" i="27" a="1"/>
  <c r="BP59" i="27" a="1"/>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U59" i="27"/>
  <c r="AV59" i="27"/>
  <c r="AW59" i="27"/>
  <c r="AX59" i="27"/>
  <c r="AY59" i="27"/>
  <c r="AZ59" i="27"/>
  <c r="BA59" i="27"/>
  <c r="BB59" i="27"/>
  <c r="BC59" i="27"/>
  <c r="BD59" i="27"/>
  <c r="BE59" i="27"/>
  <c r="BF59" i="27"/>
  <c r="BG59" i="27"/>
  <c r="BH59" i="27"/>
  <c r="BI59" i="27"/>
  <c r="BJ59" i="27"/>
  <c r="BK59" i="27"/>
  <c r="BL59" i="27"/>
  <c r="BM59" i="27"/>
  <c r="BN59" i="27"/>
  <c r="BO59" i="27"/>
  <c r="BP59" i="27"/>
  <c r="AC24" i="27"/>
  <c r="AG24" i="27"/>
  <c r="AH24" i="27"/>
  <c r="Z25" i="27"/>
  <c r="E49" i="27" a="1"/>
  <c r="E49" i="27"/>
  <c r="F49" i="27" a="1"/>
  <c r="F49" i="27"/>
  <c r="G49" i="27" a="1"/>
  <c r="H49" i="27" a="1"/>
  <c r="I49" i="27" a="1"/>
  <c r="J49" i="27" a="1"/>
  <c r="K49" i="27" a="1"/>
  <c r="L49" i="27" a="1"/>
  <c r="M49" i="27" a="1"/>
  <c r="N49" i="27" a="1"/>
  <c r="O49" i="27" a="1"/>
  <c r="P49" i="27" a="1"/>
  <c r="Q49" i="27" a="1"/>
  <c r="R49" i="27" a="1"/>
  <c r="S49" i="27" a="1"/>
  <c r="T49" i="27" a="1"/>
  <c r="U49" i="27" a="1"/>
  <c r="V49" i="27" a="1"/>
  <c r="W49" i="27" a="1"/>
  <c r="X49" i="27" a="1"/>
  <c r="Y49" i="27" a="1"/>
  <c r="Z49" i="27" a="1"/>
  <c r="AA49" i="27" a="1"/>
  <c r="AB49" i="27" a="1"/>
  <c r="AC49" i="27" a="1"/>
  <c r="AD49" i="27" a="1"/>
  <c r="AE49" i="27" a="1"/>
  <c r="AF49" i="27" a="1"/>
  <c r="AG49" i="27" a="1"/>
  <c r="AH49" i="27" a="1"/>
  <c r="AI49" i="27" a="1"/>
  <c r="AJ49" i="27" a="1"/>
  <c r="AK49" i="27" a="1"/>
  <c r="AL49" i="27" a="1"/>
  <c r="AM49" i="27" a="1"/>
  <c r="AN49" i="27" a="1"/>
  <c r="AO49" i="27" a="1"/>
  <c r="AP49" i="27" a="1"/>
  <c r="AQ49" i="27" a="1"/>
  <c r="AR49" i="27" a="1"/>
  <c r="AS49" i="27" a="1"/>
  <c r="AT49" i="27" a="1"/>
  <c r="AU49" i="27" a="1"/>
  <c r="AV49" i="27" a="1"/>
  <c r="AW49" i="27" a="1"/>
  <c r="AX49" i="27" a="1"/>
  <c r="AY49" i="27" a="1"/>
  <c r="AZ49" i="27" a="1"/>
  <c r="BA49" i="27" a="1"/>
  <c r="BB49" i="27" a="1"/>
  <c r="BC49" i="27" a="1"/>
  <c r="BD49" i="27" a="1"/>
  <c r="BE49" i="27" a="1"/>
  <c r="BF49" i="27" a="1"/>
  <c r="BG49" i="27" a="1"/>
  <c r="BH49" i="27" a="1"/>
  <c r="BI49" i="27" a="1"/>
  <c r="BJ49" i="27" a="1"/>
  <c r="BK49" i="27" a="1"/>
  <c r="BL49" i="27" a="1"/>
  <c r="BM49" i="27" a="1"/>
  <c r="BN49" i="27" a="1"/>
  <c r="BO49" i="27" a="1"/>
  <c r="BP49" i="27" a="1"/>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BK49" i="27"/>
  <c r="BL49" i="27"/>
  <c r="BM49" i="27"/>
  <c r="BN49" i="27"/>
  <c r="BO49" i="27"/>
  <c r="BP49" i="27"/>
  <c r="AB25" i="27"/>
  <c r="E60" i="27" a="1"/>
  <c r="E60" i="27"/>
  <c r="F60" i="27" a="1"/>
  <c r="F60" i="27"/>
  <c r="G60" i="27" a="1"/>
  <c r="H60" i="27" a="1"/>
  <c r="I60" i="27" a="1"/>
  <c r="J60" i="27" a="1"/>
  <c r="K60" i="27" a="1"/>
  <c r="L60" i="27" a="1"/>
  <c r="M60" i="27" a="1"/>
  <c r="N60" i="27" a="1"/>
  <c r="O60" i="27" a="1"/>
  <c r="P60" i="27" a="1"/>
  <c r="Q60" i="27" a="1"/>
  <c r="R60" i="27" a="1"/>
  <c r="S60" i="27" a="1"/>
  <c r="T60" i="27" a="1"/>
  <c r="U60" i="27" a="1"/>
  <c r="V60" i="27" a="1"/>
  <c r="W60" i="27" a="1"/>
  <c r="X60" i="27" a="1"/>
  <c r="Y60" i="27" a="1"/>
  <c r="Z60" i="27" a="1"/>
  <c r="AA60" i="27" a="1"/>
  <c r="AB60" i="27" a="1"/>
  <c r="AC60" i="27" a="1"/>
  <c r="AD60" i="27" a="1"/>
  <c r="AE60" i="27" a="1"/>
  <c r="AF60" i="27" a="1"/>
  <c r="AG60" i="27" a="1"/>
  <c r="AH60" i="27" a="1"/>
  <c r="AI60" i="27" a="1"/>
  <c r="AJ60" i="27" a="1"/>
  <c r="AK60" i="27" a="1"/>
  <c r="AL60" i="27" a="1"/>
  <c r="AM60" i="27" a="1"/>
  <c r="AN60" i="27" a="1"/>
  <c r="AO60" i="27" a="1"/>
  <c r="AP60" i="27" a="1"/>
  <c r="AQ60" i="27" a="1"/>
  <c r="AR60" i="27" a="1"/>
  <c r="AS60" i="27" a="1"/>
  <c r="AT60" i="27" a="1"/>
  <c r="AU60" i="27" a="1"/>
  <c r="AV60" i="27" a="1"/>
  <c r="AW60" i="27" a="1"/>
  <c r="AX60" i="27" a="1"/>
  <c r="AY60" i="27" a="1"/>
  <c r="AZ60" i="27" a="1"/>
  <c r="BA60" i="27" a="1"/>
  <c r="BB60" i="27" a="1"/>
  <c r="BC60" i="27" a="1"/>
  <c r="BD60" i="27" a="1"/>
  <c r="BE60" i="27" a="1"/>
  <c r="BF60" i="27" a="1"/>
  <c r="BG60" i="27" a="1"/>
  <c r="BH60" i="27" a="1"/>
  <c r="BI60" i="27" a="1"/>
  <c r="BJ60" i="27" a="1"/>
  <c r="BK60" i="27" a="1"/>
  <c r="BL60" i="27" a="1"/>
  <c r="BM60" i="27" a="1"/>
  <c r="BN60" i="27" a="1"/>
  <c r="BO60" i="27" a="1"/>
  <c r="BP60" i="27" a="1"/>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U60" i="27"/>
  <c r="AV60" i="27"/>
  <c r="AW60" i="27"/>
  <c r="AX60" i="27"/>
  <c r="AY60" i="27"/>
  <c r="AZ60" i="27"/>
  <c r="BA60" i="27"/>
  <c r="BB60" i="27"/>
  <c r="BC60" i="27"/>
  <c r="BD60" i="27"/>
  <c r="BE60" i="27"/>
  <c r="BF60" i="27"/>
  <c r="BG60" i="27"/>
  <c r="BH60" i="27"/>
  <c r="BI60" i="27"/>
  <c r="BJ60" i="27"/>
  <c r="BK60" i="27"/>
  <c r="BL60" i="27"/>
  <c r="BM60" i="27"/>
  <c r="BN60" i="27"/>
  <c r="BO60" i="27"/>
  <c r="BP60" i="27"/>
  <c r="AC25" i="27"/>
  <c r="AG25" i="27"/>
  <c r="AH25" i="27"/>
  <c r="AG17" i="28"/>
  <c r="AH17" i="28"/>
  <c r="AG18" i="28"/>
  <c r="AH18" i="28"/>
  <c r="AG19" i="28"/>
  <c r="AH19" i="28"/>
  <c r="AG20" i="28"/>
  <c r="AH20" i="28"/>
  <c r="Z21" i="28"/>
  <c r="AG21" i="28"/>
  <c r="AH21" i="28"/>
  <c r="Z22" i="28"/>
  <c r="AG22" i="28"/>
  <c r="AH22" i="28"/>
  <c r="Z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AG23" i="28"/>
  <c r="AH23" i="28"/>
  <c r="Z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AG24" i="28"/>
  <c r="AH24" i="28"/>
  <c r="Z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AG25" i="28"/>
  <c r="AH25" i="28"/>
  <c r="AG17" i="29"/>
  <c r="AH17" i="29"/>
  <c r="AG18" i="29"/>
  <c r="AH18" i="29"/>
  <c r="AG19" i="29"/>
  <c r="AH19" i="29"/>
  <c r="AG20" i="29"/>
  <c r="AH20" i="29"/>
  <c r="Z21" i="29"/>
  <c r="AG21" i="29"/>
  <c r="AH21" i="29"/>
  <c r="Z22" i="29"/>
  <c r="AG22" i="29"/>
  <c r="AH22" i="29"/>
  <c r="Z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AG23" i="29"/>
  <c r="AH23" i="29"/>
  <c r="Z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AG24" i="29"/>
  <c r="AH24" i="29"/>
  <c r="Z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AG25" i="29"/>
  <c r="AH25" i="29"/>
  <c r="AG17" i="30"/>
  <c r="AH17" i="30"/>
  <c r="AG18" i="30"/>
  <c r="AH18" i="30"/>
  <c r="AG19" i="30"/>
  <c r="AH19" i="30"/>
  <c r="AG20" i="30"/>
  <c r="AH20" i="30"/>
  <c r="Z21" i="30"/>
  <c r="AG21" i="30"/>
  <c r="AH21" i="30"/>
  <c r="Z22" i="30"/>
  <c r="AG22" i="30"/>
  <c r="AH22" i="30"/>
  <c r="Z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AG23" i="30"/>
  <c r="AH23" i="30"/>
  <c r="Z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AG24" i="30"/>
  <c r="AH24" i="30"/>
  <c r="Z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AG25" i="30"/>
  <c r="AH25" i="30"/>
  <c r="AG17" i="31"/>
  <c r="AH17" i="31"/>
  <c r="AG18" i="31"/>
  <c r="AH18" i="31"/>
  <c r="AG19" i="31"/>
  <c r="AH19" i="31"/>
  <c r="AG20" i="31"/>
  <c r="AH20" i="31"/>
  <c r="Z21" i="31"/>
  <c r="AG21" i="31"/>
  <c r="AH21" i="31"/>
  <c r="Z22" i="31"/>
  <c r="AG22" i="31"/>
  <c r="AH22" i="31"/>
  <c r="Z23" i="31"/>
  <c r="E47" i="31" a="1"/>
  <c r="E47" i="31"/>
  <c r="F47" i="31" a="1"/>
  <c r="F47" i="31"/>
  <c r="G47" i="31" a="1"/>
  <c r="H47" i="31" a="1"/>
  <c r="I47" i="31" a="1"/>
  <c r="J47" i="31" a="1"/>
  <c r="K47" i="31" a="1"/>
  <c r="L47" i="31" a="1"/>
  <c r="M47" i="31" a="1"/>
  <c r="N47" i="31" a="1"/>
  <c r="O47" i="31" a="1"/>
  <c r="P47" i="31" a="1"/>
  <c r="Q47" i="31" a="1"/>
  <c r="R47" i="31" a="1"/>
  <c r="S47" i="31" a="1"/>
  <c r="T47" i="31" a="1"/>
  <c r="U47" i="31" a="1"/>
  <c r="V47" i="31" a="1"/>
  <c r="W47" i="31" a="1"/>
  <c r="X47" i="31" a="1"/>
  <c r="Y47" i="31" a="1"/>
  <c r="Z47" i="31" a="1"/>
  <c r="AA47" i="31" a="1"/>
  <c r="AB47" i="31" a="1"/>
  <c r="AC47" i="31" a="1"/>
  <c r="AD47" i="31" a="1"/>
  <c r="AE47" i="31" a="1"/>
  <c r="AF47" i="31" a="1"/>
  <c r="AG47" i="31" a="1"/>
  <c r="AH47" i="31" a="1"/>
  <c r="AI47" i="31" a="1"/>
  <c r="AJ47" i="31" a="1"/>
  <c r="AK47" i="31" a="1"/>
  <c r="AL47" i="31" a="1"/>
  <c r="AM47" i="31" a="1"/>
  <c r="AN47" i="31" a="1"/>
  <c r="AO47" i="31" a="1"/>
  <c r="AP47" i="31" a="1"/>
  <c r="AQ47" i="31" a="1"/>
  <c r="AR47" i="31" a="1"/>
  <c r="AS47" i="31" a="1"/>
  <c r="AT47" i="31" a="1"/>
  <c r="AU47" i="31" a="1"/>
  <c r="AV47" i="31" a="1"/>
  <c r="AW47" i="31" a="1"/>
  <c r="AX47" i="31" a="1"/>
  <c r="AY47" i="31" a="1"/>
  <c r="AZ47" i="31" a="1"/>
  <c r="BA47" i="31" a="1"/>
  <c r="BB47" i="31" a="1"/>
  <c r="BC47" i="31" a="1"/>
  <c r="BD47" i="31" a="1"/>
  <c r="BE47" i="31" a="1"/>
  <c r="BF47" i="31" a="1"/>
  <c r="BG47" i="31" a="1"/>
  <c r="BH47" i="31" a="1"/>
  <c r="BI47" i="31" a="1"/>
  <c r="BJ47" i="31" a="1"/>
  <c r="BK47" i="31" a="1"/>
  <c r="BL47" i="31" a="1"/>
  <c r="BM47" i="31" a="1"/>
  <c r="BN47" i="31" a="1"/>
  <c r="BO47" i="31" a="1"/>
  <c r="BP47" i="31" a="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AB23" i="31"/>
  <c r="E58" i="31" a="1"/>
  <c r="E58" i="31"/>
  <c r="F58" i="31" a="1"/>
  <c r="F58" i="31"/>
  <c r="G58" i="31" a="1"/>
  <c r="H58" i="31" a="1"/>
  <c r="I58" i="31" a="1"/>
  <c r="J58" i="31" a="1"/>
  <c r="K58" i="31" a="1"/>
  <c r="L58" i="31" a="1"/>
  <c r="M58" i="31" a="1"/>
  <c r="N58" i="31" a="1"/>
  <c r="O58" i="31" a="1"/>
  <c r="P58" i="31" a="1"/>
  <c r="Q58" i="31" a="1"/>
  <c r="R58" i="31" a="1"/>
  <c r="S58" i="31" a="1"/>
  <c r="T58" i="31" a="1"/>
  <c r="U58" i="31" a="1"/>
  <c r="V58" i="31" a="1"/>
  <c r="W58" i="31" a="1"/>
  <c r="X58" i="31" a="1"/>
  <c r="Y58" i="31" a="1"/>
  <c r="Z58" i="31" a="1"/>
  <c r="AA58" i="31" a="1"/>
  <c r="AB58" i="31" a="1"/>
  <c r="AC58" i="31" a="1"/>
  <c r="AD58" i="31" a="1"/>
  <c r="AE58" i="31" a="1"/>
  <c r="AF58" i="31" a="1"/>
  <c r="AG58" i="31" a="1"/>
  <c r="AH58" i="31" a="1"/>
  <c r="AI58" i="31" a="1"/>
  <c r="AJ58" i="31" a="1"/>
  <c r="AK58" i="31" a="1"/>
  <c r="AL58" i="31" a="1"/>
  <c r="AM58" i="31" a="1"/>
  <c r="AN58" i="31" a="1"/>
  <c r="AO58" i="31" a="1"/>
  <c r="AP58" i="31" a="1"/>
  <c r="AQ58" i="31" a="1"/>
  <c r="AR58" i="31" a="1"/>
  <c r="AS58" i="31" a="1"/>
  <c r="AT58" i="31" a="1"/>
  <c r="AU58" i="31" a="1"/>
  <c r="AV58" i="31" a="1"/>
  <c r="AW58" i="31" a="1"/>
  <c r="AX58" i="31" a="1"/>
  <c r="AY58" i="31" a="1"/>
  <c r="AZ58" i="31" a="1"/>
  <c r="BA58" i="31" a="1"/>
  <c r="BB58" i="31" a="1"/>
  <c r="BC58" i="31" a="1"/>
  <c r="BD58" i="31" a="1"/>
  <c r="BE58" i="31" a="1"/>
  <c r="BF58" i="31" a="1"/>
  <c r="BG58" i="31" a="1"/>
  <c r="BH58" i="31" a="1"/>
  <c r="BI58" i="31" a="1"/>
  <c r="BJ58" i="31" a="1"/>
  <c r="BK58" i="31" a="1"/>
  <c r="BL58" i="31" a="1"/>
  <c r="BM58" i="31" a="1"/>
  <c r="BN58" i="31" a="1"/>
  <c r="BO58" i="31" a="1"/>
  <c r="BP58" i="31" a="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AC23" i="31"/>
  <c r="AG23" i="31"/>
  <c r="AH23" i="31"/>
  <c r="Z24" i="31"/>
  <c r="E48" i="31" a="1"/>
  <c r="E48" i="31"/>
  <c r="F48" i="31" a="1"/>
  <c r="F48" i="31"/>
  <c r="G48" i="31" a="1"/>
  <c r="H48" i="31" a="1"/>
  <c r="I48" i="31" a="1"/>
  <c r="J48" i="31" a="1"/>
  <c r="K48" i="31" a="1"/>
  <c r="L48" i="31" a="1"/>
  <c r="M48" i="31" a="1"/>
  <c r="N48" i="31" a="1"/>
  <c r="O48" i="31" a="1"/>
  <c r="P48" i="31" a="1"/>
  <c r="Q48" i="31" a="1"/>
  <c r="R48" i="31" a="1"/>
  <c r="S48" i="31" a="1"/>
  <c r="T48" i="31" a="1"/>
  <c r="U48" i="31" a="1"/>
  <c r="V48" i="31" a="1"/>
  <c r="W48" i="31" a="1"/>
  <c r="X48" i="31" a="1"/>
  <c r="Y48" i="31" a="1"/>
  <c r="Z48" i="31" a="1"/>
  <c r="AA48" i="31" a="1"/>
  <c r="AB48" i="31" a="1"/>
  <c r="AC48" i="31" a="1"/>
  <c r="AD48" i="31" a="1"/>
  <c r="AE48" i="31" a="1"/>
  <c r="AF48" i="31" a="1"/>
  <c r="AG48" i="31" a="1"/>
  <c r="AH48" i="31" a="1"/>
  <c r="AI48" i="31" a="1"/>
  <c r="AJ48" i="31" a="1"/>
  <c r="AK48" i="31" a="1"/>
  <c r="AL48" i="31" a="1"/>
  <c r="AM48" i="31" a="1"/>
  <c r="AN48" i="31" a="1"/>
  <c r="AO48" i="31" a="1"/>
  <c r="AP48" i="31" a="1"/>
  <c r="AQ48" i="31" a="1"/>
  <c r="AR48" i="31" a="1"/>
  <c r="AS48" i="31" a="1"/>
  <c r="AT48" i="31" a="1"/>
  <c r="AU48" i="31" a="1"/>
  <c r="AV48" i="31" a="1"/>
  <c r="AW48" i="31" a="1"/>
  <c r="AX48" i="31" a="1"/>
  <c r="AY48" i="31" a="1"/>
  <c r="AZ48" i="31" a="1"/>
  <c r="BA48" i="31" a="1"/>
  <c r="BB48" i="31" a="1"/>
  <c r="BC48" i="31" a="1"/>
  <c r="BD48" i="31" a="1"/>
  <c r="BE48" i="31" a="1"/>
  <c r="BF48" i="31" a="1"/>
  <c r="BG48" i="31" a="1"/>
  <c r="BH48" i="31" a="1"/>
  <c r="BI48" i="31" a="1"/>
  <c r="BJ48" i="31" a="1"/>
  <c r="BK48" i="31" a="1"/>
  <c r="BL48" i="31" a="1"/>
  <c r="BM48" i="31" a="1"/>
  <c r="BN48" i="31" a="1"/>
  <c r="BO48" i="31" a="1"/>
  <c r="BP48" i="31" a="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AB24" i="31"/>
  <c r="E59" i="31" a="1"/>
  <c r="E59" i="31"/>
  <c r="F59" i="31" a="1"/>
  <c r="F59" i="31"/>
  <c r="G59" i="31" a="1"/>
  <c r="H59" i="31" a="1"/>
  <c r="I59" i="31" a="1"/>
  <c r="J59" i="31" a="1"/>
  <c r="K59" i="31" a="1"/>
  <c r="L59" i="31" a="1"/>
  <c r="M59" i="31" a="1"/>
  <c r="N59" i="31" a="1"/>
  <c r="O59" i="31" a="1"/>
  <c r="P59" i="31" a="1"/>
  <c r="Q59" i="31" a="1"/>
  <c r="R59" i="31" a="1"/>
  <c r="S59" i="31" a="1"/>
  <c r="T59" i="31" a="1"/>
  <c r="U59" i="31" a="1"/>
  <c r="V59" i="31" a="1"/>
  <c r="W59" i="31" a="1"/>
  <c r="X59" i="31" a="1"/>
  <c r="Y59" i="31" a="1"/>
  <c r="Z59" i="31" a="1"/>
  <c r="AA59" i="31" a="1"/>
  <c r="AB59" i="31" a="1"/>
  <c r="AC59" i="31" a="1"/>
  <c r="AD59" i="31" a="1"/>
  <c r="AE59" i="31" a="1"/>
  <c r="AF59" i="31" a="1"/>
  <c r="AG59" i="31" a="1"/>
  <c r="AH59" i="31" a="1"/>
  <c r="AI59" i="31" a="1"/>
  <c r="AJ59" i="31" a="1"/>
  <c r="AK59" i="31" a="1"/>
  <c r="AL59" i="31" a="1"/>
  <c r="AM59" i="31" a="1"/>
  <c r="AN59" i="31" a="1"/>
  <c r="AO59" i="31" a="1"/>
  <c r="AP59" i="31" a="1"/>
  <c r="AQ59" i="31" a="1"/>
  <c r="AR59" i="31" a="1"/>
  <c r="AS59" i="31" a="1"/>
  <c r="AT59" i="31" a="1"/>
  <c r="AU59" i="31" a="1"/>
  <c r="AV59" i="31" a="1"/>
  <c r="AW59" i="31" a="1"/>
  <c r="AX59" i="31" a="1"/>
  <c r="AY59" i="31" a="1"/>
  <c r="AZ59" i="31" a="1"/>
  <c r="BA59" i="31" a="1"/>
  <c r="BB59" i="31" a="1"/>
  <c r="BC59" i="31" a="1"/>
  <c r="BD59" i="31" a="1"/>
  <c r="BE59" i="31" a="1"/>
  <c r="BF59" i="31" a="1"/>
  <c r="BG59" i="31" a="1"/>
  <c r="BH59" i="31" a="1"/>
  <c r="BI59" i="31" a="1"/>
  <c r="BJ59" i="31" a="1"/>
  <c r="BK59" i="31" a="1"/>
  <c r="BL59" i="31" a="1"/>
  <c r="BM59" i="31" a="1"/>
  <c r="BN59" i="31" a="1"/>
  <c r="BO59" i="31" a="1"/>
  <c r="BP59" i="31" a="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AC24" i="31"/>
  <c r="AG24" i="31"/>
  <c r="AH24" i="31"/>
  <c r="Z25" i="31"/>
  <c r="E49" i="31" a="1"/>
  <c r="E49" i="31"/>
  <c r="F49" i="31" a="1"/>
  <c r="F49" i="31"/>
  <c r="G49" i="31" a="1"/>
  <c r="H49" i="31" a="1"/>
  <c r="I49" i="31" a="1"/>
  <c r="J49" i="31" a="1"/>
  <c r="K49" i="31" a="1"/>
  <c r="L49" i="31" a="1"/>
  <c r="M49" i="31" a="1"/>
  <c r="N49" i="31" a="1"/>
  <c r="O49" i="31" a="1"/>
  <c r="P49" i="31" a="1"/>
  <c r="Q49" i="31" a="1"/>
  <c r="R49" i="31" a="1"/>
  <c r="S49" i="31" a="1"/>
  <c r="T49" i="31" a="1"/>
  <c r="U49" i="31" a="1"/>
  <c r="V49" i="31" a="1"/>
  <c r="W49" i="31" a="1"/>
  <c r="X49" i="31" a="1"/>
  <c r="Y49" i="31" a="1"/>
  <c r="Z49" i="31" a="1"/>
  <c r="AA49" i="31" a="1"/>
  <c r="AB49" i="31" a="1"/>
  <c r="AC49" i="31" a="1"/>
  <c r="AD49" i="31" a="1"/>
  <c r="AE49" i="31" a="1"/>
  <c r="AF49" i="31" a="1"/>
  <c r="AG49" i="31" a="1"/>
  <c r="AH49" i="31" a="1"/>
  <c r="AI49" i="31" a="1"/>
  <c r="AJ49" i="31" a="1"/>
  <c r="AK49" i="31" a="1"/>
  <c r="AL49" i="31" a="1"/>
  <c r="AM49" i="31" a="1"/>
  <c r="AN49" i="31" a="1"/>
  <c r="AO49" i="31" a="1"/>
  <c r="AP49" i="31" a="1"/>
  <c r="AQ49" i="31" a="1"/>
  <c r="AR49" i="31" a="1"/>
  <c r="AS49" i="31" a="1"/>
  <c r="AT49" i="31" a="1"/>
  <c r="AU49" i="31" a="1"/>
  <c r="AV49" i="31" a="1"/>
  <c r="AW49" i="31" a="1"/>
  <c r="AX49" i="31" a="1"/>
  <c r="AY49" i="31" a="1"/>
  <c r="AZ49" i="31" a="1"/>
  <c r="BA49" i="31" a="1"/>
  <c r="BB49" i="31" a="1"/>
  <c r="BC49" i="31" a="1"/>
  <c r="BD49" i="31" a="1"/>
  <c r="BE49" i="31" a="1"/>
  <c r="BF49" i="31" a="1"/>
  <c r="BG49" i="31" a="1"/>
  <c r="BH49" i="31" a="1"/>
  <c r="BI49" i="31" a="1"/>
  <c r="BJ49" i="31" a="1"/>
  <c r="BK49" i="31" a="1"/>
  <c r="BL49" i="31" a="1"/>
  <c r="BM49" i="31" a="1"/>
  <c r="BN49" i="31" a="1"/>
  <c r="BO49" i="31" a="1"/>
  <c r="BP49" i="31" a="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AB25" i="31"/>
  <c r="E60" i="31" a="1"/>
  <c r="E60" i="31"/>
  <c r="F60" i="31" a="1"/>
  <c r="F60" i="31"/>
  <c r="G60" i="31" a="1"/>
  <c r="H60" i="31" a="1"/>
  <c r="I60" i="31" a="1"/>
  <c r="J60" i="31" a="1"/>
  <c r="K60" i="31" a="1"/>
  <c r="L60" i="31" a="1"/>
  <c r="M60" i="31" a="1"/>
  <c r="N60" i="31" a="1"/>
  <c r="O60" i="31" a="1"/>
  <c r="P60" i="31" a="1"/>
  <c r="Q60" i="31" a="1"/>
  <c r="R60" i="31" a="1"/>
  <c r="S60" i="31" a="1"/>
  <c r="T60" i="31" a="1"/>
  <c r="U60" i="31" a="1"/>
  <c r="V60" i="31" a="1"/>
  <c r="W60" i="31" a="1"/>
  <c r="X60" i="31" a="1"/>
  <c r="Y60" i="31" a="1"/>
  <c r="Z60" i="31" a="1"/>
  <c r="AA60" i="31" a="1"/>
  <c r="AB60" i="31" a="1"/>
  <c r="AC60" i="31" a="1"/>
  <c r="AD60" i="31" a="1"/>
  <c r="AE60" i="31" a="1"/>
  <c r="AF60" i="31" a="1"/>
  <c r="AG60" i="31" a="1"/>
  <c r="AH60" i="31" a="1"/>
  <c r="AI60" i="31" a="1"/>
  <c r="AJ60" i="31" a="1"/>
  <c r="AK60" i="31" a="1"/>
  <c r="AL60" i="31" a="1"/>
  <c r="AM60" i="31" a="1"/>
  <c r="AN60" i="31" a="1"/>
  <c r="AO60" i="31" a="1"/>
  <c r="AP60" i="31" a="1"/>
  <c r="AQ60" i="31" a="1"/>
  <c r="AR60" i="31" a="1"/>
  <c r="AS60" i="31" a="1"/>
  <c r="AT60" i="31" a="1"/>
  <c r="AU60" i="31" a="1"/>
  <c r="AV60" i="31" a="1"/>
  <c r="AW60" i="31" a="1"/>
  <c r="AX60" i="31" a="1"/>
  <c r="AY60" i="31" a="1"/>
  <c r="AZ60" i="31" a="1"/>
  <c r="BA60" i="31" a="1"/>
  <c r="BB60" i="31" a="1"/>
  <c r="BC60" i="31" a="1"/>
  <c r="BD60" i="31" a="1"/>
  <c r="BE60" i="31" a="1"/>
  <c r="BF60" i="31" a="1"/>
  <c r="BG60" i="31" a="1"/>
  <c r="BH60" i="31" a="1"/>
  <c r="BI60" i="31" a="1"/>
  <c r="BJ60" i="31" a="1"/>
  <c r="BK60" i="31" a="1"/>
  <c r="BL60" i="31" a="1"/>
  <c r="BM60" i="31" a="1"/>
  <c r="BN60" i="31" a="1"/>
  <c r="BO60" i="31" a="1"/>
  <c r="BP60" i="31" a="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AC25" i="31"/>
  <c r="AG25" i="31"/>
  <c r="AH25" i="31"/>
  <c r="E47" i="35" a="1"/>
  <c r="E47" i="35"/>
  <c r="F47" i="35" a="1"/>
  <c r="F47" i="35"/>
  <c r="G47" i="35" a="1"/>
  <c r="H47" i="35" a="1"/>
  <c r="I47" i="35" a="1"/>
  <c r="J47" i="35" a="1"/>
  <c r="K47" i="35" a="1"/>
  <c r="L47" i="35" a="1"/>
  <c r="M47" i="35" a="1"/>
  <c r="N47" i="35" a="1"/>
  <c r="O47" i="35" a="1"/>
  <c r="P47" i="35" a="1"/>
  <c r="Q47" i="35" a="1"/>
  <c r="R47" i="35" a="1"/>
  <c r="S47" i="35" a="1"/>
  <c r="T47" i="35" a="1"/>
  <c r="U47" i="35" a="1"/>
  <c r="V47" i="35" a="1"/>
  <c r="W47" i="35" a="1"/>
  <c r="X47" i="35" a="1"/>
  <c r="Y47" i="35" a="1"/>
  <c r="Z47" i="35" a="1"/>
  <c r="AA47" i="35" a="1"/>
  <c r="AB47" i="35" a="1"/>
  <c r="AC47" i="35" a="1"/>
  <c r="AD47" i="35" a="1"/>
  <c r="AE47" i="35" a="1"/>
  <c r="AF47" i="35" a="1"/>
  <c r="AG47" i="35" a="1"/>
  <c r="AH47" i="35" a="1"/>
  <c r="AI47" i="35" a="1"/>
  <c r="AJ47" i="35" a="1"/>
  <c r="AK47" i="35" a="1"/>
  <c r="AL47" i="35" a="1"/>
  <c r="AM47" i="35" a="1"/>
  <c r="AN47" i="35" a="1"/>
  <c r="AO47" i="35" a="1"/>
  <c r="AP47" i="35" a="1"/>
  <c r="AQ47" i="35" a="1"/>
  <c r="AR47" i="35" a="1"/>
  <c r="AS47" i="35" a="1"/>
  <c r="AT47" i="35" a="1"/>
  <c r="AU47" i="35" a="1"/>
  <c r="AV47" i="35" a="1"/>
  <c r="AW47" i="35" a="1"/>
  <c r="AX47" i="35" a="1"/>
  <c r="AY47" i="35" a="1"/>
  <c r="AZ47" i="35" a="1"/>
  <c r="BA47" i="35" a="1"/>
  <c r="BB47" i="35" a="1"/>
  <c r="BC47" i="35" a="1"/>
  <c r="BD47" i="35" a="1"/>
  <c r="BE47" i="35" a="1"/>
  <c r="BF47" i="35" a="1"/>
  <c r="BG47" i="35" a="1"/>
  <c r="BH47" i="35" a="1"/>
  <c r="BI47" i="35" a="1"/>
  <c r="BJ47" i="35" a="1"/>
  <c r="BK47" i="35" a="1"/>
  <c r="BL47" i="35" a="1"/>
  <c r="BM47" i="35" a="1"/>
  <c r="BN47" i="35" a="1"/>
  <c r="BO47" i="35" a="1"/>
  <c r="BP47" i="35" a="1"/>
  <c r="G47" i="35"/>
  <c r="H47" i="35"/>
  <c r="I47" i="35"/>
  <c r="J47" i="35"/>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AB23" i="35"/>
  <c r="E58" i="35" a="1"/>
  <c r="E58" i="35"/>
  <c r="F58" i="35" a="1"/>
  <c r="F58" i="35"/>
  <c r="G58" i="35" a="1"/>
  <c r="H58" i="35" a="1"/>
  <c r="I58" i="35" a="1"/>
  <c r="J58" i="35" a="1"/>
  <c r="K58" i="35" a="1"/>
  <c r="L58" i="35" a="1"/>
  <c r="M58" i="35" a="1"/>
  <c r="N58" i="35" a="1"/>
  <c r="O58" i="35" a="1"/>
  <c r="P58" i="35" a="1"/>
  <c r="Q58" i="35" a="1"/>
  <c r="R58" i="35" a="1"/>
  <c r="S58" i="35" a="1"/>
  <c r="T58" i="35" a="1"/>
  <c r="U58" i="35" a="1"/>
  <c r="V58" i="35" a="1"/>
  <c r="W58" i="35" a="1"/>
  <c r="X58" i="35" a="1"/>
  <c r="Y58" i="35" a="1"/>
  <c r="Z58" i="35" a="1"/>
  <c r="AA58" i="35" a="1"/>
  <c r="AB58" i="35" a="1"/>
  <c r="AC58" i="35" a="1"/>
  <c r="AD58" i="35" a="1"/>
  <c r="AE58" i="35" a="1"/>
  <c r="AF58" i="35" a="1"/>
  <c r="AG58" i="35" a="1"/>
  <c r="AH58" i="35" a="1"/>
  <c r="AI58" i="35" a="1"/>
  <c r="AJ58" i="35" a="1"/>
  <c r="AK58" i="35" a="1"/>
  <c r="AL58" i="35" a="1"/>
  <c r="AM58" i="35" a="1"/>
  <c r="AN58" i="35" a="1"/>
  <c r="AO58" i="35" a="1"/>
  <c r="AP58" i="35" a="1"/>
  <c r="AQ58" i="35" a="1"/>
  <c r="AR58" i="35" a="1"/>
  <c r="AS58" i="35" a="1"/>
  <c r="AT58" i="35" a="1"/>
  <c r="AU58" i="35" a="1"/>
  <c r="AV58" i="35" a="1"/>
  <c r="AW58" i="35" a="1"/>
  <c r="AX58" i="35" a="1"/>
  <c r="AY58" i="35" a="1"/>
  <c r="AZ58" i="35" a="1"/>
  <c r="BA58" i="35" a="1"/>
  <c r="BB58" i="35" a="1"/>
  <c r="BC58" i="35" a="1"/>
  <c r="BD58" i="35" a="1"/>
  <c r="BE58" i="35" a="1"/>
  <c r="BF58" i="35" a="1"/>
  <c r="BG58" i="35" a="1"/>
  <c r="BH58" i="35" a="1"/>
  <c r="BI58" i="35" a="1"/>
  <c r="BJ58" i="35" a="1"/>
  <c r="BK58" i="35" a="1"/>
  <c r="BL58" i="35" a="1"/>
  <c r="BM58" i="35" a="1"/>
  <c r="BN58" i="35" a="1"/>
  <c r="BO58" i="35" a="1"/>
  <c r="BP58" i="35" a="1"/>
  <c r="G58" i="35"/>
  <c r="H58" i="35"/>
  <c r="I58" i="35"/>
  <c r="J58" i="35"/>
  <c r="K58" i="35"/>
  <c r="L58" i="35"/>
  <c r="M58" i="35"/>
  <c r="N58" i="35"/>
  <c r="O58" i="35"/>
  <c r="P58" i="35"/>
  <c r="Q58" i="35"/>
  <c r="R58" i="35"/>
  <c r="S58" i="35"/>
  <c r="T58" i="35"/>
  <c r="U58" i="35"/>
  <c r="V58" i="35"/>
  <c r="W58" i="35"/>
  <c r="X58" i="35"/>
  <c r="Y58" i="35"/>
  <c r="Z58" i="35"/>
  <c r="AA58" i="35"/>
  <c r="AB58" i="35"/>
  <c r="AC58" i="35"/>
  <c r="AD58" i="35"/>
  <c r="AE58" i="35"/>
  <c r="AF58" i="35"/>
  <c r="AG58" i="35"/>
  <c r="AH58" i="35"/>
  <c r="AI58" i="35"/>
  <c r="AJ58" i="35"/>
  <c r="AK58" i="35"/>
  <c r="AL58" i="35"/>
  <c r="AM58" i="35"/>
  <c r="AN58" i="35"/>
  <c r="AO58" i="35"/>
  <c r="AP58" i="35"/>
  <c r="AQ58" i="35"/>
  <c r="AR58" i="35"/>
  <c r="AS58" i="35"/>
  <c r="AT58" i="35"/>
  <c r="AU58" i="35"/>
  <c r="AV58" i="35"/>
  <c r="AW58" i="35"/>
  <c r="AX58" i="35"/>
  <c r="AY58" i="35"/>
  <c r="AZ58" i="35"/>
  <c r="BA58" i="35"/>
  <c r="BB58" i="35"/>
  <c r="BC58" i="35"/>
  <c r="BD58" i="35"/>
  <c r="BE58" i="35"/>
  <c r="BF58" i="35"/>
  <c r="BG58" i="35"/>
  <c r="BH58" i="35"/>
  <c r="BI58" i="35"/>
  <c r="BJ58" i="35"/>
  <c r="BK58" i="35"/>
  <c r="BL58" i="35"/>
  <c r="BM58" i="35"/>
  <c r="BN58" i="35"/>
  <c r="BO58" i="35"/>
  <c r="BP58" i="35"/>
  <c r="AC23" i="35"/>
  <c r="E48" i="35" a="1"/>
  <c r="E48" i="35"/>
  <c r="F48" i="35" a="1"/>
  <c r="F48" i="35"/>
  <c r="G48" i="35" a="1"/>
  <c r="H48" i="35" a="1"/>
  <c r="I48" i="35" a="1"/>
  <c r="J48" i="35" a="1"/>
  <c r="K48" i="35" a="1"/>
  <c r="L48" i="35" a="1"/>
  <c r="M48" i="35" a="1"/>
  <c r="N48" i="35" a="1"/>
  <c r="O48" i="35" a="1"/>
  <c r="P48" i="35" a="1"/>
  <c r="Q48" i="35" a="1"/>
  <c r="R48" i="35" a="1"/>
  <c r="S48" i="35" a="1"/>
  <c r="T48" i="35" a="1"/>
  <c r="U48" i="35" a="1"/>
  <c r="V48" i="35" a="1"/>
  <c r="W48" i="35" a="1"/>
  <c r="X48" i="35" a="1"/>
  <c r="Y48" i="35" a="1"/>
  <c r="Z48" i="35" a="1"/>
  <c r="AA48" i="35" a="1"/>
  <c r="AB48" i="35" a="1"/>
  <c r="AC48" i="35" a="1"/>
  <c r="AD48" i="35" a="1"/>
  <c r="AE48" i="35" a="1"/>
  <c r="AF48" i="35" a="1"/>
  <c r="AG48" i="35" a="1"/>
  <c r="AH48" i="35" a="1"/>
  <c r="AI48" i="35" a="1"/>
  <c r="AJ48" i="35" a="1"/>
  <c r="AK48" i="35" a="1"/>
  <c r="AL48" i="35" a="1"/>
  <c r="AM48" i="35" a="1"/>
  <c r="AN48" i="35" a="1"/>
  <c r="AO48" i="35" a="1"/>
  <c r="AP48" i="35" a="1"/>
  <c r="AQ48" i="35" a="1"/>
  <c r="AR48" i="35" a="1"/>
  <c r="AS48" i="35" a="1"/>
  <c r="AT48" i="35" a="1"/>
  <c r="AU48" i="35" a="1"/>
  <c r="AV48" i="35" a="1"/>
  <c r="AW48" i="35" a="1"/>
  <c r="AX48" i="35" a="1"/>
  <c r="AY48" i="35" a="1"/>
  <c r="AZ48" i="35" a="1"/>
  <c r="BA48" i="35" a="1"/>
  <c r="BB48" i="35" a="1"/>
  <c r="BC48" i="35" a="1"/>
  <c r="BD48" i="35" a="1"/>
  <c r="BE48" i="35" a="1"/>
  <c r="BF48" i="35" a="1"/>
  <c r="BG48" i="35" a="1"/>
  <c r="BH48" i="35" a="1"/>
  <c r="BI48" i="35" a="1"/>
  <c r="BJ48" i="35" a="1"/>
  <c r="BK48" i="35" a="1"/>
  <c r="BL48" i="35" a="1"/>
  <c r="BM48" i="35" a="1"/>
  <c r="BN48" i="35" a="1"/>
  <c r="BO48" i="35" a="1"/>
  <c r="BP48" i="35" a="1"/>
  <c r="G48" i="35"/>
  <c r="H48" i="35"/>
  <c r="I48" i="35"/>
  <c r="J48" i="35"/>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AB24" i="35"/>
  <c r="E59" i="35" a="1"/>
  <c r="E59" i="35"/>
  <c r="F59" i="35" a="1"/>
  <c r="F59" i="35"/>
  <c r="G59" i="35" a="1"/>
  <c r="H59" i="35" a="1"/>
  <c r="I59" i="35" a="1"/>
  <c r="J59" i="35" a="1"/>
  <c r="K59" i="35" a="1"/>
  <c r="L59" i="35" a="1"/>
  <c r="M59" i="35" a="1"/>
  <c r="N59" i="35" a="1"/>
  <c r="O59" i="35" a="1"/>
  <c r="P59" i="35" a="1"/>
  <c r="Q59" i="35" a="1"/>
  <c r="R59" i="35" a="1"/>
  <c r="S59" i="35" a="1"/>
  <c r="T59" i="35" a="1"/>
  <c r="U59" i="35" a="1"/>
  <c r="V59" i="35" a="1"/>
  <c r="W59" i="35" a="1"/>
  <c r="X59" i="35" a="1"/>
  <c r="Y59" i="35" a="1"/>
  <c r="Z59" i="35" a="1"/>
  <c r="AA59" i="35" a="1"/>
  <c r="AB59" i="35" a="1"/>
  <c r="AC59" i="35" a="1"/>
  <c r="AD59" i="35" a="1"/>
  <c r="AE59" i="35" a="1"/>
  <c r="AF59" i="35" a="1"/>
  <c r="AG59" i="35" a="1"/>
  <c r="AH59" i="35" a="1"/>
  <c r="AI59" i="35" a="1"/>
  <c r="AJ59" i="35" a="1"/>
  <c r="AK59" i="35" a="1"/>
  <c r="AL59" i="35" a="1"/>
  <c r="AM59" i="35" a="1"/>
  <c r="AN59" i="35" a="1"/>
  <c r="AO59" i="35" a="1"/>
  <c r="AP59" i="35" a="1"/>
  <c r="AQ59" i="35" a="1"/>
  <c r="AR59" i="35" a="1"/>
  <c r="AS59" i="35" a="1"/>
  <c r="AT59" i="35" a="1"/>
  <c r="AU59" i="35" a="1"/>
  <c r="AV59" i="35" a="1"/>
  <c r="AW59" i="35" a="1"/>
  <c r="AX59" i="35" a="1"/>
  <c r="AY59" i="35" a="1"/>
  <c r="AZ59" i="35" a="1"/>
  <c r="BA59" i="35" a="1"/>
  <c r="BB59" i="35" a="1"/>
  <c r="BC59" i="35" a="1"/>
  <c r="BD59" i="35" a="1"/>
  <c r="BE59" i="35" a="1"/>
  <c r="BF59" i="35" a="1"/>
  <c r="BG59" i="35" a="1"/>
  <c r="BH59" i="35" a="1"/>
  <c r="BI59" i="35" a="1"/>
  <c r="BJ59" i="35" a="1"/>
  <c r="BK59" i="35" a="1"/>
  <c r="BL59" i="35" a="1"/>
  <c r="BM59" i="35" a="1"/>
  <c r="BN59" i="35" a="1"/>
  <c r="BO59" i="35" a="1"/>
  <c r="BP59" i="35" a="1"/>
  <c r="G59" i="35"/>
  <c r="H59" i="35"/>
  <c r="I59" i="35"/>
  <c r="J59" i="35"/>
  <c r="K59" i="35"/>
  <c r="L59" i="35"/>
  <c r="M59" i="35"/>
  <c r="N59" i="35"/>
  <c r="O59" i="35"/>
  <c r="P59" i="35"/>
  <c r="Q59" i="35"/>
  <c r="R59" i="35"/>
  <c r="S59" i="35"/>
  <c r="T59" i="35"/>
  <c r="U59" i="35"/>
  <c r="V59" i="35"/>
  <c r="W59" i="35"/>
  <c r="X59" i="35"/>
  <c r="Y59" i="35"/>
  <c r="Z59" i="35"/>
  <c r="AA59" i="35"/>
  <c r="AB59" i="35"/>
  <c r="AC59" i="35"/>
  <c r="AD59" i="35"/>
  <c r="AE59" i="35"/>
  <c r="AF59" i="35"/>
  <c r="AG59" i="35"/>
  <c r="AH59" i="35"/>
  <c r="AI59" i="35"/>
  <c r="AJ59" i="35"/>
  <c r="AK59" i="35"/>
  <c r="AL59" i="35"/>
  <c r="AM59" i="35"/>
  <c r="AN59" i="35"/>
  <c r="AO59" i="35"/>
  <c r="AP59" i="35"/>
  <c r="AQ59" i="35"/>
  <c r="AR59" i="35"/>
  <c r="AS59" i="35"/>
  <c r="AT59" i="35"/>
  <c r="AU59" i="35"/>
  <c r="AV59" i="35"/>
  <c r="AW59" i="35"/>
  <c r="AX59" i="35"/>
  <c r="AY59" i="35"/>
  <c r="AZ59" i="35"/>
  <c r="BA59" i="35"/>
  <c r="BB59" i="35"/>
  <c r="BC59" i="35"/>
  <c r="BD59" i="35"/>
  <c r="BE59" i="35"/>
  <c r="BF59" i="35"/>
  <c r="BG59" i="35"/>
  <c r="BH59" i="35"/>
  <c r="BI59" i="35"/>
  <c r="BJ59" i="35"/>
  <c r="BK59" i="35"/>
  <c r="BL59" i="35"/>
  <c r="BM59" i="35"/>
  <c r="BN59" i="35"/>
  <c r="BO59" i="35"/>
  <c r="BP59" i="35"/>
  <c r="AC24" i="35"/>
  <c r="E49" i="35" a="1"/>
  <c r="E49" i="35"/>
  <c r="F49" i="35" a="1"/>
  <c r="F49" i="35"/>
  <c r="G49" i="35" a="1"/>
  <c r="H49" i="35" a="1"/>
  <c r="I49" i="35" a="1"/>
  <c r="J49" i="35" a="1"/>
  <c r="K49" i="35" a="1"/>
  <c r="L49" i="35" a="1"/>
  <c r="M49" i="35" a="1"/>
  <c r="N49" i="35" a="1"/>
  <c r="O49" i="35" a="1"/>
  <c r="P49" i="35" a="1"/>
  <c r="Q49" i="35" a="1"/>
  <c r="R49" i="35" a="1"/>
  <c r="S49" i="35" a="1"/>
  <c r="T49" i="35" a="1"/>
  <c r="U49" i="35" a="1"/>
  <c r="V49" i="35" a="1"/>
  <c r="W49" i="35" a="1"/>
  <c r="X49" i="35" a="1"/>
  <c r="Y49" i="35" a="1"/>
  <c r="Z49" i="35" a="1"/>
  <c r="AA49" i="35" a="1"/>
  <c r="AB49" i="35" a="1"/>
  <c r="AC49" i="35" a="1"/>
  <c r="AD49" i="35" a="1"/>
  <c r="AE49" i="35" a="1"/>
  <c r="AF49" i="35" a="1"/>
  <c r="AG49" i="35" a="1"/>
  <c r="AH49" i="35" a="1"/>
  <c r="AI49" i="35" a="1"/>
  <c r="AJ49" i="35" a="1"/>
  <c r="AK49" i="35" a="1"/>
  <c r="AL49" i="35" a="1"/>
  <c r="AM49" i="35" a="1"/>
  <c r="AN49" i="35" a="1"/>
  <c r="AO49" i="35" a="1"/>
  <c r="AP49" i="35" a="1"/>
  <c r="AQ49" i="35" a="1"/>
  <c r="AR49" i="35" a="1"/>
  <c r="AS49" i="35" a="1"/>
  <c r="AT49" i="35" a="1"/>
  <c r="AU49" i="35" a="1"/>
  <c r="AV49" i="35" a="1"/>
  <c r="AW49" i="35" a="1"/>
  <c r="AX49" i="35" a="1"/>
  <c r="AY49" i="35" a="1"/>
  <c r="AZ49" i="35" a="1"/>
  <c r="BA49" i="35" a="1"/>
  <c r="BB49" i="35" a="1"/>
  <c r="BC49" i="35" a="1"/>
  <c r="BD49" i="35" a="1"/>
  <c r="BE49" i="35" a="1"/>
  <c r="BF49" i="35" a="1"/>
  <c r="BG49" i="35" a="1"/>
  <c r="BH49" i="35" a="1"/>
  <c r="BI49" i="35" a="1"/>
  <c r="BJ49" i="35" a="1"/>
  <c r="BK49" i="35" a="1"/>
  <c r="BL49" i="35" a="1"/>
  <c r="BM49" i="35" a="1"/>
  <c r="BN49" i="35" a="1"/>
  <c r="BO49" i="35" a="1"/>
  <c r="BP49" i="35" a="1"/>
  <c r="G49" i="35"/>
  <c r="H49" i="35"/>
  <c r="I49" i="35"/>
  <c r="J49" i="35"/>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AB25" i="35"/>
  <c r="E60" i="35" a="1"/>
  <c r="E60" i="35"/>
  <c r="F60" i="35" a="1"/>
  <c r="F60" i="35"/>
  <c r="G60" i="35" a="1"/>
  <c r="H60" i="35" a="1"/>
  <c r="I60" i="35" a="1"/>
  <c r="J60" i="35" a="1"/>
  <c r="K60" i="35" a="1"/>
  <c r="L60" i="35" a="1"/>
  <c r="M60" i="35" a="1"/>
  <c r="N60" i="35" a="1"/>
  <c r="O60" i="35" a="1"/>
  <c r="P60" i="35" a="1"/>
  <c r="Q60" i="35" a="1"/>
  <c r="R60" i="35" a="1"/>
  <c r="S60" i="35" a="1"/>
  <c r="T60" i="35" a="1"/>
  <c r="U60" i="35" a="1"/>
  <c r="V60" i="35" a="1"/>
  <c r="W60" i="35" a="1"/>
  <c r="X60" i="35" a="1"/>
  <c r="Y60" i="35" a="1"/>
  <c r="Z60" i="35" a="1"/>
  <c r="AA60" i="35" a="1"/>
  <c r="AB60" i="35" a="1"/>
  <c r="AC60" i="35" a="1"/>
  <c r="AD60" i="35" a="1"/>
  <c r="AE60" i="35" a="1"/>
  <c r="AF60" i="35" a="1"/>
  <c r="AG60" i="35" a="1"/>
  <c r="AH60" i="35" a="1"/>
  <c r="AI60" i="35" a="1"/>
  <c r="AJ60" i="35" a="1"/>
  <c r="AK60" i="35" a="1"/>
  <c r="AL60" i="35" a="1"/>
  <c r="AM60" i="35" a="1"/>
  <c r="AN60" i="35" a="1"/>
  <c r="AO60" i="35" a="1"/>
  <c r="AP60" i="35" a="1"/>
  <c r="AQ60" i="35" a="1"/>
  <c r="AR60" i="35" a="1"/>
  <c r="AS60" i="35" a="1"/>
  <c r="AT60" i="35" a="1"/>
  <c r="AU60" i="35" a="1"/>
  <c r="AV60" i="35" a="1"/>
  <c r="AW60" i="35" a="1"/>
  <c r="AX60" i="35" a="1"/>
  <c r="AY60" i="35" a="1"/>
  <c r="AZ60" i="35" a="1"/>
  <c r="BA60" i="35" a="1"/>
  <c r="BB60" i="35" a="1"/>
  <c r="BC60" i="35" a="1"/>
  <c r="BD60" i="35" a="1"/>
  <c r="BE60" i="35" a="1"/>
  <c r="BF60" i="35" a="1"/>
  <c r="BG60" i="35" a="1"/>
  <c r="BH60" i="35" a="1"/>
  <c r="BI60" i="35" a="1"/>
  <c r="BJ60" i="35" a="1"/>
  <c r="BK60" i="35" a="1"/>
  <c r="BL60" i="35" a="1"/>
  <c r="BM60" i="35" a="1"/>
  <c r="BN60" i="35" a="1"/>
  <c r="BO60" i="35" a="1"/>
  <c r="BP60" i="35" a="1"/>
  <c r="G60" i="35"/>
  <c r="H60" i="35"/>
  <c r="I60" i="35"/>
  <c r="J60" i="35"/>
  <c r="K60" i="35"/>
  <c r="L60" i="35"/>
  <c r="M60" i="35"/>
  <c r="N60" i="35"/>
  <c r="O60" i="35"/>
  <c r="P60" i="35"/>
  <c r="Q60" i="35"/>
  <c r="R60" i="35"/>
  <c r="S60" i="35"/>
  <c r="T60" i="35"/>
  <c r="U60" i="35"/>
  <c r="V60" i="35"/>
  <c r="W60" i="35"/>
  <c r="X60" i="35"/>
  <c r="Y60" i="35"/>
  <c r="Z60" i="35"/>
  <c r="AA60" i="35"/>
  <c r="AB60" i="35"/>
  <c r="AC60" i="35"/>
  <c r="AD60" i="35"/>
  <c r="AE60" i="35"/>
  <c r="AF60" i="35"/>
  <c r="AG60" i="35"/>
  <c r="AH60" i="35"/>
  <c r="AI60" i="35"/>
  <c r="AJ60" i="35"/>
  <c r="AK60" i="35"/>
  <c r="AL60" i="35"/>
  <c r="AM60" i="35"/>
  <c r="AN60" i="35"/>
  <c r="AO60" i="35"/>
  <c r="AP60" i="35"/>
  <c r="AQ60" i="35"/>
  <c r="AR60" i="35"/>
  <c r="AS60" i="35"/>
  <c r="AT60" i="35"/>
  <c r="AU60" i="35"/>
  <c r="AV60" i="35"/>
  <c r="AW60" i="35"/>
  <c r="AX60" i="35"/>
  <c r="AY60" i="35"/>
  <c r="AZ60" i="35"/>
  <c r="BA60" i="35"/>
  <c r="BB60" i="35"/>
  <c r="BC60" i="35"/>
  <c r="BD60" i="35"/>
  <c r="BE60" i="35"/>
  <c r="BF60" i="35"/>
  <c r="BG60" i="35"/>
  <c r="BH60" i="35"/>
  <c r="BI60" i="35"/>
  <c r="BJ60" i="35"/>
  <c r="BK60" i="35"/>
  <c r="BL60" i="35"/>
  <c r="BM60" i="35"/>
  <c r="BN60" i="35"/>
  <c r="BO60" i="35"/>
  <c r="BP60" i="35"/>
  <c r="AC25" i="35"/>
  <c r="C56" i="6"/>
  <c r="D56" i="6"/>
  <c r="D55" i="6"/>
  <c r="C55" i="6"/>
  <c r="D54" i="6"/>
  <c r="C54" i="6"/>
  <c r="D53" i="6"/>
  <c r="C53" i="6"/>
  <c r="D52" i="6"/>
  <c r="C52" i="6"/>
  <c r="D61" i="6"/>
  <c r="C61" i="6"/>
  <c r="D60" i="6"/>
  <c r="C60" i="6"/>
  <c r="D59" i="6"/>
  <c r="C59" i="6"/>
  <c r="D58" i="6"/>
  <c r="C58" i="6"/>
  <c r="D57" i="6"/>
  <c r="C57" i="6"/>
  <c r="D71" i="6"/>
  <c r="C71" i="6"/>
  <c r="D70" i="6"/>
  <c r="C70" i="6"/>
  <c r="D69" i="6"/>
  <c r="C69" i="6"/>
  <c r="D68" i="6"/>
  <c r="C68" i="6"/>
  <c r="D67" i="6"/>
  <c r="C67" i="6"/>
  <c r="D66" i="6"/>
  <c r="C66" i="6"/>
  <c r="D65" i="6"/>
  <c r="C65" i="6"/>
  <c r="D64" i="6"/>
  <c r="C64" i="6"/>
  <c r="D63" i="6"/>
  <c r="C63" i="6"/>
  <c r="D62" i="6"/>
  <c r="C62" i="6"/>
  <c r="E8" i="22" a="1"/>
  <c r="E8" i="22"/>
  <c r="F8" i="22"/>
  <c r="C5" i="34"/>
  <c r="E9" i="22" a="1"/>
  <c r="E9" i="22"/>
  <c r="F9" i="22"/>
  <c r="C6" i="34"/>
  <c r="E10" i="22" a="1"/>
  <c r="E10" i="22"/>
  <c r="F10" i="22"/>
  <c r="C7" i="34"/>
  <c r="E11" i="22" a="1"/>
  <c r="E11" i="22"/>
  <c r="F11" i="22"/>
  <c r="C8" i="34"/>
  <c r="E12" i="22" a="1"/>
  <c r="E12" i="22"/>
  <c r="F12" i="22"/>
  <c r="C9" i="34"/>
  <c r="E13" i="22" a="1"/>
  <c r="E13" i="22"/>
  <c r="F13" i="22"/>
  <c r="C10" i="34"/>
  <c r="E14" i="22" a="1"/>
  <c r="E14" i="22"/>
  <c r="F14" i="22"/>
  <c r="C11" i="34"/>
  <c r="E15" i="22" a="1"/>
  <c r="E15" i="22"/>
  <c r="F15" i="22"/>
  <c r="C12" i="34"/>
  <c r="E16" i="22" a="1"/>
  <c r="E16" i="22"/>
  <c r="F16" i="22"/>
  <c r="C13" i="34"/>
  <c r="E17" i="22" a="1"/>
  <c r="E17" i="22"/>
  <c r="F17" i="22"/>
  <c r="C14" i="34"/>
  <c r="E18" i="22" a="1"/>
  <c r="E18" i="22"/>
  <c r="F18" i="22"/>
  <c r="C15" i="34"/>
  <c r="E19" i="22" a="1"/>
  <c r="E19" i="22"/>
  <c r="F19" i="22"/>
  <c r="C16" i="34"/>
  <c r="E20" i="22" a="1"/>
  <c r="E20" i="22"/>
  <c r="F20" i="22"/>
  <c r="C17" i="34"/>
  <c r="E21" i="22" a="1"/>
  <c r="E21" i="22"/>
  <c r="F21" i="22"/>
  <c r="C18" i="34"/>
  <c r="E22" i="22" a="1"/>
  <c r="E22" i="22"/>
  <c r="F22" i="22"/>
  <c r="C19" i="34"/>
  <c r="E23" i="22" a="1"/>
  <c r="E23" i="22"/>
  <c r="F23" i="22"/>
  <c r="C20" i="34"/>
  <c r="E24" i="22" a="1"/>
  <c r="E24" i="22"/>
  <c r="F24" i="22"/>
  <c r="C21" i="34"/>
  <c r="E25" i="22" a="1"/>
  <c r="E25" i="22"/>
  <c r="F25" i="22"/>
  <c r="C22" i="34"/>
  <c r="E26" i="22" a="1"/>
  <c r="E26" i="22"/>
  <c r="F26" i="22"/>
  <c r="C23" i="34"/>
  <c r="E27" i="22" a="1"/>
  <c r="E27" i="22"/>
  <c r="F27" i="22"/>
  <c r="C24" i="34"/>
  <c r="E28" i="22" a="1"/>
  <c r="E28" i="22"/>
  <c r="F28" i="22"/>
  <c r="C25" i="34"/>
  <c r="E29" i="22" a="1"/>
  <c r="E29" i="22"/>
  <c r="F29" i="22"/>
  <c r="C26" i="34"/>
  <c r="C65" i="34"/>
  <c r="C66" i="34"/>
  <c r="C67" i="34"/>
  <c r="C68" i="34"/>
  <c r="C69" i="34"/>
  <c r="C70" i="34"/>
  <c r="C71" i="34"/>
  <c r="C72" i="34"/>
  <c r="C73" i="34"/>
  <c r="C74" i="34"/>
  <c r="C75" i="34"/>
  <c r="C76" i="34"/>
  <c r="C77" i="34"/>
  <c r="C78" i="34"/>
  <c r="C79" i="34"/>
  <c r="C80" i="34"/>
  <c r="C81" i="34"/>
  <c r="C82" i="34"/>
  <c r="C83" i="34"/>
  <c r="C84" i="34"/>
  <c r="C85" i="34"/>
  <c r="C86" i="34"/>
  <c r="C34" i="6"/>
  <c r="C33" i="6"/>
  <c r="C32" i="6"/>
  <c r="G26" i="22"/>
  <c r="D32" i="6"/>
  <c r="G27" i="22"/>
  <c r="D33" i="6"/>
  <c r="G28" i="22"/>
  <c r="D34" i="6"/>
  <c r="G29" i="22"/>
  <c r="D35" i="6"/>
  <c r="G12" i="22"/>
  <c r="D18" i="6"/>
  <c r="G13" i="22"/>
  <c r="D19" i="6"/>
  <c r="G14" i="22"/>
  <c r="D20" i="6"/>
  <c r="G15" i="22"/>
  <c r="D21" i="6"/>
  <c r="G16" i="22"/>
  <c r="D22" i="6"/>
  <c r="G17" i="22"/>
  <c r="D23" i="6"/>
  <c r="G18" i="22"/>
  <c r="D24" i="6"/>
  <c r="G19" i="22"/>
  <c r="D25" i="6"/>
  <c r="G20" i="22"/>
  <c r="D26" i="6"/>
  <c r="G21" i="22"/>
  <c r="D27" i="6"/>
  <c r="G22" i="22"/>
  <c r="D28" i="6"/>
  <c r="G23" i="22"/>
  <c r="D29" i="6"/>
  <c r="G24" i="22"/>
  <c r="D30" i="6"/>
  <c r="G25" i="22"/>
  <c r="D31" i="6"/>
  <c r="G8" i="22"/>
  <c r="D14" i="6"/>
  <c r="G9" i="22"/>
  <c r="D15" i="6"/>
  <c r="G10" i="22"/>
  <c r="D16" i="6"/>
  <c r="G11" i="22"/>
  <c r="D17" i="6"/>
  <c r="C17" i="6"/>
  <c r="C16" i="6"/>
  <c r="C14" i="6"/>
  <c r="C18" i="6"/>
  <c r="C19" i="6"/>
  <c r="C20" i="6"/>
  <c r="C21" i="6"/>
  <c r="C22" i="6"/>
  <c r="C23" i="6"/>
  <c r="C24" i="6"/>
  <c r="C25" i="6"/>
  <c r="C27" i="6"/>
  <c r="C28" i="6"/>
  <c r="C29" i="6"/>
  <c r="C30" i="6"/>
  <c r="C31" i="6"/>
  <c r="C26" i="6"/>
  <c r="C35" i="6"/>
  <c r="C15" i="6"/>
  <c r="B35" i="6"/>
  <c r="B34" i="6"/>
  <c r="B33" i="6"/>
  <c r="B32" i="6"/>
  <c r="B31" i="6"/>
  <c r="B30" i="6"/>
  <c r="B29" i="6"/>
  <c r="B28" i="6"/>
  <c r="B27" i="6"/>
  <c r="B26" i="6"/>
  <c r="B25" i="6"/>
  <c r="B24" i="6"/>
  <c r="B23" i="6"/>
  <c r="B22" i="6"/>
  <c r="B21" i="6"/>
  <c r="B20" i="6"/>
  <c r="B19" i="6"/>
  <c r="B18" i="6"/>
  <c r="B17" i="6"/>
  <c r="B16" i="6"/>
  <c r="B15" i="6"/>
  <c r="B14" i="6"/>
  <c r="E30" i="22" a="1"/>
  <c r="E30" i="22"/>
  <c r="F30" i="22"/>
  <c r="C27" i="34"/>
  <c r="E34" i="22" a="1"/>
  <c r="E34" i="22"/>
  <c r="F34" i="22"/>
  <c r="C31" i="34"/>
  <c r="E38" i="22" a="1"/>
  <c r="E38" i="22"/>
  <c r="F38" i="22"/>
  <c r="C35" i="34"/>
  <c r="E42" i="22" a="1"/>
  <c r="E42" i="22"/>
  <c r="F42" i="22"/>
  <c r="C39" i="34"/>
  <c r="C87" i="34"/>
  <c r="C91" i="34"/>
  <c r="C95" i="34"/>
  <c r="C99"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E7" i="34"/>
  <c r="E8" i="34" a="1"/>
  <c r="E8" i="34"/>
  <c r="E5" i="34" a="1"/>
  <c r="E5" i="34"/>
  <c r="E9" i="34" a="1"/>
  <c r="E9" i="34"/>
  <c r="F8" i="34"/>
  <c r="E3" i="34"/>
  <c r="R24" i="22" a="1"/>
  <c r="R24" i="22"/>
  <c r="F9" i="34"/>
  <c r="E4" i="34"/>
  <c r="S24" i="22" a="1"/>
  <c r="S24" i="22"/>
  <c r="E6" i="34"/>
  <c r="C42" i="6"/>
  <c r="G36" i="22"/>
  <c r="D42" i="6"/>
  <c r="C43" i="6"/>
  <c r="G37" i="22"/>
  <c r="D43" i="6"/>
  <c r="C44" i="6"/>
  <c r="G38" i="22"/>
  <c r="D44" i="6"/>
  <c r="C45" i="6"/>
  <c r="G39" i="22"/>
  <c r="D45" i="6"/>
  <c r="C46" i="6"/>
  <c r="G40" i="22"/>
  <c r="D46" i="6"/>
  <c r="C47" i="6"/>
  <c r="G41" i="22"/>
  <c r="D47" i="6"/>
  <c r="C48" i="6"/>
  <c r="G42" i="22"/>
  <c r="D48" i="6"/>
  <c r="G43" i="22"/>
  <c r="D49" i="6"/>
  <c r="C50" i="6"/>
  <c r="G44" i="22"/>
  <c r="D50" i="6"/>
  <c r="C51" i="6"/>
  <c r="G45" i="22"/>
  <c r="D51" i="6"/>
  <c r="C40" i="6"/>
  <c r="C39" i="6"/>
  <c r="C38" i="6"/>
  <c r="C37" i="6"/>
  <c r="C36" i="6"/>
  <c r="G30" i="22"/>
  <c r="D36" i="6"/>
  <c r="G31" i="22"/>
  <c r="D37" i="6"/>
  <c r="G32" i="22"/>
  <c r="D38" i="6"/>
  <c r="G33" i="22"/>
  <c r="D39" i="6"/>
  <c r="G34" i="22"/>
  <c r="D40" i="6"/>
  <c r="G35" i="22"/>
  <c r="D41" i="6"/>
  <c r="C41" i="6"/>
  <c r="C49" i="6"/>
  <c r="B51" i="6"/>
  <c r="B50" i="6"/>
  <c r="B49" i="6"/>
  <c r="B48" i="6"/>
  <c r="B47" i="6"/>
  <c r="B46" i="6"/>
  <c r="B45" i="6"/>
  <c r="B44" i="6"/>
  <c r="B43" i="6"/>
  <c r="B42" i="6"/>
  <c r="B41" i="6"/>
  <c r="B40" i="6"/>
  <c r="B39" i="6"/>
  <c r="B38" i="6"/>
  <c r="B37" i="6"/>
  <c r="B36" i="6"/>
  <c r="F2" i="34" a="1"/>
  <c r="F2" i="34"/>
  <c r="G2" i="34"/>
  <c r="Q25" i="22"/>
  <c r="Q26" i="22"/>
  <c r="C13" i="24" a="1"/>
  <c r="C13" i="24"/>
  <c r="E13" i="24"/>
  <c r="C14" i="24" a="1"/>
  <c r="C14" i="24"/>
  <c r="E14" i="24"/>
  <c r="E15" i="24"/>
  <c r="C17" i="24" a="1"/>
  <c r="C17" i="24"/>
  <c r="C21" i="24"/>
  <c r="C18" i="24"/>
  <c r="C20" i="24"/>
  <c r="C12" i="39" a="1"/>
  <c r="C12" i="39"/>
  <c r="C13" i="39"/>
  <c r="C15" i="39"/>
  <c r="C16" i="39"/>
  <c r="C23" i="40" a="1"/>
  <c r="C23" i="40"/>
  <c r="E23" i="40"/>
  <c r="U52" i="21" a="1"/>
  <c r="U52" i="21"/>
  <c r="I55" i="21"/>
  <c r="U45" i="21" a="1"/>
  <c r="U45" i="21"/>
  <c r="I59" i="21"/>
  <c r="U38" i="21" a="1"/>
  <c r="U38" i="21"/>
  <c r="I63" i="21"/>
  <c r="X11" i="42" a="1"/>
  <c r="X11" i="42"/>
  <c r="C13" i="42"/>
  <c r="X10" i="21" a="1"/>
  <c r="X10" i="21"/>
  <c r="C12" i="21"/>
  <c r="U17" i="21" a="1"/>
  <c r="U17" i="21"/>
  <c r="C13" i="21"/>
  <c r="C14" i="21"/>
  <c r="E14" i="21"/>
  <c r="E13" i="21"/>
  <c r="I75" i="21"/>
  <c r="U24" i="21" a="1"/>
  <c r="U24" i="21"/>
  <c r="C15" i="21"/>
  <c r="C16" i="21"/>
  <c r="E15" i="21"/>
  <c r="E16" i="21"/>
  <c r="I71" i="21"/>
  <c r="U31" i="21" a="1"/>
  <c r="U31" i="21"/>
  <c r="C17" i="21"/>
  <c r="C18" i="21"/>
  <c r="C19" i="21"/>
  <c r="C20" i="21"/>
  <c r="C21" i="21"/>
  <c r="C22" i="21"/>
  <c r="C23" i="21"/>
  <c r="C27" i="21"/>
  <c r="C28" i="21"/>
  <c r="C31" i="21"/>
  <c r="C32" i="21"/>
  <c r="C35" i="21"/>
  <c r="C36" i="21"/>
  <c r="C39" i="21"/>
  <c r="C40" i="21"/>
  <c r="C43" i="21"/>
  <c r="C44" i="21"/>
  <c r="E44" i="21"/>
  <c r="E40" i="21"/>
  <c r="I67" i="21"/>
  <c r="E35" i="21"/>
  <c r="E27" i="21"/>
  <c r="E19" i="21"/>
  <c r="E17" i="21"/>
  <c r="E18" i="21"/>
  <c r="E23" i="21"/>
  <c r="E22" i="21"/>
  <c r="E21" i="21"/>
  <c r="E20" i="21"/>
  <c r="E28" i="21"/>
  <c r="E31" i="21"/>
  <c r="E32" i="21"/>
  <c r="E36" i="21"/>
  <c r="E39" i="21"/>
  <c r="E43" i="21"/>
  <c r="C47" i="21"/>
  <c r="C50" i="21"/>
  <c r="X12" i="43" a="1"/>
  <c r="X12" i="43"/>
  <c r="C13" i="43"/>
  <c r="C14" i="43"/>
  <c r="C15" i="43"/>
  <c r="C16" i="43"/>
  <c r="C18" i="43"/>
  <c r="C19" i="43"/>
  <c r="C20" i="43"/>
  <c r="C21" i="43"/>
  <c r="C25" i="43"/>
  <c r="C26" i="43"/>
  <c r="C28" i="43"/>
  <c r="C29" i="43"/>
  <c r="C31" i="43"/>
  <c r="C32" i="43"/>
  <c r="C34" i="43"/>
  <c r="C35" i="43"/>
  <c r="C39" i="43"/>
  <c r="C40" i="43"/>
  <c r="C42" i="43"/>
  <c r="C43" i="43"/>
  <c r="C45" i="43"/>
  <c r="C46" i="43"/>
  <c r="C48" i="43"/>
  <c r="E21" i="43"/>
  <c r="E20" i="43"/>
  <c r="E19" i="43"/>
  <c r="E18" i="43"/>
  <c r="E16" i="43"/>
  <c r="E15" i="43"/>
  <c r="E14" i="43"/>
  <c r="C49" i="43"/>
  <c r="E25" i="43"/>
  <c r="E26" i="43"/>
  <c r="E28" i="43"/>
  <c r="E29" i="43"/>
  <c r="E31" i="43"/>
  <c r="E32" i="43"/>
  <c r="E34" i="43"/>
  <c r="E35" i="43"/>
  <c r="E39" i="43"/>
  <c r="E40" i="43"/>
  <c r="E42" i="43"/>
  <c r="E43" i="43"/>
  <c r="E45" i="43"/>
  <c r="E46" i="43"/>
  <c r="E48" i="43"/>
  <c r="Y11" i="42"/>
  <c r="C14" i="42"/>
  <c r="C15" i="42"/>
  <c r="C16" i="42"/>
  <c r="C18" i="42"/>
  <c r="C19" i="42"/>
  <c r="C20" i="42"/>
  <c r="C21" i="42"/>
  <c r="C23" i="42"/>
  <c r="C24" i="42"/>
  <c r="C25" i="42"/>
  <c r="C26" i="42"/>
  <c r="C29" i="42"/>
  <c r="C30" i="42"/>
  <c r="C32" i="42"/>
  <c r="C33" i="42"/>
  <c r="C35" i="42"/>
  <c r="C36" i="42"/>
  <c r="C38" i="42"/>
  <c r="C39" i="42"/>
  <c r="C41" i="42"/>
  <c r="C42" i="42"/>
  <c r="C44" i="42"/>
  <c r="C45" i="42"/>
  <c r="C49" i="42"/>
  <c r="C50" i="42"/>
  <c r="C52" i="42"/>
  <c r="C53" i="42"/>
  <c r="C55" i="42"/>
  <c r="C56" i="42"/>
  <c r="C58" i="42"/>
  <c r="C59" i="42"/>
  <c r="C61" i="42"/>
  <c r="C62" i="42"/>
  <c r="C64" i="42"/>
  <c r="E26" i="42"/>
  <c r="E25" i="42"/>
  <c r="E24" i="42"/>
  <c r="E23" i="42"/>
  <c r="E21" i="42"/>
  <c r="E20" i="42"/>
  <c r="E19" i="42"/>
  <c r="E18" i="42"/>
  <c r="E14" i="42"/>
  <c r="E15" i="42"/>
  <c r="E16" i="42"/>
  <c r="C65" i="42"/>
  <c r="E29" i="42"/>
  <c r="E30" i="42"/>
  <c r="E32" i="42"/>
  <c r="E33" i="42"/>
  <c r="E35" i="42"/>
  <c r="E36" i="42"/>
  <c r="E38" i="42"/>
  <c r="E39" i="42"/>
  <c r="E41" i="42"/>
  <c r="E42" i="42"/>
  <c r="E44" i="42"/>
  <c r="E45" i="42"/>
  <c r="E49" i="42"/>
  <c r="E50" i="42"/>
  <c r="E52" i="42"/>
  <c r="E53" i="42"/>
  <c r="E55" i="42"/>
  <c r="E56" i="42"/>
  <c r="E58" i="42"/>
  <c r="E59" i="42"/>
  <c r="E61" i="42"/>
  <c r="E62" i="42"/>
  <c r="E64" i="42"/>
  <c r="X10" i="41" a="1"/>
  <c r="X10" i="41"/>
  <c r="C12" i="41"/>
  <c r="C13" i="41"/>
  <c r="C14" i="41"/>
  <c r="C15" i="41"/>
  <c r="C17" i="41"/>
  <c r="C18" i="41"/>
  <c r="C20" i="41"/>
  <c r="C21" i="41"/>
  <c r="C23" i="41"/>
  <c r="C24" i="41"/>
  <c r="C26" i="41"/>
  <c r="E26" i="41"/>
  <c r="E21" i="41"/>
  <c r="E20" i="41"/>
  <c r="E18" i="41"/>
  <c r="E14" i="41"/>
  <c r="E15" i="41"/>
  <c r="E13" i="41"/>
  <c r="C27" i="41"/>
  <c r="R13" i="22" a="1"/>
  <c r="R13" i="22"/>
  <c r="D12" i="41"/>
  <c r="D14" i="41" a="1"/>
  <c r="D14" i="41"/>
  <c r="D15" i="41" a="1"/>
  <c r="D15" i="41"/>
  <c r="D17" i="41"/>
  <c r="D18" i="41" a="1"/>
  <c r="D18" i="41"/>
  <c r="D20" i="41" a="1"/>
  <c r="D20" i="41"/>
  <c r="D21" i="41" a="1"/>
  <c r="D21" i="41"/>
  <c r="D23" i="41"/>
  <c r="D26" i="41" a="1"/>
  <c r="D26" i="41"/>
  <c r="D27" i="41"/>
  <c r="K29" i="41"/>
  <c r="R17" i="22"/>
  <c r="D13" i="41" a="1"/>
  <c r="D13" i="41"/>
  <c r="D12" i="40"/>
  <c r="D24" i="40" a="1"/>
  <c r="D24" i="40"/>
  <c r="D25" i="40" a="1"/>
  <c r="D25" i="40"/>
  <c r="D26" i="40" a="1"/>
  <c r="D26" i="40"/>
  <c r="D27" i="40" a="1"/>
  <c r="D27" i="40"/>
  <c r="D28" i="40" a="1"/>
  <c r="D28" i="40"/>
  <c r="D29" i="40" a="1"/>
  <c r="D29" i="40"/>
  <c r="D30" i="40" a="1"/>
  <c r="D30" i="40"/>
  <c r="D31" i="40" a="1"/>
  <c r="D31" i="40"/>
  <c r="D32" i="40" a="1"/>
  <c r="D32" i="40"/>
  <c r="D33" i="40" a="1"/>
  <c r="D33" i="40"/>
  <c r="D34" i="40" a="1"/>
  <c r="D34" i="40"/>
  <c r="D35" i="40" a="1"/>
  <c r="D35" i="40"/>
  <c r="D36" i="40" a="1"/>
  <c r="D36" i="40"/>
  <c r="D37" i="40" a="1"/>
  <c r="D37" i="40"/>
  <c r="D38" i="40" a="1"/>
  <c r="D38" i="40"/>
  <c r="D39" i="40" a="1"/>
  <c r="D39" i="40"/>
  <c r="D40" i="40" a="1"/>
  <c r="D40" i="40"/>
  <c r="D41" i="40" a="1"/>
  <c r="D41" i="40"/>
  <c r="D42" i="40" a="1"/>
  <c r="D42" i="40"/>
  <c r="D43" i="40" a="1"/>
  <c r="D43" i="40"/>
  <c r="D44" i="40" a="1"/>
  <c r="D44" i="40"/>
  <c r="D45" i="40" a="1"/>
  <c r="D45" i="40"/>
  <c r="D46" i="40" a="1"/>
  <c r="D46" i="40"/>
  <c r="D22" i="40" a="1"/>
  <c r="D22" i="40"/>
  <c r="D21" i="40" a="1"/>
  <c r="D21" i="40"/>
  <c r="D20" i="40" a="1"/>
  <c r="D20" i="40"/>
  <c r="D19" i="40" a="1"/>
  <c r="D19" i="40"/>
  <c r="D18" i="40" a="1"/>
  <c r="D18" i="40"/>
  <c r="D17" i="40" a="1"/>
  <c r="D17" i="40"/>
  <c r="D16" i="40" a="1"/>
  <c r="D16" i="40"/>
  <c r="D15" i="40" a="1"/>
  <c r="D15" i="40"/>
  <c r="D14" i="40" a="1"/>
  <c r="D14" i="40"/>
  <c r="D13" i="40" a="1"/>
  <c r="D13" i="40"/>
  <c r="W50" i="6"/>
  <c r="D12" i="24"/>
  <c r="D13" i="24" a="1"/>
  <c r="D13" i="24"/>
  <c r="D14" i="24" a="1"/>
  <c r="D14" i="24"/>
  <c r="D15" i="24" a="1"/>
  <c r="D15" i="24"/>
  <c r="D17" i="24"/>
  <c r="D18" i="24"/>
  <c r="D20" i="24"/>
  <c r="D21" i="24"/>
  <c r="K23" i="24"/>
  <c r="R16" i="22"/>
  <c r="D23" i="40" a="1"/>
  <c r="D23" i="40"/>
  <c r="D12" i="39"/>
  <c r="D13" i="39"/>
  <c r="D15" i="39"/>
  <c r="D16" i="39"/>
  <c r="K18" i="39"/>
  <c r="R19" i="22"/>
  <c r="D47" i="40" a="1"/>
  <c r="D47" i="40"/>
  <c r="J50" i="40"/>
  <c r="R20" i="22"/>
  <c r="D12" i="21"/>
  <c r="D14" i="21" a="1"/>
  <c r="D14" i="21"/>
  <c r="D13" i="21" a="1"/>
  <c r="D13" i="21"/>
  <c r="D15" i="21" a="1"/>
  <c r="D15" i="21"/>
  <c r="D16" i="21" a="1"/>
  <c r="D16" i="21"/>
  <c r="D44" i="21" a="1"/>
  <c r="D44" i="21"/>
  <c r="D47" i="21"/>
  <c r="D50" i="21"/>
  <c r="J52" i="21"/>
  <c r="R15" i="22"/>
  <c r="D40" i="21" a="1"/>
  <c r="D40" i="21"/>
  <c r="D35" i="21" a="1"/>
  <c r="D35" i="21"/>
  <c r="D27" i="21" a="1"/>
  <c r="D27" i="21"/>
  <c r="D19" i="21" a="1"/>
  <c r="D19" i="21"/>
  <c r="D17" i="21" a="1"/>
  <c r="D17" i="21"/>
  <c r="D18" i="21" a="1"/>
  <c r="D18" i="21"/>
  <c r="D20" i="21" a="1"/>
  <c r="D20" i="21"/>
  <c r="D21" i="21" a="1"/>
  <c r="D21" i="21"/>
  <c r="D22" i="21" a="1"/>
  <c r="D22" i="21"/>
  <c r="D23" i="21" a="1"/>
  <c r="D23" i="21"/>
  <c r="D28" i="21" a="1"/>
  <c r="D28" i="21"/>
  <c r="D31" i="21" a="1"/>
  <c r="D31" i="21"/>
  <c r="D32" i="21" a="1"/>
  <c r="D32" i="21"/>
  <c r="D36" i="21" a="1"/>
  <c r="D36" i="21"/>
  <c r="D39" i="21" a="1"/>
  <c r="D39" i="21"/>
  <c r="D43" i="21" a="1"/>
  <c r="D43" i="21"/>
  <c r="D13" i="43"/>
  <c r="D46" i="43" a="1"/>
  <c r="D46" i="43"/>
  <c r="D45" i="43" a="1"/>
  <c r="D45" i="43"/>
  <c r="D43" i="43" a="1"/>
  <c r="D43" i="43"/>
  <c r="D42" i="43" a="1"/>
  <c r="D42" i="43"/>
  <c r="D40" i="43" a="1"/>
  <c r="D40" i="43"/>
  <c r="D39" i="43" a="1"/>
  <c r="D39" i="43"/>
  <c r="D35" i="43" a="1"/>
  <c r="D35" i="43"/>
  <c r="D34" i="43" a="1"/>
  <c r="D34" i="43"/>
  <c r="D32" i="43" a="1"/>
  <c r="D32" i="43"/>
  <c r="D31" i="43" a="1"/>
  <c r="D31" i="43"/>
  <c r="D29" i="43" a="1"/>
  <c r="D29" i="43"/>
  <c r="D28" i="43" a="1"/>
  <c r="D28" i="43"/>
  <c r="D26" i="43" a="1"/>
  <c r="D26" i="43"/>
  <c r="D25" i="43" a="1"/>
  <c r="D25" i="43"/>
  <c r="D20" i="43" a="1"/>
  <c r="D20" i="43"/>
  <c r="D19" i="43" a="1"/>
  <c r="D19" i="43"/>
  <c r="D18" i="43" a="1"/>
  <c r="D18" i="43"/>
  <c r="D16" i="43" a="1"/>
  <c r="D16" i="43"/>
  <c r="D15" i="43" a="1"/>
  <c r="D15" i="43"/>
  <c r="D14" i="43" a="1"/>
  <c r="D14" i="43"/>
  <c r="D48" i="43" a="1"/>
  <c r="D48" i="43"/>
  <c r="D49" i="43"/>
  <c r="K51" i="43"/>
  <c r="D21" i="43" a="1"/>
  <c r="D21" i="43"/>
  <c r="D13" i="42"/>
  <c r="D62" i="42" a="1"/>
  <c r="D62" i="42"/>
  <c r="D61" i="42" a="1"/>
  <c r="D61" i="42"/>
  <c r="D59" i="42" a="1"/>
  <c r="D59" i="42"/>
  <c r="D58" i="42" a="1"/>
  <c r="D58" i="42"/>
  <c r="D56" i="42" a="1"/>
  <c r="D56" i="42"/>
  <c r="D55" i="42" a="1"/>
  <c r="D55" i="42"/>
  <c r="D53" i="42" a="1"/>
  <c r="D53" i="42"/>
  <c r="D52" i="42" a="1"/>
  <c r="D52" i="42"/>
  <c r="D50" i="42" a="1"/>
  <c r="D50" i="42"/>
  <c r="D49" i="42" a="1"/>
  <c r="D49" i="42"/>
  <c r="D45" i="42" a="1"/>
  <c r="D45" i="42"/>
  <c r="D44" i="42" a="1"/>
  <c r="D44" i="42"/>
  <c r="D42" i="42" a="1"/>
  <c r="D42" i="42"/>
  <c r="D41" i="42" a="1"/>
  <c r="D41" i="42"/>
  <c r="D39" i="42" a="1"/>
  <c r="D39" i="42"/>
  <c r="D38" i="42" a="1"/>
  <c r="D38" i="42"/>
  <c r="D36" i="42" a="1"/>
  <c r="D36" i="42"/>
  <c r="D35" i="42" a="1"/>
  <c r="D35" i="42"/>
  <c r="D33" i="42" a="1"/>
  <c r="D33" i="42"/>
  <c r="D32" i="42" a="1"/>
  <c r="D32" i="42"/>
  <c r="D30" i="42" a="1"/>
  <c r="D30" i="42"/>
  <c r="D29" i="42" a="1"/>
  <c r="D29" i="42"/>
  <c r="D26" i="42" a="1"/>
  <c r="D26" i="42"/>
  <c r="D64" i="42" a="1"/>
  <c r="D64" i="42"/>
  <c r="D65" i="42"/>
  <c r="K67" i="42"/>
  <c r="R18" i="22"/>
  <c r="D24" i="42" a="1"/>
  <c r="D24" i="42"/>
  <c r="D25" i="42" a="1"/>
  <c r="D25" i="42"/>
  <c r="D23" i="42" a="1"/>
  <c r="D23" i="42"/>
  <c r="D20" i="42" a="1"/>
  <c r="D20" i="42"/>
  <c r="D21" i="42" a="1"/>
  <c r="D21" i="42"/>
  <c r="D19" i="42" a="1"/>
  <c r="D19" i="42"/>
  <c r="D18" i="42" a="1"/>
  <c r="D18" i="42"/>
  <c r="D14" i="42" a="1"/>
  <c r="D14" i="42"/>
  <c r="D16" i="42" a="1"/>
  <c r="D16" i="42"/>
  <c r="D15" i="42" a="1"/>
  <c r="D15" i="42"/>
  <c r="D24" i="41" a="1"/>
  <c r="D24" i="41"/>
</calcChain>
</file>

<file path=xl/sharedStrings.xml><?xml version="1.0" encoding="utf-8"?>
<sst xmlns="http://schemas.openxmlformats.org/spreadsheetml/2006/main" count="3409" uniqueCount="449">
  <si>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</si>
  <si>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</si>
  <si>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</si>
  <si>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</si>
  <si>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</si>
  <si>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</si>
  <si>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</si>
  <si>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</si>
  <si>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</si>
  <si>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</si>
  <si>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</si>
  <si>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</si>
  <si>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</si>
  <si>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</si>
  <si>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</si>
  <si>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</si>
  <si>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</si>
  <si>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</si>
  <si>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</si>
  <si>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</si>
  <si>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</si>
  <si>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</si>
  <si>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</si>
  <si>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</si>
  <si>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</si>
  <si>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</si>
  <si>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</si>
  <si>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</si>
  <si>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</si>
  <si>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</si>
  <si>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</si>
  <si>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</si>
  <si>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</si>
  <si>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</si>
  <si>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</si>
  <si>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</si>
  <si>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</si>
  <si>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</si>
  <si>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</si>
  <si>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</si>
  <si>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</si>
  <si>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</si>
  <si>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</si>
  <si>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</si>
  <si>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</si>
  <si>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</si>
  <si>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</si>
  <si>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</si>
  <si>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</si>
  <si>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</si>
  <si>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</si>
  <si>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</si>
  <si>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</si>
  <si>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</si>
  <si>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</si>
  <si>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</si>
  <si>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</si>
  <si>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</si>
  <si>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</si>
  <si>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</si>
  <si>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</si>
  <si>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</si>
  <si>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</si>
  <si>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</si>
  <si>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</si>
  <si>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</si>
  <si>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</si>
  <si>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</si>
  <si>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</si>
  <si>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</si>
  <si>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</si>
  <si>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</si>
  <si>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</si>
  <si>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</si>
  <si>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</si>
  <si>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</si>
  <si>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</si>
  <si>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</si>
  <si>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</si>
  <si>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</si>
  <si>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</si>
  <si>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</si>
  <si>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</si>
  <si>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</si>
  <si>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</si>
  <si>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</si>
  <si>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</si>
  <si>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</si>
  <si>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</si>
  <si>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</si>
  <si>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</si>
  <si>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</si>
  <si>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</si>
  <si>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</si>
  <si>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</si>
  <si>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</si>
  <si>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</si>
  <si>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</si>
  <si>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</si>
  <si>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</si>
  <si>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</si>
  <si>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</si>
  <si>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</si>
  <si>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</si>
  <si>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</si>
  <si>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</si>
  <si>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</si>
  <si>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</si>
  <si>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</si>
  <si>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</si>
  <si>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</si>
  <si>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</si>
  <si>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</si>
  <si>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</si>
  <si>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</si>
  <si>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</si>
  <si>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</si>
  <si>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</si>
  <si>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</si>
  <si>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</si>
  <si>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</si>
  <si>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</si>
  <si>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</si>
  <si>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</si>
  <si>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</si>
  <si>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</si>
  <si>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</si>
  <si>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</si>
  <si>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</si>
  <si>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</si>
  <si>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</si>
  <si>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</si>
  <si>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</si>
  <si>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</si>
  <si>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</si>
  <si>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</si>
  <si>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</si>
  <si>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</si>
  <si>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</si>
  <si>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</si>
  <si>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</si>
  <si>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</si>
  <si>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</si>
  <si>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</si>
  <si>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</si>
  <si>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</si>
  <si>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</si>
  <si>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</si>
  <si>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</si>
  <si>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</si>
  <si>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</si>
  <si>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</si>
  <si>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</si>
  <si>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</si>
  <si>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</si>
  <si>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</si>
  <si>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</si>
  <si>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</si>
  <si>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</si>
  <si>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</si>
  <si>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</si>
  <si>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</si>
  <si>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</si>
  <si>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</si>
  <si>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</si>
  <si>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</si>
  <si>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</si>
  <si>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</si>
  <si>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</si>
  <si>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</si>
  <si>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</si>
  <si>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</si>
  <si>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</si>
  <si>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</si>
  <si>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</si>
  <si>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</si>
  <si>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</si>
  <si>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</si>
  <si>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</si>
  <si>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</si>
  <si>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</si>
  <si>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</si>
  <si>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</si>
  <si>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</si>
  <si>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</si>
  <si>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</si>
  <si>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</si>
  <si>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</si>
  <si>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</si>
  <si>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</si>
  <si>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</si>
  <si>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</si>
  <si>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</si>
  <si>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</si>
  <si>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</si>
  <si>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</si>
  <si>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</si>
  <si>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</si>
  <si>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</si>
  <si>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</si>
  <si>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</si>
  <si>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</si>
  <si>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</si>
  <si>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</si>
  <si>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</si>
  <si>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</si>
  <si>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</si>
  <si>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</si>
  <si>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</si>
  <si>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</si>
  <si>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</si>
  <si>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</si>
  <si>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</si>
  <si>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</si>
  <si>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</si>
  <si>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</si>
  <si>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</si>
  <si>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</si>
  <si>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</si>
  <si>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</si>
  <si>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</si>
  <si>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</si>
  <si>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TieBr.</t>
  </si>
  <si>
    <t>DirC + TieBreak</t>
  </si>
  <si>
    <t>Tie Break Vorrunde</t>
  </si>
  <si>
    <t>Tie break preliminary round</t>
  </si>
  <si>
    <t>:</t>
  </si>
  <si>
    <t>Zusätzl. Pause (min)</t>
  </si>
  <si>
    <t>Addit. Pause (min)</t>
  </si>
  <si>
    <t>Turnierende:</t>
  </si>
  <si>
    <t>Elfmeter</t>
  </si>
  <si>
    <t>Penalty</t>
  </si>
  <si>
    <t>Start:</t>
  </si>
  <si>
    <t>Beginn:</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</si>
  <si>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</si>
  <si>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</si>
  <si>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</si>
  <si>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</si>
  <si>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</si>
  <si>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</si>
  <si>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</si>
  <si>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</si>
  <si>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</si>
  <si>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</si>
  <si>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</si>
  <si>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</si>
  <si>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</si>
  <si>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</si>
  <si>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</si>
  <si>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</si>
  <si>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</si>
  <si>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</si>
  <si>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</si>
  <si>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</si>
  <si>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</si>
  <si>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</si>
  <si>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</si>
  <si>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</si>
  <si>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</si>
  <si>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</si>
  <si>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</si>
  <si>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</si>
  <si>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</si>
  <si>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</si>
  <si>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</si>
  <si>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</si>
  <si>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</si>
  <si>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</si>
  <si>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</si>
  <si>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Sporthalle Wiesengrund, Wendiger Str. 51, 65432 Riedwald</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</si>
  <si>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</si>
  <si>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</si>
  <si>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</si>
  <si>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</si>
  <si>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</si>
  <si>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</si>
  <si>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</si>
  <si>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</si>
  <si>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</si>
  <si>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</si>
  <si>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</si>
  <si>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</si>
  <si>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</si>
  <si>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</si>
  <si>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</si>
  <si>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</si>
  <si>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</si>
  <si>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</si>
  <si>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</si>
  <si>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</si>
  <si>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</si>
  <si>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</si>
  <si>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</si>
  <si>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</si>
  <si>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</si>
  <si>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</si>
  <si>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</si>
  <si>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</si>
  <si>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</si>
  <si>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</si>
  <si>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</si>
  <si>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</si>
  <si>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</si>
  <si>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</si>
  <si>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</si>
  <si>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</si>
  <si>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</si>
  <si>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</si>
  <si>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</si>
  <si>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</si>
  <si>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</si>
  <si>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</si>
  <si>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</si>
  <si>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</si>
  <si>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</si>
  <si>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</si>
  <si>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</si>
  <si>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</si>
  <si>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</si>
  <si>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</si>
  <si>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Entering a bonus point
as a tie breaker on the
'PrelimRound' sheet</t>
  </si>
  <si>
    <t>Eingabe eines Bonus-Punktes
als Tie Breaker auf dem
Tabellenblatt 'Vorrunde'</t>
  </si>
  <si>
    <t>ZEITKONFLIKT
Zu viele Spielplätze!</t>
  </si>
  <si>
    <t>TIME CONFLICT
Too many pitches!</t>
  </si>
  <si>
    <t xml:space="preserve"> pitches at the same time.</t>
  </si>
  <si>
    <t>D1</t>
  </si>
  <si>
    <t>D2</t>
  </si>
  <si>
    <t>D3</t>
  </si>
  <si>
    <t>D4</t>
  </si>
  <si>
    <t>D5</t>
  </si>
  <si>
    <t>D6</t>
  </si>
  <si>
    <t>TSG Saalberg eV</t>
  </si>
  <si>
    <t>Paris St. Germain</t>
  </si>
  <si>
    <t>HSV</t>
  </si>
  <si>
    <t>RB Leipzig</t>
  </si>
  <si>
    <t>SV Oberredenburg</t>
  </si>
  <si>
    <t>&lt;-- max(A;B;C;D) --&gt;</t>
  </si>
  <si>
    <t>Gruppenerste</t>
  </si>
  <si>
    <t>Gruppenzweite</t>
  </si>
  <si>
    <t>Gruppenvierte</t>
  </si>
  <si>
    <t>Gruppenfünfte</t>
  </si>
  <si>
    <t>Gruppensechste</t>
  </si>
  <si>
    <t>Group winners</t>
  </si>
  <si>
    <t>Runners-up</t>
  </si>
  <si>
    <t>Fifth place</t>
  </si>
  <si>
    <t>Sixth place</t>
  </si>
  <si>
    <t>Fourth-place</t>
  </si>
  <si>
    <t>Third-place</t>
  </si>
  <si>
    <t>1D</t>
  </si>
  <si>
    <t>2D</t>
  </si>
  <si>
    <t>3D</t>
  </si>
  <si>
    <t>4D</t>
  </si>
  <si>
    <t>5D</t>
  </si>
  <si>
    <t>6D</t>
  </si>
  <si>
    <t>3rd place match</t>
  </si>
  <si>
    <t>Spiel um den dritten Platz</t>
  </si>
  <si>
    <t xml:space="preserve"> bis </t>
  </si>
  <si>
    <t xml:space="preserve"> to </t>
  </si>
  <si>
    <t>Halbfinalspiele</t>
  </si>
  <si>
    <t>Semi-final matches</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</si>
  <si>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</si>
  <si>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</si>
  <si>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</si>
  <si>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</si>
  <si>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</si>
  <si>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</si>
  <si>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</si>
  <si>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</si>
  <si>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</si>
  <si>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 xml:space="preserve">Finalspiele um die Plätze </t>
  </si>
  <si>
    <t xml:space="preserve">Final matches for places </t>
  </si>
  <si>
    <t>(Abbreviation for 'quarterfinals')</t>
  </si>
  <si>
    <t>(Abkürzung für 'Viertelfinale')</t>
  </si>
  <si>
    <t xml:space="preserve">QF </t>
  </si>
  <si>
    <t xml:space="preserve">VF </t>
  </si>
  <si>
    <t>(Abkürzung für 'Halbfinale')</t>
  </si>
  <si>
    <t>(Abbreviation for 'semi-finals')</t>
  </si>
  <si>
    <t xml:space="preserve">HF </t>
  </si>
  <si>
    <t xml:space="preserve">SF </t>
  </si>
  <si>
    <t>Anzahl der Spielfelder:</t>
  </si>
  <si>
    <t>Number of fields:</t>
  </si>
  <si>
    <t>Feld</t>
  </si>
  <si>
    <t>2a</t>
  </si>
  <si>
    <t>End of tournament (final round 3):</t>
  </si>
  <si>
    <t>End of tournament (final round 4):</t>
  </si>
  <si>
    <t>Turnierende (Endrunde 3):</t>
  </si>
  <si>
    <t>Turnierende (Endrunde 4):</t>
  </si>
  <si>
    <t>GDz</t>
  </si>
  <si>
    <t>Halbfinale Plätze 5 - 8</t>
  </si>
  <si>
    <t>Semifinal places 5 - 8</t>
  </si>
  <si>
    <t>Finals places 5 - 8</t>
  </si>
  <si>
    <t>Endspiele Plätze 5 - 8</t>
  </si>
  <si>
    <t>5. Platz</t>
  </si>
  <si>
    <t>5th place</t>
  </si>
  <si>
    <t>7th place</t>
  </si>
  <si>
    <t>7. Platz</t>
  </si>
  <si>
    <t>Winner</t>
  </si>
  <si>
    <t>penalty</t>
  </si>
  <si>
    <t>Loser</t>
  </si>
  <si>
    <t>End of tournament (final round 2a):</t>
  </si>
  <si>
    <t>End of tournament (final round 2b):</t>
  </si>
  <si>
    <t>Turnierende (Endrunde 2a):</t>
  </si>
  <si>
    <t>Turnierende (Endrunde 2b):</t>
  </si>
  <si>
    <t>Viertelfinale Gruppenerste und -zweite</t>
  </si>
  <si>
    <t>Viertelfinale Gruppendritte und -vierte</t>
  </si>
  <si>
    <t>Viertelfinale Gruppenfünfte und -sechste</t>
  </si>
  <si>
    <t>Halbfinale Plätze 1 - 4</t>
  </si>
  <si>
    <t>Halbfinale Plätze 9 - 12</t>
  </si>
  <si>
    <t>Halbfinale Plätze 13 - 16</t>
  </si>
  <si>
    <t>Halbfinale Plätze 17 - 20</t>
  </si>
  <si>
    <t>Halbfinale Plätze 21 - 24</t>
  </si>
  <si>
    <t>Endspiele Plätze 1 - 4</t>
  </si>
  <si>
    <t>Endspiele Plätze 9 - 12</t>
  </si>
  <si>
    <t>Endspiele Plätze 13 - 16</t>
  </si>
  <si>
    <t>Endspiele Plätze 17 - 20</t>
  </si>
  <si>
    <t>Endspiele Plätze 21 - 24</t>
  </si>
  <si>
    <t>Semifinal places 1 - 4</t>
  </si>
  <si>
    <t>Semifinal places 9 - 12</t>
  </si>
  <si>
    <t>Semifinal places 13 - 16</t>
  </si>
  <si>
    <t>Semifinal places 17 - 20</t>
  </si>
  <si>
    <t>Semifinal places 21 - 24</t>
  </si>
  <si>
    <t>Finals places 1 - 4</t>
  </si>
  <si>
    <t>Finals places 9 - 12</t>
  </si>
  <si>
    <t>Finals places 13 - 16</t>
  </si>
  <si>
    <t>Finals places 17 - 20</t>
  </si>
  <si>
    <t>Finals places 21 - 24</t>
  </si>
  <si>
    <t>Quarterfinals group winners and runners-up</t>
  </si>
  <si>
    <t>Quarterfinals Group third and fourth</t>
  </si>
  <si>
    <t>Quarterfinals Group Fifth and Sixth</t>
  </si>
  <si>
    <t>9th place</t>
  </si>
  <si>
    <t>11th place</t>
  </si>
  <si>
    <t>13th place</t>
  </si>
  <si>
    <t>15th place</t>
  </si>
  <si>
    <t>17th place</t>
  </si>
  <si>
    <t>19th place</t>
  </si>
  <si>
    <t>21th place</t>
  </si>
  <si>
    <t>23th place</t>
  </si>
  <si>
    <t>9. Platz</t>
  </si>
  <si>
    <t>11. Platz</t>
  </si>
  <si>
    <t>13. Platz</t>
  </si>
  <si>
    <t>15. Platz</t>
  </si>
  <si>
    <t>17. Platz</t>
  </si>
  <si>
    <t>19. Platz</t>
  </si>
  <si>
    <t>21. Platz</t>
  </si>
  <si>
    <t>23. Platz</t>
  </si>
  <si>
    <t>first nr.</t>
  </si>
  <si>
    <t>group fifth and sixth</t>
  </si>
  <si>
    <t>Version  1.8
12.04.2025</t>
  </si>
  <si>
    <t>Internationales U10-Turnier am 12.04.2025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</si>
</sst>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2"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sz val="10"/>
      <color rgb="FF0070C0"/>
      <name val="Arial"/>
      <family val="2"/>
    </font>
    <font>
      <sz val="10"/>
      <color rgb="FF0070C0"/>
      <name val="Calibri"/>
      <family val="2"/>
      <scheme val="minor"/>
    </font>
    <font>
      <sz val="12"/>
      <color theme="2" tint="-0.749992370372631"/>
      <name val="Calibri"/>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6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n">
        <color theme="2" tint="-0.24994659260841701"/>
      </left>
      <right style="thin">
        <color theme="2" tint="-0.24994659260841701"/>
      </right>
      <top/>
      <bottom style="thin">
        <color theme="2" tint="-0.24994659260841701"/>
      </bottom>
      <diagonal/>
    </border>
    <border>
      <left style="thick">
        <color theme="7"/>
      </left>
      <right style="thick">
        <color theme="7"/>
      </right>
      <top style="thick">
        <color theme="7"/>
      </top>
      <bottom style="thick">
        <color theme="7"/>
      </bottom>
      <diagonal/>
    </border>
    <border>
      <left style="thin">
        <color theme="2" tint="-0.24994659260841701"/>
      </left>
      <right/>
      <top/>
      <bottom/>
      <diagonal/>
    </border>
    <border>
      <left style="thick">
        <color theme="2" tint="-0.499984740745262"/>
      </left>
      <right style="medium">
        <color theme="2" tint="-0.499984740745262"/>
      </right>
      <top style="medium">
        <color theme="2" tint="-0.499984740745262"/>
      </top>
      <bottom style="medium">
        <color theme="2" tint="-0.499984740745262"/>
      </bottom>
      <diagonal/>
    </border>
    <border>
      <left style="thick">
        <color theme="2" tint="-0.499984740745262"/>
      </left>
      <right style="thin">
        <color theme="2" tint="-0.24994659260841701"/>
      </right>
      <top style="thick">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ck">
        <color theme="2" tint="-0.499984740745262"/>
      </bottom>
      <diagonal/>
    </border>
    <border>
      <left style="thin">
        <color theme="2" tint="-0.24994659260841701"/>
      </left>
      <right/>
      <top style="thick">
        <color theme="2" tint="-0.499984740745262"/>
      </top>
      <bottom style="thick">
        <color theme="2" tint="-0.499984740745262"/>
      </bottom>
      <diagonal/>
    </border>
    <border>
      <left/>
      <right/>
      <top style="thick">
        <color theme="2" tint="-0.499984740745262"/>
      </top>
      <bottom style="thick">
        <color theme="2" tint="-0.499984740745262"/>
      </bottom>
      <diagonal/>
    </border>
    <border>
      <left/>
      <right style="thin">
        <color theme="2" tint="-0.24994659260841701"/>
      </right>
      <top style="thick">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medium">
        <color theme="7"/>
      </left>
      <right style="medium">
        <color theme="7"/>
      </right>
      <top style="medium">
        <color theme="7"/>
      </top>
      <bottom style="medium">
        <color theme="7"/>
      </bottom>
      <diagonal/>
    </border>
    <border>
      <left style="thick">
        <color theme="9" tint="0.39988402966399123"/>
      </left>
      <right/>
      <top/>
      <bottom/>
      <diagonal/>
    </border>
    <border>
      <left style="thick">
        <color theme="9" tint="0.39991454817346722"/>
      </left>
      <right/>
      <top/>
      <bottom/>
      <diagonal/>
    </border>
    <border>
      <left/>
      <right style="thick">
        <color theme="2" tint="-0.499984740745262"/>
      </right>
      <top style="thick">
        <color theme="2" tint="-0.499984740745262"/>
      </top>
      <bottom style="thin">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ck">
        <color theme="2" tint="-0.499984740745262"/>
      </left>
      <right/>
      <top style="medium">
        <color theme="2" tint="-0.499984740745262"/>
      </top>
      <bottom/>
      <diagonal/>
    </border>
    <border>
      <left/>
      <right style="thick">
        <color theme="7"/>
      </right>
      <top/>
      <bottom/>
      <diagonal/>
    </border>
    <border>
      <left/>
      <right style="thick">
        <color theme="9" tint="0.39991454817346722"/>
      </right>
      <top style="thick">
        <color theme="9" tint="0.39991454817346722"/>
      </top>
      <bottom/>
      <diagonal/>
    </border>
    <border>
      <left/>
      <right style="thick">
        <color theme="9" tint="0.39991454817346722"/>
      </right>
      <top/>
      <bottom style="thick">
        <color theme="9" tint="0.39991454817346722"/>
      </bottom>
      <diagonal/>
    </border>
    <border>
      <left/>
      <right style="thin">
        <color theme="2" tint="-0.24994659260841701"/>
      </right>
      <top/>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n">
        <color theme="2" tint="-0.24994659260841701"/>
      </left>
      <right style="thick">
        <color theme="2" tint="-0.499984740745262"/>
      </right>
      <top style="thick">
        <color theme="2" tint="-0.499984740745262"/>
      </top>
      <bottom style="thick">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s>
  <cellStyleXfs count="4">
    <xf numFmtId="0" fontId="0" fillId="0" borderId="0"/>
    <xf numFmtId="0" fontId="4" fillId="2" borderId="0"/>
    <xf numFmtId="0" fontId="9" fillId="6" borderId="3" applyNumberFormat="0" applyAlignment="0" applyProtection="0"/>
    <xf numFmtId="0" fontId="29" fillId="0" borderId="0" applyNumberFormat="0" applyFill="0" applyBorder="0" applyAlignment="0" applyProtection="0"/>
  </cellStyleXfs>
  <cellXfs count="942">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5" xfId="0" applyNumberFormat="1" applyFont="1" applyFill="1" applyBorder="1" applyAlignment="1" applyProtection="1">
      <alignment horizontal="right" vertical="center" indent="1"/>
      <protection hidden="1"/>
    </xf>
    <xf numFmtId="0" fontId="7" fillId="0" borderId="38" xfId="0" applyNumberFormat="1" applyFont="1" applyFill="1" applyBorder="1" applyAlignment="1" applyProtection="1">
      <alignment horizontal="right" vertical="center" indent="1"/>
      <protection hidden="1"/>
    </xf>
    <xf numFmtId="0" fontId="7" fillId="0" borderId="40" xfId="0" applyNumberFormat="1" applyFont="1" applyFill="1" applyBorder="1" applyAlignment="1" applyProtection="1">
      <alignment horizontal="right" vertical="center" indent="1"/>
      <protection hidden="1"/>
    </xf>
    <xf numFmtId="0" fontId="18" fillId="0" borderId="0" xfId="0" applyFont="1"/>
    <xf numFmtId="0" fontId="21" fillId="0" borderId="54" xfId="0" applyFont="1" applyBorder="1" applyAlignment="1">
      <alignment horizontal="center" vertical="center"/>
    </xf>
    <xf numFmtId="0" fontId="21" fillId="0" borderId="68" xfId="0" applyFont="1" applyBorder="1" applyAlignment="1">
      <alignment horizontal="left" vertical="center"/>
    </xf>
    <xf numFmtId="0" fontId="21" fillId="0" borderId="49"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1" xfId="0" applyNumberFormat="1" applyFont="1" applyFill="1" applyBorder="1" applyAlignment="1" applyProtection="1">
      <alignment vertical="center"/>
      <protection hidden="1"/>
    </xf>
    <xf numFmtId="0" fontId="7" fillId="0" borderId="72" xfId="0"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75" xfId="0" applyNumberFormat="1" applyFont="1" applyFill="1" applyBorder="1" applyAlignment="1" applyProtection="1">
      <alignment vertical="center"/>
      <protection hidden="1"/>
    </xf>
    <xf numFmtId="0" fontId="7" fillId="0" borderId="76" xfId="0"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37" xfId="0" applyNumberFormat="1" applyFont="1" applyFill="1" applyBorder="1" applyAlignment="1" applyProtection="1">
      <alignment horizontal="left" vertical="center"/>
      <protection hidden="1"/>
    </xf>
    <xf numFmtId="0" fontId="7" fillId="0" borderId="39" xfId="0" applyNumberFormat="1" applyFont="1" applyFill="1" applyBorder="1" applyAlignment="1" applyProtection="1">
      <alignment horizontal="left" vertical="center"/>
      <protection hidden="1"/>
    </xf>
    <xf numFmtId="0" fontId="7" fillId="0" borderId="41"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80" xfId="0" applyNumberFormat="1" applyFont="1" applyFill="1" applyBorder="1" applyAlignment="1" applyProtection="1">
      <alignment horizontal="right" vertical="center" indent="1"/>
      <protection hidden="1"/>
    </xf>
    <xf numFmtId="0" fontId="7" fillId="0" borderId="81" xfId="0" applyNumberFormat="1" applyFont="1" applyFill="1" applyBorder="1" applyAlignment="1" applyProtection="1">
      <alignment horizontal="right" vertical="center" indent="1"/>
      <protection hidden="1"/>
    </xf>
    <xf numFmtId="0" fontId="7" fillId="0" borderId="82"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3"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5" xfId="0" applyFill="1" applyBorder="1" applyAlignment="1" applyProtection="1">
      <alignment horizontal="left" indent="1"/>
      <protection locked="0"/>
    </xf>
    <xf numFmtId="0" fontId="0" fillId="13" borderId="96" xfId="0" applyFill="1" applyBorder="1" applyAlignment="1" applyProtection="1">
      <alignment horizontal="left" indent="1"/>
      <protection locked="0"/>
    </xf>
    <xf numFmtId="0" fontId="0" fillId="14" borderId="97" xfId="0" applyFill="1" applyBorder="1" applyAlignment="1" applyProtection="1">
      <alignment horizontal="left" indent="1"/>
      <protection locked="0"/>
    </xf>
    <xf numFmtId="0" fontId="35" fillId="0" borderId="90" xfId="0" applyFont="1" applyFill="1" applyBorder="1" applyAlignment="1">
      <alignment horizontal="left" indent="1"/>
    </xf>
    <xf numFmtId="0" fontId="0" fillId="0" borderId="91" xfId="0" applyBorder="1" applyAlignment="1">
      <alignment horizontal="left" indent="1"/>
    </xf>
    <xf numFmtId="0" fontId="0" fillId="0" borderId="98" xfId="0" applyBorder="1" applyAlignment="1">
      <alignment horizontal="left" indent="1"/>
    </xf>
    <xf numFmtId="0" fontId="35" fillId="0" borderId="93" xfId="0" applyFont="1" applyFill="1" applyBorder="1" applyAlignment="1">
      <alignment horizontal="left" indent="1"/>
    </xf>
    <xf numFmtId="0" fontId="0" fillId="0" borderId="0" xfId="0" applyBorder="1" applyAlignment="1">
      <alignment horizontal="left" indent="1"/>
    </xf>
    <xf numFmtId="0" fontId="0" fillId="0" borderId="89" xfId="0" applyBorder="1" applyAlignment="1">
      <alignment horizontal="left" indent="1"/>
    </xf>
    <xf numFmtId="0" fontId="32" fillId="0" borderId="0" xfId="0" applyFont="1" applyFill="1" applyBorder="1"/>
    <xf numFmtId="0" fontId="36" fillId="0" borderId="0" xfId="0" applyFont="1" applyFill="1" applyBorder="1"/>
    <xf numFmtId="0" fontId="0" fillId="0" borderId="0" xfId="0" applyFill="1" applyAlignment="1">
      <alignment vertical="center"/>
    </xf>
    <xf numFmtId="0" fontId="0" fillId="14" borderId="97" xfId="0" applyFill="1" applyBorder="1" applyAlignment="1" applyProtection="1">
      <alignment horizontal="left" vertical="top" wrapText="1" indent="1"/>
      <protection locked="0"/>
    </xf>
    <xf numFmtId="0" fontId="0" fillId="12" borderId="95"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wrapText="1" indent="1"/>
      <protection locked="0"/>
    </xf>
    <xf numFmtId="0" fontId="0" fillId="13" borderId="100" xfId="0" applyFill="1" applyBorder="1" applyAlignment="1" applyProtection="1">
      <alignment horizontal="left" vertical="top" wrapText="1" indent="1"/>
      <protection locked="0"/>
    </xf>
    <xf numFmtId="0" fontId="0" fillId="13" borderId="94" xfId="0" applyFill="1" applyBorder="1" applyAlignment="1" applyProtection="1">
      <alignment horizontal="left" vertical="top" indent="1"/>
      <protection locked="0"/>
    </xf>
    <xf numFmtId="0" fontId="4" fillId="12" borderId="95" xfId="0" applyFont="1" applyFill="1" applyBorder="1" applyAlignment="1" applyProtection="1">
      <alignment horizontal="left" vertical="center" indent="1"/>
      <protection locked="0"/>
    </xf>
    <xf numFmtId="0" fontId="4" fillId="14" borderId="97" xfId="0" applyFont="1" applyFill="1" applyBorder="1" applyAlignment="1" applyProtection="1">
      <alignment horizontal="left" vertical="center" indent="1"/>
      <protection locked="0"/>
    </xf>
    <xf numFmtId="0" fontId="4" fillId="14" borderId="97" xfId="0" applyFont="1" applyFill="1" applyBorder="1" applyAlignment="1" applyProtection="1">
      <alignment horizontal="left" vertical="top" wrapText="1" indent="1"/>
      <protection locked="0"/>
    </xf>
    <xf numFmtId="0" fontId="4" fillId="12" borderId="95" xfId="0" applyFont="1" applyFill="1" applyBorder="1" applyAlignment="1" applyProtection="1">
      <alignment horizontal="left" indent="1"/>
      <protection locked="0"/>
    </xf>
    <xf numFmtId="0" fontId="4" fillId="14" borderId="97" xfId="0" applyFont="1" applyFill="1" applyBorder="1" applyAlignment="1" applyProtection="1">
      <alignment horizontal="left" indent="1"/>
      <protection locked="0"/>
    </xf>
    <xf numFmtId="0" fontId="4" fillId="14" borderId="97" xfId="0" applyFont="1" applyFill="1" applyBorder="1" applyAlignment="1">
      <alignment horizontal="left" indent="1"/>
    </xf>
    <xf numFmtId="0" fontId="4" fillId="13" borderId="96" xfId="0" applyFont="1" applyFill="1" applyBorder="1" applyAlignment="1" applyProtection="1">
      <alignment horizontal="left" indent="1"/>
      <protection locked="0"/>
    </xf>
    <xf numFmtId="0" fontId="4" fillId="12" borderId="99" xfId="0" applyFont="1" applyFill="1" applyBorder="1" applyAlignment="1" applyProtection="1">
      <alignment horizontal="left" vertical="top" indent="1"/>
      <protection locked="0"/>
    </xf>
    <xf numFmtId="0" fontId="4" fillId="14" borderId="97" xfId="0" applyFont="1" applyFill="1" applyBorder="1" applyAlignment="1" applyProtection="1">
      <alignment horizontal="left" vertical="top" indent="1"/>
      <protection locked="0"/>
    </xf>
    <xf numFmtId="0" fontId="4" fillId="0" borderId="0" xfId="0" applyFont="1"/>
    <xf numFmtId="0" fontId="27" fillId="0" borderId="0" xfId="0" applyFont="1"/>
    <xf numFmtId="0" fontId="31" fillId="0" borderId="0" xfId="0" applyFont="1" applyBorder="1" applyAlignment="1">
      <alignment horizontal="left" vertical="center" wrapText="1"/>
    </xf>
    <xf numFmtId="0" fontId="4" fillId="12" borderId="101" xfId="0" applyFont="1" applyFill="1" applyBorder="1" applyAlignment="1" applyProtection="1">
      <alignment horizontal="left" vertical="top" indent="1"/>
      <protection locked="0"/>
    </xf>
    <xf numFmtId="0" fontId="1" fillId="13" borderId="88" xfId="0" applyFont="1" applyFill="1" applyBorder="1" applyAlignment="1" applyProtection="1">
      <alignment horizontal="center" vertical="center"/>
      <protection locked="0"/>
    </xf>
    <xf numFmtId="0" fontId="4" fillId="14" borderId="93" xfId="0" applyFont="1" applyFill="1" applyBorder="1" applyAlignment="1" applyProtection="1">
      <alignment horizontal="left" vertical="top" indent="1"/>
      <protection locked="0"/>
    </xf>
    <xf numFmtId="0" fontId="7" fillId="0" borderId="30"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09" xfId="0" applyFont="1" applyBorder="1" applyAlignment="1">
      <alignment horizontal="center" vertical="center"/>
    </xf>
    <xf numFmtId="0" fontId="20" fillId="0" borderId="43" xfId="0" applyFont="1" applyBorder="1" applyAlignment="1">
      <alignment horizontal="center" vertical="center"/>
    </xf>
    <xf numFmtId="0" fontId="20" fillId="0" borderId="46" xfId="0" applyFont="1" applyBorder="1" applyAlignment="1">
      <alignment horizontal="center" vertical="center"/>
    </xf>
    <xf numFmtId="0" fontId="30" fillId="13" borderId="110" xfId="0" applyFont="1" applyFill="1" applyBorder="1" applyAlignment="1">
      <alignment horizontal="center" vertical="center"/>
    </xf>
    <xf numFmtId="164" fontId="20" fillId="0" borderId="33" xfId="0" applyNumberFormat="1" applyFont="1" applyBorder="1" applyAlignment="1">
      <alignment horizontal="center" vertical="center"/>
    </xf>
    <xf numFmtId="164" fontId="20" fillId="0" borderId="34" xfId="0" applyNumberFormat="1" applyFont="1" applyBorder="1" applyAlignment="1">
      <alignment horizontal="center" vertical="center"/>
    </xf>
    <xf numFmtId="0" fontId="18" fillId="13" borderId="32" xfId="0" applyFont="1" applyFill="1" applyBorder="1"/>
    <xf numFmtId="3" fontId="7" fillId="0" borderId="30"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3" xfId="0" applyFont="1" applyFill="1" applyBorder="1" applyAlignment="1">
      <alignment horizontal="center" vertical="center"/>
    </xf>
    <xf numFmtId="0" fontId="30" fillId="13" borderId="114" xfId="0" applyFont="1" applyFill="1" applyBorder="1" applyAlignment="1">
      <alignment horizontal="left" vertical="center" indent="1"/>
    </xf>
    <xf numFmtId="0" fontId="20" fillId="0" borderId="115" xfId="0" applyFont="1" applyBorder="1" applyAlignment="1">
      <alignment horizontal="left" vertical="center" indent="1"/>
    </xf>
    <xf numFmtId="0" fontId="20" fillId="0" borderId="116" xfId="0" applyFont="1" applyBorder="1" applyAlignment="1">
      <alignment horizontal="left" vertical="center" indent="1"/>
    </xf>
    <xf numFmtId="0" fontId="20" fillId="0" borderId="117" xfId="0" applyFont="1" applyBorder="1" applyAlignment="1">
      <alignment horizontal="left" vertical="center" indent="1"/>
    </xf>
    <xf numFmtId="0" fontId="30" fillId="13" borderId="112" xfId="0" applyFont="1" applyFill="1" applyBorder="1" applyAlignment="1">
      <alignment horizontal="center" vertical="center"/>
    </xf>
    <xf numFmtId="0" fontId="39" fillId="0" borderId="113" xfId="0" applyFont="1" applyBorder="1" applyAlignment="1">
      <alignment horizontal="center" vertical="center"/>
    </xf>
    <xf numFmtId="0" fontId="39" fillId="0" borderId="48" xfId="0" applyFont="1" applyBorder="1" applyAlignment="1">
      <alignment horizontal="center" vertical="center"/>
    </xf>
    <xf numFmtId="0" fontId="39" fillId="0" borderId="50" xfId="0" applyFont="1" applyBorder="1" applyAlignment="1">
      <alignment horizontal="center" vertical="center"/>
    </xf>
    <xf numFmtId="165" fontId="21" fillId="13" borderId="118" xfId="0" applyNumberFormat="1" applyFont="1" applyFill="1" applyBorder="1" applyAlignment="1">
      <alignment horizontal="center" vertical="center"/>
    </xf>
    <xf numFmtId="165" fontId="21" fillId="13" borderId="110"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39" fillId="0" borderId="0" xfId="0" applyFont="1" applyBorder="1" applyAlignment="1">
      <alignment horizontal="center" vertical="center"/>
    </xf>
    <xf numFmtId="0" fontId="20" fillId="8" borderId="120" xfId="0" applyFont="1" applyFill="1" applyBorder="1" applyAlignment="1">
      <alignment horizontal="center" vertical="center"/>
    </xf>
    <xf numFmtId="0" fontId="20" fillId="0" borderId="121" xfId="0" applyFont="1" applyBorder="1" applyAlignment="1">
      <alignment horizontal="center" vertical="center"/>
    </xf>
    <xf numFmtId="0" fontId="20" fillId="0" borderId="123" xfId="0" applyFont="1" applyBorder="1" applyAlignment="1">
      <alignment horizontal="center" vertical="center"/>
    </xf>
    <xf numFmtId="0" fontId="4" fillId="12" borderId="95" xfId="0" applyFont="1" applyFill="1" applyBorder="1" applyAlignment="1" applyProtection="1">
      <alignment horizontal="left" vertical="top" wrapText="1" indent="1"/>
      <protection locked="0"/>
    </xf>
    <xf numFmtId="0" fontId="7" fillId="0" borderId="36" xfId="0" applyNumberFormat="1" applyFont="1" applyFill="1" applyBorder="1" applyAlignment="1" applyProtection="1">
      <alignment horizontal="center" vertical="center"/>
      <protection hidden="1"/>
    </xf>
    <xf numFmtId="0" fontId="7" fillId="0" borderId="37" xfId="0" applyNumberFormat="1" applyFont="1" applyFill="1" applyBorder="1" applyAlignment="1" applyProtection="1">
      <alignment horizontal="center" vertical="center"/>
      <protection hidden="1"/>
    </xf>
    <xf numFmtId="0" fontId="7" fillId="0" borderId="39" xfId="0" applyNumberFormat="1" applyFont="1" applyFill="1" applyBorder="1" applyAlignment="1" applyProtection="1">
      <alignment horizontal="center" vertical="center"/>
      <protection hidden="1"/>
    </xf>
    <xf numFmtId="0" fontId="7" fillId="0" borderId="70"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70" xfId="0" applyNumberFormat="1" applyFont="1" applyFill="1" applyBorder="1" applyAlignment="1" applyProtection="1">
      <alignment vertical="center"/>
      <protection hidden="1"/>
    </xf>
    <xf numFmtId="0" fontId="7" fillId="0" borderId="35" xfId="0" applyNumberFormat="1" applyFont="1" applyFill="1" applyBorder="1" applyAlignment="1" applyProtection="1">
      <alignment horizontal="center" vertical="center"/>
      <protection hidden="1"/>
    </xf>
    <xf numFmtId="0" fontId="7" fillId="0" borderId="38" xfId="0" applyNumberFormat="1" applyFont="1" applyFill="1" applyBorder="1" applyAlignment="1" applyProtection="1">
      <alignment horizontal="center" vertical="center"/>
      <protection hidden="1"/>
    </xf>
    <xf numFmtId="0" fontId="7" fillId="0" borderId="40" xfId="0" applyNumberFormat="1" applyFont="1" applyFill="1" applyBorder="1" applyAlignment="1" applyProtection="1">
      <alignment horizontal="center" vertical="center"/>
      <protection hidden="1"/>
    </xf>
    <xf numFmtId="0" fontId="18" fillId="0" borderId="124" xfId="0" applyFont="1" applyBorder="1" applyAlignment="1">
      <alignment horizontal="center" vertical="center"/>
    </xf>
    <xf numFmtId="0" fontId="18" fillId="0" borderId="125" xfId="0" applyFont="1" applyBorder="1" applyAlignment="1">
      <alignment horizontal="center" vertical="center"/>
    </xf>
    <xf numFmtId="0" fontId="18" fillId="0" borderId="126" xfId="0" applyFont="1" applyBorder="1" applyAlignment="1">
      <alignment horizontal="center" vertical="center"/>
    </xf>
    <xf numFmtId="0" fontId="30" fillId="13" borderId="129" xfId="0" applyFont="1" applyFill="1" applyBorder="1" applyAlignment="1">
      <alignment horizontal="center" vertical="center"/>
    </xf>
    <xf numFmtId="0" fontId="20" fillId="0" borderId="119" xfId="0" applyFont="1" applyBorder="1" applyAlignment="1">
      <alignment horizontal="center" vertical="center"/>
    </xf>
    <xf numFmtId="0" fontId="20" fillId="0" borderId="54" xfId="0" applyFont="1" applyBorder="1" applyAlignment="1">
      <alignment horizontal="center" vertical="center"/>
    </xf>
    <xf numFmtId="0" fontId="20" fillId="0" borderId="55" xfId="0" applyFont="1" applyBorder="1" applyAlignment="1">
      <alignment horizontal="center" vertical="center"/>
    </xf>
    <xf numFmtId="165" fontId="21" fillId="13" borderId="132" xfId="0" applyNumberFormat="1" applyFont="1" applyFill="1" applyBorder="1" applyAlignment="1">
      <alignment horizontal="center" vertical="center"/>
    </xf>
    <xf numFmtId="0" fontId="20" fillId="0" borderId="133" xfId="0" applyFont="1" applyBorder="1" applyAlignment="1">
      <alignment horizontal="center" vertical="center"/>
    </xf>
    <xf numFmtId="0" fontId="20" fillId="0" borderId="44" xfId="0" applyFont="1" applyBorder="1" applyAlignment="1">
      <alignment horizontal="center" vertical="center"/>
    </xf>
    <xf numFmtId="0" fontId="20" fillId="8" borderId="47"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1" fillId="0" borderId="0" xfId="0" applyNumberFormat="1" applyFont="1" applyFill="1" applyAlignment="1" applyProtection="1">
      <alignment horizontal="center" vertical="center"/>
      <protection hidden="1"/>
    </xf>
    <xf numFmtId="0" fontId="41" fillId="0" borderId="70" xfId="0" applyNumberFormat="1" applyFont="1" applyFill="1" applyBorder="1" applyAlignment="1" applyProtection="1">
      <alignment horizontal="center" vertical="center"/>
      <protection hidden="1"/>
    </xf>
    <xf numFmtId="0" fontId="4" fillId="12" borderId="101" xfId="0" applyFont="1" applyFill="1" applyBorder="1" applyAlignment="1" applyProtection="1">
      <alignment horizontal="left" vertical="top" wrapText="1" indent="1"/>
      <protection locked="0"/>
    </xf>
    <xf numFmtId="0" fontId="4" fillId="14" borderId="93"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3" xfId="0" applyNumberFormat="1" applyFont="1" applyBorder="1" applyAlignment="1">
      <alignment horizontal="center" vertical="center"/>
    </xf>
    <xf numFmtId="0" fontId="23" fillId="0" borderId="109" xfId="0" applyNumberFormat="1" applyFont="1" applyBorder="1" applyAlignment="1">
      <alignment horizontal="center" vertical="center"/>
    </xf>
    <xf numFmtId="0" fontId="23" fillId="0" borderId="43" xfId="0" applyNumberFormat="1" applyFont="1" applyBorder="1" applyAlignment="1">
      <alignment horizontal="center" vertical="center"/>
    </xf>
    <xf numFmtId="167" fontId="23" fillId="0" borderId="46"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21" fillId="0" borderId="145" xfId="0" applyFont="1" applyBorder="1" applyAlignment="1">
      <alignment horizontal="right" vertical="center"/>
    </xf>
    <xf numFmtId="0" fontId="21" fillId="0" borderId="146" xfId="0" applyFont="1" applyBorder="1" applyAlignment="1">
      <alignment horizontal="center" vertical="center"/>
    </xf>
    <xf numFmtId="0" fontId="21" fillId="0" borderId="148" xfId="0" applyFont="1" applyBorder="1" applyAlignment="1">
      <alignment horizontal="left" vertical="center"/>
    </xf>
    <xf numFmtId="0" fontId="19" fillId="9" borderId="149" xfId="0" applyFont="1" applyFill="1" applyBorder="1" applyAlignment="1">
      <alignment horizontal="center"/>
    </xf>
    <xf numFmtId="0" fontId="19" fillId="9" borderId="112" xfId="0" applyFont="1" applyFill="1" applyBorder="1" applyAlignment="1">
      <alignment horizontal="center"/>
    </xf>
    <xf numFmtId="167" fontId="23" fillId="0" borderId="109" xfId="0" applyNumberFormat="1" applyFont="1" applyBorder="1" applyAlignment="1">
      <alignment horizontal="center" vertical="center"/>
    </xf>
    <xf numFmtId="0" fontId="20" fillId="0" borderId="130" xfId="0" applyFont="1" applyBorder="1" applyAlignment="1">
      <alignment horizontal="left" vertical="center"/>
    </xf>
    <xf numFmtId="0" fontId="20" fillId="0" borderId="122" xfId="0" applyFont="1" applyBorder="1" applyAlignment="1">
      <alignment horizontal="left" vertical="center"/>
    </xf>
    <xf numFmtId="0" fontId="20" fillId="0" borderId="131" xfId="0" applyFont="1" applyBorder="1" applyAlignment="1">
      <alignment horizontal="left" vertical="center"/>
    </xf>
    <xf numFmtId="0" fontId="47" fillId="0" borderId="0" xfId="0" applyNumberFormat="1" applyFont="1" applyAlignment="1">
      <alignment horizontal="center" vertical="center"/>
    </xf>
    <xf numFmtId="0" fontId="0" fillId="0" borderId="152" xfId="0" applyBorder="1"/>
    <xf numFmtId="0" fontId="0" fillId="0" borderId="153" xfId="0" applyBorder="1" applyAlignment="1">
      <alignment horizontal="left" indent="1"/>
    </xf>
    <xf numFmtId="0" fontId="0" fillId="0" borderId="104" xfId="0" applyBorder="1"/>
    <xf numFmtId="0" fontId="0" fillId="0" borderId="105" xfId="0" applyBorder="1" applyAlignment="1">
      <alignment horizontal="left" indent="1"/>
    </xf>
    <xf numFmtId="0" fontId="0" fillId="0" borderId="106" xfId="0" applyBorder="1"/>
    <xf numFmtId="0" fontId="0" fillId="0" borderId="108" xfId="0" applyBorder="1" applyAlignment="1">
      <alignment horizontal="left" indent="1"/>
    </xf>
    <xf numFmtId="0" fontId="7" fillId="0" borderId="155" xfId="0" applyNumberFormat="1" applyFont="1" applyFill="1" applyBorder="1" applyAlignment="1" applyProtection="1">
      <alignment vertical="center"/>
      <protection hidden="1"/>
    </xf>
    <xf numFmtId="0" fontId="7" fillId="0" borderId="154" xfId="0" applyNumberFormat="1" applyFont="1" applyFill="1" applyBorder="1" applyAlignment="1" applyProtection="1">
      <alignment horizontal="center" vertical="center"/>
      <protection hidden="1"/>
    </xf>
    <xf numFmtId="0" fontId="6" fillId="0" borderId="43"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0" xfId="0" applyFont="1" applyFill="1" applyBorder="1" applyAlignment="1">
      <alignment horizontal="center" vertical="center" shrinkToFit="1"/>
    </xf>
    <xf numFmtId="0" fontId="14" fillId="9" borderId="69" xfId="0" applyFont="1" applyFill="1" applyBorder="1" applyAlignment="1">
      <alignment horizontal="center" vertical="center" shrinkToFit="1"/>
    </xf>
    <xf numFmtId="0" fontId="14" fillId="9" borderId="52" xfId="0" applyFont="1" applyFill="1" applyBorder="1" applyAlignment="1">
      <alignment horizontal="center" vertical="center" shrinkToFit="1"/>
    </xf>
    <xf numFmtId="0" fontId="14" fillId="9" borderId="64" xfId="0" applyFont="1" applyFill="1" applyBorder="1" applyAlignment="1">
      <alignment horizontal="center" vertical="center" shrinkToFit="1"/>
    </xf>
    <xf numFmtId="165" fontId="14" fillId="9" borderId="60" xfId="0" applyNumberFormat="1" applyFont="1" applyFill="1" applyBorder="1" applyAlignment="1">
      <alignment vertical="center" shrinkToFit="1"/>
    </xf>
    <xf numFmtId="165" fontId="14" fillId="9" borderId="69" xfId="0" applyNumberFormat="1" applyFont="1" applyFill="1" applyBorder="1" applyAlignment="1">
      <alignment vertical="center" shrinkToFit="1"/>
    </xf>
    <xf numFmtId="0" fontId="6" fillId="0" borderId="134" xfId="0" applyFont="1" applyBorder="1" applyAlignment="1">
      <alignment horizontal="center" vertical="center" shrinkToFit="1"/>
    </xf>
    <xf numFmtId="0" fontId="6" fillId="0" borderId="135" xfId="0"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6" xfId="0" applyFont="1" applyBorder="1" applyAlignment="1">
      <alignment horizontal="right" vertical="center" shrinkToFit="1"/>
    </xf>
    <xf numFmtId="0" fontId="6" fillId="0" borderId="137" xfId="0" applyFont="1" applyBorder="1" applyAlignment="1">
      <alignment horizontal="center" vertical="center" shrinkToFit="1"/>
    </xf>
    <xf numFmtId="0" fontId="6" fillId="0" borderId="134" xfId="0" applyFont="1" applyBorder="1" applyAlignment="1">
      <alignment horizontal="left" vertical="center" shrinkToFit="1"/>
    </xf>
    <xf numFmtId="0" fontId="16" fillId="0" borderId="138" xfId="0" applyFont="1" applyBorder="1" applyAlignment="1">
      <alignment horizontal="center" vertical="center" shrinkToFit="1"/>
    </xf>
    <xf numFmtId="0" fontId="6" fillId="8" borderId="139" xfId="0" applyFont="1" applyFill="1" applyBorder="1" applyAlignment="1">
      <alignment horizontal="center" vertical="center" shrinkToFit="1"/>
    </xf>
    <xf numFmtId="0" fontId="6" fillId="0" borderId="138" xfId="0" applyFont="1" applyBorder="1" applyAlignment="1">
      <alignment horizontal="center" vertical="center" shrinkToFit="1"/>
    </xf>
    <xf numFmtId="0" fontId="6" fillId="0" borderId="127" xfId="0" applyFont="1" applyBorder="1" applyAlignment="1">
      <alignment horizontal="left" vertical="center" shrinkToFit="1"/>
    </xf>
    <xf numFmtId="0" fontId="6" fillId="0" borderId="4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49" xfId="0" applyFont="1" applyBorder="1" applyAlignment="1">
      <alignment horizontal="right" vertical="center" shrinkToFit="1"/>
    </xf>
    <xf numFmtId="0" fontId="6" fillId="0" borderId="54" xfId="0" applyFont="1" applyBorder="1" applyAlignment="1">
      <alignment horizontal="center" vertical="center" shrinkToFit="1"/>
    </xf>
    <xf numFmtId="0" fontId="6" fillId="0" borderId="48" xfId="0" applyFont="1" applyBorder="1" applyAlignment="1">
      <alignment horizontal="left" vertical="center" shrinkToFit="1"/>
    </xf>
    <xf numFmtId="0" fontId="1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6" fillId="8" borderId="43" xfId="0" applyFont="1" applyFill="1" applyBorder="1" applyAlignment="1">
      <alignment horizontal="center" vertical="center" shrinkToFit="1"/>
    </xf>
    <xf numFmtId="0" fontId="6" fillId="0" borderId="44" xfId="0" applyFont="1" applyBorder="1" applyAlignment="1">
      <alignment horizontal="center" vertical="center" shrinkToFit="1"/>
    </xf>
    <xf numFmtId="0" fontId="6" fillId="0" borderId="128"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5"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7" xfId="0" applyFont="1" applyBorder="1" applyAlignment="1">
      <alignment horizontal="center" vertical="center" shrinkToFit="1"/>
    </xf>
    <xf numFmtId="0" fontId="6" fillId="0" borderId="45" xfId="0" applyFont="1" applyBorder="1" applyAlignment="1">
      <alignment horizontal="center" vertical="center" shrinkToFit="1"/>
    </xf>
    <xf numFmtId="0" fontId="6" fillId="8" borderId="47" xfId="0" applyFont="1" applyFill="1" applyBorder="1" applyAlignment="1">
      <alignment horizontal="center" vertical="center" shrinkToFit="1"/>
    </xf>
    <xf numFmtId="0" fontId="25" fillId="0" borderId="0" xfId="0" applyFont="1" applyAlignment="1"/>
    <xf numFmtId="0" fontId="38"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49" fillId="0" borderId="0" xfId="0" applyFont="1"/>
    <xf numFmtId="0" fontId="38" fillId="15" borderId="158" xfId="0" applyFont="1" applyFill="1" applyBorder="1" applyAlignment="1" applyProtection="1">
      <alignment horizontal="center"/>
      <protection locked="0"/>
    </xf>
    <xf numFmtId="0" fontId="21" fillId="0" borderId="159" xfId="0" applyFont="1" applyBorder="1" applyAlignment="1">
      <alignment horizontal="right" vertical="center"/>
    </xf>
    <xf numFmtId="0" fontId="21" fillId="0" borderId="41"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0" xfId="0" applyNumberFormat="1" applyFont="1" applyFill="1" applyBorder="1" applyAlignment="1" applyProtection="1">
      <alignment horizontal="center" vertical="center"/>
      <protection hidden="1"/>
    </xf>
    <xf numFmtId="0" fontId="50" fillId="0" borderId="160"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1" xfId="2" applyNumberFormat="1" applyBorder="1" applyAlignment="1" applyProtection="1">
      <alignment horizontal="center" vertical="center" readingOrder="1"/>
    </xf>
    <xf numFmtId="0" fontId="7" fillId="13" borderId="165" xfId="0" applyNumberFormat="1" applyFont="1" applyFill="1" applyBorder="1" applyAlignment="1" applyProtection="1">
      <alignment horizontal="center" vertical="center"/>
      <protection hidden="1"/>
    </xf>
    <xf numFmtId="0" fontId="4" fillId="14" borderId="166" xfId="0" applyFont="1" applyFill="1" applyBorder="1" applyAlignment="1" applyProtection="1">
      <alignment horizontal="left" vertical="top" wrapText="1" indent="1"/>
      <protection locked="0"/>
    </xf>
    <xf numFmtId="0" fontId="4" fillId="12" borderId="167" xfId="0" applyFont="1" applyFill="1" applyBorder="1" applyAlignment="1" applyProtection="1">
      <alignment horizontal="left" vertical="top" wrapText="1" indent="1"/>
      <protection locked="0"/>
    </xf>
    <xf numFmtId="0" fontId="4" fillId="14" borderId="168" xfId="0" applyFont="1" applyFill="1" applyBorder="1" applyAlignment="1" applyProtection="1">
      <alignment horizontal="left" vertical="top" wrapText="1" indent="1"/>
      <protection locked="0"/>
    </xf>
    <xf numFmtId="0" fontId="4" fillId="12" borderId="169" xfId="0" applyFont="1" applyFill="1" applyBorder="1" applyAlignment="1" applyProtection="1">
      <alignment horizontal="left" vertical="top" wrapText="1" indent="1"/>
      <protection locked="0"/>
    </xf>
    <xf numFmtId="0" fontId="0" fillId="13" borderId="170" xfId="0" applyFill="1" applyBorder="1" applyAlignment="1" applyProtection="1">
      <alignment horizontal="left" vertical="top" wrapText="1" indent="1"/>
      <protection locked="0"/>
    </xf>
    <xf numFmtId="0" fontId="0" fillId="14" borderId="168" xfId="0" applyFill="1" applyBorder="1" applyAlignment="1" applyProtection="1">
      <alignment horizontal="left" vertical="top" indent="1"/>
      <protection locked="0"/>
    </xf>
    <xf numFmtId="0" fontId="0" fillId="12" borderId="173" xfId="0" applyFill="1" applyBorder="1" applyAlignment="1" applyProtection="1">
      <alignment horizontal="left" vertical="top" indent="1"/>
      <protection locked="0"/>
    </xf>
    <xf numFmtId="0" fontId="0" fillId="13" borderId="174" xfId="0" applyFill="1" applyBorder="1" applyAlignment="1" applyProtection="1">
      <alignment horizontal="left" vertical="top" wrapText="1" indent="1"/>
      <protection locked="0"/>
    </xf>
    <xf numFmtId="0" fontId="0" fillId="14" borderId="175" xfId="0" applyFill="1" applyBorder="1" applyAlignment="1" applyProtection="1">
      <alignment horizontal="left" vertical="top" indent="1"/>
      <protection locked="0"/>
    </xf>
    <xf numFmtId="0" fontId="0" fillId="13" borderId="176" xfId="0" applyFill="1" applyBorder="1" applyAlignment="1" applyProtection="1">
      <alignment horizontal="left" vertical="top" wrapText="1" indent="1"/>
      <protection locked="0"/>
    </xf>
    <xf numFmtId="0" fontId="0" fillId="14" borderId="168" xfId="0" applyFill="1" applyBorder="1" applyAlignment="1" applyProtection="1">
      <alignment horizontal="left" vertical="top" wrapText="1" indent="1"/>
      <protection locked="0"/>
    </xf>
    <xf numFmtId="0" fontId="0" fillId="12" borderId="172" xfId="0" applyFill="1" applyBorder="1" applyAlignment="1" applyProtection="1">
      <alignment horizontal="left" vertical="top" wrapText="1" indent="1"/>
      <protection locked="0"/>
    </xf>
    <xf numFmtId="0" fontId="0" fillId="0" borderId="0" xfId="0" applyAlignment="1"/>
    <xf numFmtId="0" fontId="0" fillId="14" borderId="177" xfId="0" applyFill="1" applyBorder="1" applyAlignment="1" applyProtection="1">
      <alignment horizontal="left" vertical="top" wrapText="1" indent="1"/>
      <protection locked="0"/>
    </xf>
    <xf numFmtId="0" fontId="0" fillId="12" borderId="178" xfId="0" applyFill="1" applyBorder="1" applyAlignment="1" applyProtection="1">
      <alignment horizontal="left" vertical="top" wrapText="1" indent="1"/>
      <protection locked="0"/>
    </xf>
    <xf numFmtId="0" fontId="0" fillId="13" borderId="179" xfId="0" applyFill="1" applyBorder="1" applyAlignment="1" applyProtection="1">
      <alignment horizontal="left" vertical="top" wrapText="1" indent="1"/>
      <protection locked="0"/>
    </xf>
    <xf numFmtId="0" fontId="0" fillId="0" borderId="0" xfId="0" applyAlignment="1">
      <alignment horizontal="right"/>
    </xf>
    <xf numFmtId="0" fontId="51" fillId="15" borderId="158" xfId="0" applyFont="1" applyFill="1" applyBorder="1" applyAlignment="1" applyProtection="1">
      <alignment horizontal="left" vertical="center" indent="1"/>
      <protection locked="0"/>
    </xf>
    <xf numFmtId="0" fontId="38" fillId="0" borderId="0" xfId="0" applyFont="1"/>
    <xf numFmtId="0" fontId="38" fillId="0" borderId="0" xfId="0" applyFont="1" applyAlignment="1"/>
    <xf numFmtId="0" fontId="38" fillId="0" borderId="0" xfId="0" applyFont="1" applyAlignment="1">
      <alignment horizontal="right"/>
    </xf>
    <xf numFmtId="0" fontId="52" fillId="0" borderId="0" xfId="0" applyFont="1"/>
    <xf numFmtId="0" fontId="4" fillId="12" borderId="171" xfId="0" applyFont="1" applyFill="1" applyBorder="1" applyAlignment="1" applyProtection="1">
      <alignment horizontal="left" vertical="top" indent="1"/>
      <protection locked="0"/>
    </xf>
    <xf numFmtId="0" fontId="14" fillId="9" borderId="52" xfId="0" applyFont="1" applyFill="1" applyBorder="1" applyAlignment="1">
      <alignment horizontal="center" vertical="center" shrinkToFit="1"/>
    </xf>
    <xf numFmtId="0" fontId="41" fillId="0" borderId="70" xfId="0" applyNumberFormat="1" applyFont="1" applyFill="1" applyBorder="1" applyAlignment="1" applyProtection="1">
      <alignment horizontal="center" vertical="center"/>
      <protection hidden="1"/>
    </xf>
    <xf numFmtId="0" fontId="5" fillId="0" borderId="0" xfId="0" applyFont="1" applyBorder="1"/>
    <xf numFmtId="0" fontId="37" fillId="0" borderId="0" xfId="0" applyFont="1" applyAlignment="1"/>
    <xf numFmtId="0" fontId="5" fillId="0" borderId="0" xfId="0" applyFont="1" applyFill="1" applyBorder="1"/>
    <xf numFmtId="0" fontId="6" fillId="0" borderId="0" xfId="0"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164" fontId="24" fillId="0" borderId="0" xfId="0" applyNumberFormat="1" applyFont="1" applyFill="1" applyBorder="1" applyAlignment="1">
      <alignment vertical="center"/>
    </xf>
    <xf numFmtId="0" fontId="24" fillId="0" borderId="0" xfId="0" applyFont="1" applyAlignment="1">
      <alignment vertical="center"/>
    </xf>
    <xf numFmtId="0" fontId="53" fillId="0" borderId="124" xfId="0" applyFont="1" applyBorder="1" applyAlignment="1">
      <alignment horizontal="center" vertical="center" shrinkToFit="1"/>
    </xf>
    <xf numFmtId="0" fontId="53" fillId="0" borderId="125" xfId="0" applyFont="1" applyBorder="1" applyAlignment="1">
      <alignment horizontal="center" vertical="center" shrinkToFit="1"/>
    </xf>
    <xf numFmtId="0" fontId="53" fillId="0" borderId="126" xfId="0" applyFont="1" applyBorder="1" applyAlignment="1">
      <alignment horizontal="center" vertical="center" shrinkToFit="1"/>
    </xf>
    <xf numFmtId="0" fontId="40" fillId="0" borderId="0" xfId="0" applyNumberFormat="1" applyFont="1" applyBorder="1" applyAlignment="1">
      <alignment vertical="top"/>
    </xf>
    <xf numFmtId="0" fontId="7" fillId="0" borderId="180" xfId="0" applyNumberFormat="1" applyFont="1" applyFill="1" applyBorder="1" applyAlignment="1" applyProtection="1">
      <alignment horizontal="right" vertical="center" indent="1"/>
      <protection hidden="1"/>
    </xf>
    <xf numFmtId="0" fontId="7" fillId="0" borderId="181" xfId="0" applyNumberFormat="1" applyFont="1" applyFill="1" applyBorder="1" applyAlignment="1" applyProtection="1">
      <alignment horizontal="center" vertical="center"/>
      <protection hidden="1"/>
    </xf>
    <xf numFmtId="0" fontId="7" fillId="0" borderId="182" xfId="0" applyNumberFormat="1" applyFont="1" applyFill="1" applyBorder="1" applyAlignment="1" applyProtection="1">
      <alignment horizontal="center" vertical="center"/>
      <protection hidden="1"/>
    </xf>
    <xf numFmtId="0" fontId="7" fillId="0" borderId="183" xfId="0" applyNumberFormat="1" applyFont="1" applyFill="1" applyBorder="1" applyAlignment="1" applyProtection="1">
      <alignment horizontal="center" vertical="center"/>
      <protection hidden="1"/>
    </xf>
    <xf numFmtId="0" fontId="7" fillId="0" borderId="181" xfId="0" applyNumberFormat="1" applyFont="1" applyFill="1" applyBorder="1" applyAlignment="1" applyProtection="1">
      <alignment vertical="center"/>
      <protection hidden="1"/>
    </xf>
    <xf numFmtId="0" fontId="7" fillId="0" borderId="182" xfId="0" applyNumberFormat="1" applyFont="1" applyFill="1" applyBorder="1" applyAlignment="1" applyProtection="1">
      <alignment vertical="center"/>
      <protection hidden="1"/>
    </xf>
    <xf numFmtId="0" fontId="7" fillId="0" borderId="184" xfId="0" applyNumberFormat="1" applyFont="1" applyFill="1" applyBorder="1" applyAlignment="1" applyProtection="1">
      <alignment horizontal="center" vertical="center"/>
      <protection hidden="1"/>
    </xf>
    <xf numFmtId="0" fontId="7" fillId="0" borderId="185" xfId="0" applyNumberFormat="1" applyFont="1" applyFill="1" applyBorder="1" applyAlignment="1" applyProtection="1">
      <alignment horizontal="center" vertical="center"/>
      <protection hidden="1"/>
    </xf>
    <xf numFmtId="0" fontId="23" fillId="0" borderId="145"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8" fillId="0" borderId="0" xfId="0" applyFont="1" applyFill="1" applyAlignment="1">
      <alignment horizontal="center"/>
    </xf>
    <xf numFmtId="0" fontId="23" fillId="0" borderId="159"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86" xfId="0" applyFont="1" applyBorder="1" applyAlignment="1">
      <alignment horizontal="left" vertical="center" shrinkToFit="1"/>
    </xf>
    <xf numFmtId="0" fontId="37" fillId="0" borderId="0" xfId="0" applyFont="1" applyAlignment="1" applyProtection="1">
      <alignment horizontal="center" vertical="center" wrapText="1"/>
    </xf>
    <xf numFmtId="0" fontId="43" fillId="0" borderId="70" xfId="0" applyFont="1" applyBorder="1" applyAlignment="1" applyProtection="1"/>
    <xf numFmtId="0" fontId="54" fillId="0" borderId="0" xfId="0" applyFont="1" applyAlignment="1" applyProtection="1"/>
    <xf numFmtId="0" fontId="56" fillId="0" borderId="70" xfId="0" applyFont="1" applyFill="1" applyBorder="1" applyAlignment="1"/>
    <xf numFmtId="0" fontId="56"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7" fillId="0" borderId="0" xfId="0" applyFont="1" applyAlignment="1" applyProtection="1">
      <alignment vertical="top" wrapText="1"/>
    </xf>
    <xf numFmtId="165" fontId="28" fillId="0" borderId="70"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5" xfId="0" applyFont="1" applyFill="1" applyBorder="1" applyAlignment="1" applyProtection="1">
      <alignment horizontal="right" vertical="center"/>
    </xf>
    <xf numFmtId="0" fontId="22" fillId="17" borderId="146" xfId="0" applyFont="1" applyFill="1" applyBorder="1" applyAlignment="1" applyProtection="1">
      <alignment horizontal="center" vertical="center"/>
    </xf>
    <xf numFmtId="0" fontId="22" fillId="17" borderId="147" xfId="0" applyFont="1" applyFill="1" applyBorder="1" applyAlignment="1" applyProtection="1">
      <alignment horizontal="left" vertical="center"/>
    </xf>
    <xf numFmtId="0" fontId="22" fillId="17" borderId="49" xfId="0" applyFont="1" applyFill="1" applyBorder="1" applyAlignment="1" applyProtection="1">
      <alignment horizontal="right" vertical="center"/>
    </xf>
    <xf numFmtId="0" fontId="22" fillId="17" borderId="54" xfId="0" applyFont="1" applyFill="1" applyBorder="1" applyAlignment="1" applyProtection="1">
      <alignment horizontal="center" vertical="center"/>
    </xf>
    <xf numFmtId="0" fontId="22" fillId="17" borderId="48" xfId="0" applyFont="1" applyFill="1" applyBorder="1" applyAlignment="1" applyProtection="1">
      <alignment horizontal="left" vertical="center"/>
    </xf>
    <xf numFmtId="0" fontId="22" fillId="17" borderId="51" xfId="0" applyFont="1" applyFill="1" applyBorder="1" applyAlignment="1" applyProtection="1">
      <alignment horizontal="right" vertical="center"/>
    </xf>
    <xf numFmtId="0" fontId="22" fillId="17" borderId="55" xfId="0" applyFont="1" applyFill="1" applyBorder="1" applyAlignment="1" applyProtection="1">
      <alignment horizontal="center" vertical="center"/>
    </xf>
    <xf numFmtId="0" fontId="22" fillId="17" borderId="50" xfId="0" applyFont="1" applyFill="1" applyBorder="1" applyAlignment="1" applyProtection="1">
      <alignment horizontal="left" vertical="center"/>
    </xf>
    <xf numFmtId="0" fontId="57" fillId="0" borderId="0" xfId="0" applyFont="1" applyAlignment="1" applyProtection="1">
      <alignment horizontal="right" vertical="top" wrapText="1" indent="1"/>
    </xf>
    <xf numFmtId="0" fontId="18" fillId="0" borderId="0" xfId="0" applyFont="1" applyAlignment="1">
      <alignment vertical="center"/>
    </xf>
    <xf numFmtId="0" fontId="21" fillId="10" borderId="127" xfId="0" applyFont="1" applyFill="1" applyBorder="1" applyAlignment="1" applyProtection="1">
      <alignment horizontal="center"/>
      <protection locked="0"/>
    </xf>
    <xf numFmtId="0" fontId="21" fillId="10" borderId="128" xfId="0" applyFont="1" applyFill="1" applyBorder="1" applyAlignment="1" applyProtection="1">
      <alignment horizontal="center"/>
      <protection locked="0"/>
    </xf>
    <xf numFmtId="0" fontId="21" fillId="10" borderId="193" xfId="0" applyFont="1" applyFill="1" applyBorder="1" applyAlignment="1" applyProtection="1">
      <alignment horizontal="center"/>
      <protection locked="0"/>
    </xf>
    <xf numFmtId="0" fontId="20" fillId="10" borderId="68" xfId="0" applyFont="1" applyFill="1" applyBorder="1" applyAlignment="1" applyProtection="1">
      <alignment horizontal="center" vertical="center"/>
      <protection locked="0"/>
    </xf>
    <xf numFmtId="0" fontId="20" fillId="10" borderId="195" xfId="0" applyFont="1" applyFill="1" applyBorder="1" applyAlignment="1" applyProtection="1">
      <alignment horizontal="center" vertical="center"/>
      <protection locked="0"/>
    </xf>
    <xf numFmtId="0" fontId="20" fillId="0" borderId="51" xfId="0" applyFont="1" applyBorder="1" applyAlignment="1">
      <alignment horizontal="left" vertical="center"/>
    </xf>
    <xf numFmtId="0" fontId="20" fillId="0" borderId="50" xfId="0" applyFont="1" applyBorder="1" applyAlignment="1">
      <alignment horizontal="left" vertical="center"/>
    </xf>
    <xf numFmtId="0" fontId="14" fillId="9" borderId="110" xfId="0" applyFont="1" applyFill="1" applyBorder="1" applyAlignment="1">
      <alignment horizontal="center" vertical="center"/>
    </xf>
    <xf numFmtId="0" fontId="20" fillId="10" borderId="49"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0" fontId="20" fillId="10" borderId="146" xfId="0" applyFont="1" applyFill="1" applyBorder="1" applyAlignment="1">
      <alignment horizontal="center" vertical="center"/>
    </xf>
    <xf numFmtId="0" fontId="21" fillId="10" borderId="127" xfId="0" applyFont="1" applyFill="1" applyBorder="1" applyAlignment="1" applyProtection="1">
      <alignment horizontal="center" vertical="center"/>
      <protection locked="0"/>
    </xf>
    <xf numFmtId="0" fontId="21" fillId="10" borderId="128" xfId="0" applyFont="1" applyFill="1" applyBorder="1" applyAlignment="1" applyProtection="1">
      <alignment horizontal="center" vertical="center"/>
      <protection locked="0"/>
    </xf>
    <xf numFmtId="0" fontId="14" fillId="9" borderId="112" xfId="0" applyFont="1" applyFill="1" applyBorder="1" applyAlignment="1">
      <alignment horizontal="center" vertical="center"/>
    </xf>
    <xf numFmtId="0" fontId="14" fillId="0" borderId="39"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right" vertical="center"/>
    </xf>
    <xf numFmtId="167" fontId="21" fillId="15" borderId="0" xfId="0" applyNumberFormat="1" applyFont="1" applyFill="1" applyBorder="1" applyAlignment="1">
      <alignment horizontal="left" vertical="center"/>
    </xf>
    <xf numFmtId="0" fontId="18" fillId="15" borderId="0" xfId="0" applyFont="1" applyFill="1"/>
    <xf numFmtId="0" fontId="18" fillId="0" borderId="186" xfId="0" applyFont="1" applyBorder="1" applyAlignment="1">
      <alignment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97" xfId="0" applyFont="1" applyBorder="1" applyAlignment="1">
      <alignment horizontal="center" vertical="center"/>
    </xf>
    <xf numFmtId="0" fontId="20" fillId="0" borderId="198" xfId="0" applyFont="1" applyBorder="1" applyAlignment="1">
      <alignment horizontal="left" vertical="center"/>
    </xf>
    <xf numFmtId="0" fontId="20" fillId="0" borderId="141" xfId="0" applyFont="1" applyBorder="1" applyAlignment="1">
      <alignment horizontal="center" vertical="center"/>
    </xf>
    <xf numFmtId="0" fontId="20" fillId="0" borderId="199" xfId="0" applyFont="1" applyBorder="1" applyAlignment="1">
      <alignment horizontal="left" vertical="center"/>
    </xf>
    <xf numFmtId="0" fontId="20" fillId="10" borderId="198" xfId="0" applyFont="1" applyFill="1" applyBorder="1" applyAlignment="1" applyProtection="1">
      <alignment horizontal="center" vertical="center"/>
      <protection locked="0"/>
    </xf>
    <xf numFmtId="0" fontId="20" fillId="10" borderId="141" xfId="0" applyFont="1" applyFill="1" applyBorder="1" applyAlignment="1">
      <alignment horizontal="center" vertical="center"/>
    </xf>
    <xf numFmtId="0" fontId="20" fillId="10" borderId="142" xfId="0" applyFont="1" applyFill="1" applyBorder="1" applyAlignment="1" applyProtection="1">
      <alignment horizontal="center" vertical="center"/>
      <protection locked="0"/>
    </xf>
    <xf numFmtId="0" fontId="21" fillId="0" borderId="46" xfId="0" applyFont="1" applyBorder="1" applyAlignment="1">
      <alignment horizontal="center" vertical="center"/>
    </xf>
    <xf numFmtId="0" fontId="20" fillId="10" borderId="55" xfId="0" applyFont="1" applyFill="1" applyBorder="1" applyAlignment="1">
      <alignment horizontal="center" vertical="center"/>
    </xf>
    <xf numFmtId="0" fontId="21" fillId="10" borderId="186" xfId="0" applyFont="1" applyFill="1" applyBorder="1" applyAlignment="1" applyProtection="1">
      <alignment horizontal="center" vertical="center"/>
      <protection locked="0"/>
    </xf>
    <xf numFmtId="0" fontId="21" fillId="0" borderId="109" xfId="0" applyFont="1" applyBorder="1" applyAlignment="1">
      <alignment horizontal="center" vertical="center"/>
    </xf>
    <xf numFmtId="0" fontId="20" fillId="0" borderId="200" xfId="0" applyFont="1" applyBorder="1" applyAlignment="1">
      <alignment horizontal="left" vertical="center"/>
    </xf>
    <xf numFmtId="0" fontId="20" fillId="0" borderId="113" xfId="0" applyFont="1" applyBorder="1" applyAlignment="1">
      <alignment horizontal="left" vertical="center"/>
    </xf>
    <xf numFmtId="0" fontId="20" fillId="10" borderId="200" xfId="0" applyFont="1" applyFill="1" applyBorder="1" applyAlignment="1" applyProtection="1">
      <alignment horizontal="center" vertical="center"/>
      <protection locked="0"/>
    </xf>
    <xf numFmtId="0" fontId="20" fillId="10" borderId="119" xfId="0" applyFont="1" applyFill="1" applyBorder="1" applyAlignment="1">
      <alignment horizontal="center" vertical="center"/>
    </xf>
    <xf numFmtId="0" fontId="20" fillId="10" borderId="201" xfId="0" applyFont="1" applyFill="1" applyBorder="1" applyAlignment="1" applyProtection="1">
      <alignment horizontal="center" vertical="center"/>
      <protection locked="0"/>
    </xf>
    <xf numFmtId="164" fontId="6" fillId="0" borderId="139" xfId="0" applyNumberFormat="1" applyFont="1" applyBorder="1" applyAlignment="1">
      <alignment vertical="center" shrinkToFit="1"/>
    </xf>
    <xf numFmtId="0" fontId="6" fillId="0" borderId="138" xfId="0" applyFont="1" applyBorder="1" applyAlignment="1">
      <alignment horizontal="left" vertical="center" shrinkToFit="1"/>
    </xf>
    <xf numFmtId="164" fontId="6" fillId="0" borderId="42" xfId="0" applyNumberFormat="1" applyFont="1" applyBorder="1" applyAlignment="1">
      <alignment vertical="center" shrinkToFit="1"/>
    </xf>
    <xf numFmtId="0" fontId="6" fillId="0" borderId="44" xfId="0" applyFont="1" applyBorder="1" applyAlignment="1">
      <alignment horizontal="left" vertical="center" shrinkToFit="1"/>
    </xf>
    <xf numFmtId="164" fontId="6" fillId="0" borderId="45" xfId="0" applyNumberFormat="1" applyFont="1" applyBorder="1" applyAlignment="1">
      <alignment vertical="center" shrinkToFit="1"/>
    </xf>
    <xf numFmtId="0" fontId="6" fillId="0" borderId="47" xfId="0" applyFont="1" applyBorder="1" applyAlignment="1">
      <alignment horizontal="left" vertical="center" shrinkToFit="1"/>
    </xf>
    <xf numFmtId="0" fontId="21" fillId="0" borderId="39"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02" xfId="0" applyNumberFormat="1" applyFont="1" applyBorder="1" applyAlignment="1">
      <alignment horizontal="center" vertical="center"/>
    </xf>
    <xf numFmtId="0" fontId="21" fillId="0" borderId="143" xfId="0" applyNumberFormat="1" applyFont="1" applyBorder="1" applyAlignment="1">
      <alignment horizontal="center" vertical="center"/>
    </xf>
    <xf numFmtId="0" fontId="21" fillId="0" borderId="194" xfId="0" applyNumberFormat="1" applyFont="1" applyBorder="1" applyAlignment="1">
      <alignment horizontal="center" vertical="center"/>
    </xf>
    <xf numFmtId="167" fontId="21" fillId="0" borderId="109" xfId="0" applyNumberFormat="1" applyFont="1" applyBorder="1" applyAlignment="1">
      <alignment horizontal="center" vertical="center"/>
    </xf>
    <xf numFmtId="167" fontId="21" fillId="0" borderId="43" xfId="0" applyNumberFormat="1" applyFont="1" applyBorder="1" applyAlignment="1">
      <alignment horizontal="center" vertical="center"/>
    </xf>
    <xf numFmtId="167" fontId="21" fillId="0" borderId="46" xfId="0" applyNumberFormat="1" applyFont="1" applyBorder="1" applyAlignment="1">
      <alignment horizontal="center" vertical="center"/>
    </xf>
    <xf numFmtId="0" fontId="21" fillId="0" borderId="140" xfId="0" applyNumberFormat="1" applyFont="1" applyBorder="1" applyAlignment="1">
      <alignment horizontal="center" vertical="center"/>
    </xf>
    <xf numFmtId="167" fontId="21" fillId="0" borderId="197" xfId="0" applyNumberFormat="1" applyFont="1" applyBorder="1" applyAlignment="1">
      <alignment horizontal="center" vertical="center"/>
    </xf>
    <xf numFmtId="0" fontId="14" fillId="9" borderId="149" xfId="0" applyFont="1" applyFill="1" applyBorder="1" applyAlignment="1">
      <alignment horizontal="center" vertical="center"/>
    </xf>
    <xf numFmtId="0" fontId="18" fillId="0" borderId="0" xfId="0" applyFont="1" applyFill="1" applyBorder="1" applyProtection="1"/>
    <xf numFmtId="0" fontId="0" fillId="0" borderId="0" xfId="0" applyFill="1" applyBorder="1"/>
    <xf numFmtId="0" fontId="18" fillId="0" borderId="0" xfId="0" applyFont="1" applyFill="1" applyBorder="1" applyAlignment="1" applyProtection="1">
      <alignment horizontal="center" vertical="center"/>
    </xf>
    <xf numFmtId="165" fontId="20" fillId="0" borderId="0" xfId="0" applyNumberFormat="1" applyFont="1" applyBorder="1" applyAlignment="1">
      <alignment horizontal="left" vertical="center"/>
    </xf>
    <xf numFmtId="0" fontId="0" fillId="0" borderId="206" xfId="0" applyBorder="1" applyAlignment="1">
      <alignment horizontal="center" vertical="center"/>
    </xf>
    <xf numFmtId="0" fontId="0" fillId="0" borderId="207" xfId="0" applyBorder="1" applyAlignment="1">
      <alignment horizontal="center" vertical="center"/>
    </xf>
    <xf numFmtId="0" fontId="0" fillId="0" borderId="208" xfId="0" applyBorder="1" applyAlignment="1">
      <alignment horizontal="center" vertical="center"/>
    </xf>
    <xf numFmtId="0" fontId="0" fillId="0" borderId="209" xfId="0" applyBorder="1" applyAlignment="1">
      <alignment horizontal="center" vertical="center"/>
    </xf>
    <xf numFmtId="0" fontId="0" fillId="0" borderId="212"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14" fillId="9" borderId="52" xfId="0" applyFont="1" applyFill="1" applyBorder="1" applyAlignment="1">
      <alignment horizontal="center" vertical="center" shrinkToFit="1"/>
    </xf>
    <xf numFmtId="0" fontId="41" fillId="0" borderId="70" xfId="0" applyNumberFormat="1" applyFont="1" applyFill="1" applyBorder="1" applyAlignment="1" applyProtection="1">
      <alignment horizontal="center" vertical="center"/>
      <protection hidden="1"/>
    </xf>
    <xf numFmtId="0" fontId="6" fillId="0" borderId="43" xfId="0" applyFont="1" applyFill="1" applyBorder="1" applyAlignment="1">
      <alignment horizontal="center" vertical="center" shrinkToFit="1"/>
    </xf>
    <xf numFmtId="0" fontId="18" fillId="0" borderId="0" xfId="0" applyFont="1" applyAlignment="1">
      <alignment horizontal="center" vertical="top"/>
    </xf>
    <xf numFmtId="0" fontId="21" fillId="10" borderId="186" xfId="0" applyFont="1" applyFill="1" applyBorder="1" applyAlignment="1" applyProtection="1">
      <alignment horizontal="center"/>
      <protection locked="0"/>
    </xf>
    <xf numFmtId="49" fontId="24" fillId="0" borderId="45" xfId="0" applyNumberFormat="1" applyFont="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vertical="center"/>
    </xf>
    <xf numFmtId="0" fontId="19" fillId="0" borderId="0" xfId="0" applyFont="1" applyFill="1" applyBorder="1" applyAlignment="1">
      <alignment vertical="center"/>
    </xf>
    <xf numFmtId="0" fontId="41" fillId="0" borderId="70" xfId="0" applyNumberFormat="1" applyFont="1" applyFill="1" applyBorder="1" applyAlignment="1" applyProtection="1">
      <alignment horizontal="center" vertical="center"/>
      <protection hidden="1"/>
    </xf>
    <xf numFmtId="165" fontId="28" fillId="0" borderId="0" xfId="0" applyNumberFormat="1" applyFont="1" applyBorder="1" applyAlignment="1">
      <alignment wrapText="1"/>
    </xf>
    <xf numFmtId="0" fontId="30" fillId="9" borderId="149" xfId="0" applyFont="1" applyFill="1" applyBorder="1" applyAlignment="1">
      <alignment horizontal="center" vertical="center"/>
    </xf>
    <xf numFmtId="0" fontId="30" fillId="9" borderId="112" xfId="0" applyFont="1" applyFill="1" applyBorder="1" applyAlignment="1">
      <alignment horizontal="center" vertical="center"/>
    </xf>
    <xf numFmtId="0" fontId="21" fillId="17" borderId="200" xfId="0" applyFont="1" applyFill="1" applyBorder="1" applyAlignment="1" applyProtection="1">
      <alignment horizontal="right" vertical="center"/>
    </xf>
    <xf numFmtId="0" fontId="21" fillId="17" borderId="119" xfId="0" applyFont="1" applyFill="1" applyBorder="1" applyAlignment="1" applyProtection="1">
      <alignment horizontal="center" vertical="center"/>
    </xf>
    <xf numFmtId="0" fontId="21" fillId="17" borderId="113" xfId="0" applyFont="1" applyFill="1" applyBorder="1" applyAlignment="1" applyProtection="1">
      <alignment horizontal="left" vertical="center"/>
    </xf>
    <xf numFmtId="0" fontId="21" fillId="17" borderId="49" xfId="0" applyFont="1" applyFill="1" applyBorder="1" applyAlignment="1" applyProtection="1">
      <alignment horizontal="right" vertical="center"/>
    </xf>
    <xf numFmtId="0" fontId="21" fillId="17" borderId="54" xfId="0" applyFont="1" applyFill="1" applyBorder="1" applyAlignment="1" applyProtection="1">
      <alignment horizontal="center" vertical="center"/>
    </xf>
    <xf numFmtId="0" fontId="21" fillId="17" borderId="48" xfId="0" applyFont="1" applyFill="1" applyBorder="1" applyAlignment="1" applyProtection="1">
      <alignment horizontal="left" vertical="center"/>
    </xf>
    <xf numFmtId="0" fontId="21" fillId="17" borderId="51" xfId="0" applyFont="1" applyFill="1" applyBorder="1" applyAlignment="1" applyProtection="1">
      <alignment horizontal="right" vertical="center"/>
    </xf>
    <xf numFmtId="0" fontId="21" fillId="17" borderId="55" xfId="0" applyFont="1" applyFill="1" applyBorder="1" applyAlignment="1" applyProtection="1">
      <alignment horizontal="center" vertical="center"/>
    </xf>
    <xf numFmtId="0" fontId="21" fillId="17" borderId="50" xfId="0" applyFont="1" applyFill="1" applyBorder="1" applyAlignment="1" applyProtection="1">
      <alignment horizontal="left" vertical="center"/>
    </xf>
    <xf numFmtId="0" fontId="20" fillId="10" borderId="145" xfId="0" applyFont="1" applyFill="1" applyBorder="1" applyAlignment="1" applyProtection="1">
      <alignment horizontal="right" vertical="center"/>
      <protection locked="0"/>
    </xf>
    <xf numFmtId="0" fontId="20" fillId="10" borderId="49" xfId="0" applyFont="1" applyFill="1" applyBorder="1" applyAlignment="1" applyProtection="1">
      <alignment horizontal="right" vertical="center"/>
      <protection locked="0"/>
    </xf>
    <xf numFmtId="0" fontId="20" fillId="10" borderId="54" xfId="0" applyFont="1" applyFill="1" applyBorder="1" applyAlignment="1">
      <alignment horizontal="center" vertical="center"/>
    </xf>
    <xf numFmtId="0" fontId="20" fillId="10" borderId="51" xfId="0" applyFont="1" applyFill="1" applyBorder="1" applyAlignment="1" applyProtection="1">
      <alignment horizontal="right" vertical="center"/>
      <protection locked="0"/>
    </xf>
    <xf numFmtId="0" fontId="21" fillId="15" borderId="195" xfId="0" applyFont="1" applyFill="1" applyBorder="1" applyAlignment="1" applyProtection="1"/>
    <xf numFmtId="0" fontId="21" fillId="15" borderId="148" xfId="0" applyFont="1" applyFill="1" applyBorder="1" applyAlignment="1" applyProtection="1"/>
    <xf numFmtId="0" fontId="14" fillId="9" borderId="149" xfId="0" applyFont="1" applyFill="1" applyBorder="1" applyAlignment="1">
      <alignment horizontal="center" vertical="center" shrinkToFit="1"/>
    </xf>
    <xf numFmtId="0" fontId="14" fillId="9" borderId="110" xfId="0" applyFont="1" applyFill="1" applyBorder="1" applyAlignment="1">
      <alignment vertical="center" shrinkToFit="1"/>
    </xf>
    <xf numFmtId="0" fontId="14" fillId="9" borderId="132" xfId="0" applyFont="1" applyFill="1" applyBorder="1" applyAlignment="1">
      <alignment horizontal="center" vertical="center" shrinkToFit="1"/>
    </xf>
    <xf numFmtId="164" fontId="15" fillId="0" borderId="56" xfId="0" applyNumberFormat="1" applyFont="1" applyBorder="1" applyAlignment="1">
      <alignment horizontal="center" vertical="center" shrinkToFit="1"/>
    </xf>
    <xf numFmtId="0" fontId="6" fillId="0" borderId="227" xfId="0" applyFont="1" applyBorder="1" applyAlignment="1">
      <alignment horizontal="left" vertical="center" shrinkToFit="1"/>
    </xf>
    <xf numFmtId="0" fontId="6" fillId="10" borderId="57" xfId="0" applyFont="1" applyFill="1" applyBorder="1" applyAlignment="1" applyProtection="1">
      <alignment horizontal="center" vertical="center"/>
      <protection locked="0"/>
    </xf>
    <xf numFmtId="164" fontId="15" fillId="0" borderId="42" xfId="0" applyNumberFormat="1" applyFont="1" applyBorder="1" applyAlignment="1">
      <alignment horizontal="center" vertical="center" shrinkToFit="1"/>
    </xf>
    <xf numFmtId="0" fontId="6" fillId="0" borderId="43" xfId="0" applyFont="1" applyBorder="1" applyAlignment="1">
      <alignment horizontal="left" vertical="center" shrinkToFit="1"/>
    </xf>
    <xf numFmtId="0" fontId="6" fillId="10" borderId="44" xfId="0" applyFont="1" applyFill="1" applyBorder="1" applyAlignment="1" applyProtection="1">
      <alignment horizontal="center" vertical="center"/>
      <protection locked="0"/>
    </xf>
    <xf numFmtId="164" fontId="15" fillId="0" borderId="45" xfId="0" applyNumberFormat="1" applyFont="1" applyBorder="1" applyAlignment="1">
      <alignment horizontal="center" vertical="center" shrinkToFit="1"/>
    </xf>
    <xf numFmtId="0" fontId="6" fillId="0" borderId="46" xfId="0" applyFont="1" applyBorder="1" applyAlignment="1">
      <alignment horizontal="left" vertical="center" shrinkToFit="1"/>
    </xf>
    <xf numFmtId="0" fontId="6" fillId="10" borderId="47" xfId="0" applyFont="1" applyFill="1" applyBorder="1" applyAlignment="1" applyProtection="1">
      <alignment horizontal="center" vertical="center"/>
      <protection locked="0"/>
    </xf>
    <xf numFmtId="49" fontId="24" fillId="0" borderId="42" xfId="0" applyNumberFormat="1" applyFont="1" applyBorder="1" applyAlignment="1">
      <alignment horizontal="center" vertical="center"/>
    </xf>
    <xf numFmtId="0" fontId="19" fillId="9" borderId="149" xfId="0" applyFont="1" applyFill="1" applyBorder="1" applyAlignment="1">
      <alignment vertical="center"/>
    </xf>
    <xf numFmtId="0" fontId="20" fillId="0" borderId="200" xfId="0" applyFont="1" applyBorder="1" applyAlignment="1">
      <alignment horizontal="left" vertical="center" shrinkToFit="1"/>
    </xf>
    <xf numFmtId="0" fontId="20" fillId="0" borderId="119" xfId="0" applyFont="1" applyBorder="1" applyAlignment="1">
      <alignment horizontal="center" vertical="center" shrinkToFit="1"/>
    </xf>
    <xf numFmtId="0" fontId="20" fillId="0" borderId="0" xfId="0" applyFont="1" applyFill="1" applyBorder="1" applyAlignment="1" applyProtection="1">
      <alignment vertical="center" shrinkToFit="1"/>
    </xf>
    <xf numFmtId="0" fontId="18" fillId="0" borderId="0" xfId="0" applyFont="1" applyAlignment="1">
      <alignment shrinkToFit="1"/>
    </xf>
    <xf numFmtId="0" fontId="38" fillId="0" borderId="0" xfId="0" applyFont="1" applyAlignment="1">
      <alignment horizontal="center"/>
    </xf>
    <xf numFmtId="0" fontId="21" fillId="0" borderId="0" xfId="0" applyFont="1" applyFill="1" applyBorder="1" applyAlignment="1" applyProtection="1">
      <alignment vertical="center"/>
    </xf>
    <xf numFmtId="0" fontId="21" fillId="0" borderId="0" xfId="0" applyFont="1" applyFill="1" applyBorder="1" applyProtection="1"/>
    <xf numFmtId="0" fontId="4" fillId="0" borderId="0" xfId="0" applyFont="1" applyBorder="1"/>
    <xf numFmtId="0" fontId="0" fillId="0" borderId="0" xfId="0" applyAlignment="1">
      <alignment horizontal="center" vertical="center"/>
    </xf>
    <xf numFmtId="0" fontId="4" fillId="0" borderId="0" xfId="0" applyFont="1" applyAlignment="1">
      <alignment horizontal="center" vertical="center"/>
    </xf>
    <xf numFmtId="0" fontId="14" fillId="9" borderId="52" xfId="0" applyFont="1" applyFill="1" applyBorder="1" applyAlignment="1">
      <alignment horizontal="center" vertical="center" shrinkToFit="1"/>
    </xf>
    <xf numFmtId="0" fontId="41" fillId="0" borderId="70" xfId="0" applyNumberFormat="1" applyFont="1" applyFill="1" applyBorder="1" applyAlignment="1" applyProtection="1">
      <alignment horizontal="center" vertical="center"/>
      <protection hidden="1"/>
    </xf>
    <xf numFmtId="0" fontId="4" fillId="0" borderId="0" xfId="0" applyFont="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0" fontId="51" fillId="0" borderId="228" xfId="0" applyFont="1" applyBorder="1" applyAlignment="1">
      <alignment horizontal="center" vertical="center"/>
    </xf>
    <xf numFmtId="0" fontId="65" fillId="0" borderId="0" xfId="0" applyFont="1" applyFill="1" applyBorder="1" applyAlignment="1">
      <alignment horizontal="center" vertical="center"/>
    </xf>
    <xf numFmtId="0" fontId="67" fillId="0" borderId="0" xfId="0" applyFont="1" applyFill="1" applyBorder="1"/>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8" fillId="0" borderId="0" xfId="0" applyFont="1" applyAlignment="1">
      <alignment horizontal="center" vertical="center" wrapText="1"/>
    </xf>
    <xf numFmtId="0" fontId="21" fillId="0" borderId="70" xfId="0" applyFont="1" applyBorder="1" applyAlignment="1">
      <alignment horizontal="center" vertical="center"/>
    </xf>
    <xf numFmtId="0" fontId="21" fillId="0" borderId="0" xfId="0" applyFont="1" applyAlignment="1">
      <alignment horizontal="center"/>
    </xf>
    <xf numFmtId="0" fontId="4" fillId="0" borderId="229" xfId="0" applyFont="1" applyFill="1" applyBorder="1" applyAlignment="1">
      <alignment horizontal="left" vertical="center" indent="1"/>
    </xf>
    <xf numFmtId="0" fontId="0" fillId="0" borderId="0" xfId="0" applyAlignment="1">
      <alignment horizontal="left" indent="1"/>
    </xf>
    <xf numFmtId="0" fontId="18" fillId="0" borderId="0" xfId="0" applyFont="1" applyFill="1"/>
    <xf numFmtId="0" fontId="14" fillId="0" borderId="0" xfId="0" applyFont="1" applyFill="1" applyBorder="1" applyAlignment="1">
      <alignment horizontal="center" vertical="center" shrinkToFit="1"/>
    </xf>
    <xf numFmtId="0" fontId="18" fillId="0" borderId="0" xfId="0" applyFont="1" applyFill="1" applyBorder="1" applyAlignment="1">
      <alignment wrapText="1"/>
    </xf>
    <xf numFmtId="0" fontId="54" fillId="0" borderId="0" xfId="0" applyFont="1" applyFill="1" applyBorder="1" applyAlignment="1"/>
    <xf numFmtId="0" fontId="19" fillId="9" borderId="132" xfId="0" applyFont="1" applyFill="1" applyBorder="1" applyAlignment="1">
      <alignment vertical="center" shrinkToFit="1"/>
    </xf>
    <xf numFmtId="0" fontId="20" fillId="0" borderId="57" xfId="0" applyFont="1" applyFill="1" applyBorder="1" applyAlignment="1" applyProtection="1">
      <alignment vertical="center" shrinkToFit="1"/>
    </xf>
    <xf numFmtId="0" fontId="20" fillId="0" borderId="44" xfId="0" applyFont="1" applyFill="1" applyBorder="1" applyAlignment="1" applyProtection="1">
      <alignment vertical="center" shrinkToFit="1"/>
    </xf>
    <xf numFmtId="0" fontId="20" fillId="0" borderId="47" xfId="0" applyFont="1" applyFill="1" applyBorder="1" applyAlignment="1" applyProtection="1">
      <alignmen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center" vertical="center" shrinkToFit="1"/>
    </xf>
    <xf numFmtId="0" fontId="20" fillId="0" borderId="0" xfId="0" applyFont="1" applyFill="1" applyBorder="1" applyAlignment="1" applyProtection="1">
      <alignment horizontal="right" vertical="center"/>
    </xf>
    <xf numFmtId="0" fontId="20" fillId="0" borderId="0" xfId="0" applyFont="1" applyFill="1" applyBorder="1" applyAlignment="1" applyProtection="1">
      <alignment horizontal="left" vertical="center"/>
    </xf>
    <xf numFmtId="0" fontId="21" fillId="0" borderId="0" xfId="0" applyFont="1" applyFill="1" applyBorder="1" applyAlignment="1" applyProtection="1">
      <alignment horizontal="center"/>
    </xf>
    <xf numFmtId="167" fontId="23" fillId="0" borderId="197" xfId="0" applyNumberFormat="1" applyFont="1" applyBorder="1" applyAlignment="1">
      <alignment horizontal="center" vertical="center"/>
    </xf>
    <xf numFmtId="0" fontId="23" fillId="0" borderId="197" xfId="0" applyNumberFormat="1" applyFont="1" applyBorder="1" applyAlignment="1">
      <alignment horizontal="center" vertical="center"/>
    </xf>
    <xf numFmtId="0" fontId="21" fillId="17" borderId="198" xfId="0" applyFont="1" applyFill="1" applyBorder="1" applyAlignment="1" applyProtection="1">
      <alignment horizontal="right" vertical="center"/>
    </xf>
    <xf numFmtId="0" fontId="21" fillId="17" borderId="141" xfId="0" applyFont="1" applyFill="1" applyBorder="1" applyAlignment="1" applyProtection="1">
      <alignment horizontal="center" vertical="center"/>
    </xf>
    <xf numFmtId="0" fontId="21" fillId="17" borderId="199" xfId="0" applyFont="1" applyFill="1" applyBorder="1" applyAlignment="1" applyProtection="1">
      <alignment horizontal="left" vertical="center"/>
    </xf>
    <xf numFmtId="0" fontId="20" fillId="0" borderId="198" xfId="0" applyFont="1" applyBorder="1" applyAlignment="1">
      <alignment horizontal="left" vertical="center" shrinkToFit="1"/>
    </xf>
    <xf numFmtId="0" fontId="20" fillId="0" borderId="141" xfId="0" applyFont="1" applyBorder="1" applyAlignment="1">
      <alignment horizontal="center" vertical="center" shrinkToFit="1"/>
    </xf>
    <xf numFmtId="0" fontId="20" fillId="0" borderId="141" xfId="0" applyFont="1" applyBorder="1" applyAlignment="1">
      <alignment horizontal="left" vertical="center" shrinkToFit="1"/>
    </xf>
    <xf numFmtId="0" fontId="20" fillId="10" borderId="198" xfId="0" applyFont="1" applyFill="1" applyBorder="1" applyAlignment="1" applyProtection="1">
      <alignment horizontal="right" vertical="center"/>
      <protection locked="0"/>
    </xf>
    <xf numFmtId="164" fontId="23" fillId="0" borderId="0" xfId="0" applyNumberFormat="1" applyFont="1" applyFill="1" applyBorder="1" applyAlignment="1">
      <alignment horizontal="center" vertical="center"/>
    </xf>
    <xf numFmtId="0" fontId="21" fillId="10" borderId="230" xfId="0" applyFont="1" applyFill="1" applyBorder="1" applyAlignment="1" applyProtection="1">
      <alignment horizontal="center"/>
      <protection locked="0"/>
    </xf>
    <xf numFmtId="0" fontId="23" fillId="0" borderId="232" xfId="0" applyNumberFormat="1" applyFont="1" applyBorder="1" applyAlignment="1">
      <alignment horizontal="center" vertical="center"/>
    </xf>
    <xf numFmtId="0" fontId="21" fillId="17" borderId="233" xfId="0" applyFont="1" applyFill="1" applyBorder="1" applyAlignment="1" applyProtection="1">
      <alignment horizontal="right" vertical="center"/>
    </xf>
    <xf numFmtId="0" fontId="21" fillId="17" borderId="234" xfId="0" applyFont="1" applyFill="1" applyBorder="1" applyAlignment="1" applyProtection="1">
      <alignment horizontal="center" vertical="center"/>
    </xf>
    <xf numFmtId="0" fontId="21" fillId="17" borderId="235" xfId="0" applyFont="1" applyFill="1" applyBorder="1" applyAlignment="1" applyProtection="1">
      <alignment horizontal="left" vertical="center"/>
    </xf>
    <xf numFmtId="0" fontId="20" fillId="0" borderId="233" xfId="0" applyFont="1" applyBorder="1" applyAlignment="1">
      <alignment horizontal="left" vertical="center" shrinkToFit="1"/>
    </xf>
    <xf numFmtId="0" fontId="20" fillId="0" borderId="234" xfId="0" applyFont="1" applyBorder="1" applyAlignment="1">
      <alignment horizontal="center" vertical="center" shrinkToFit="1"/>
    </xf>
    <xf numFmtId="0" fontId="20" fillId="0" borderId="234" xfId="0" applyFont="1" applyBorder="1" applyAlignment="1">
      <alignment horizontal="left" vertical="center" shrinkToFit="1"/>
    </xf>
    <xf numFmtId="0" fontId="20" fillId="10" borderId="233" xfId="0" applyFont="1" applyFill="1" applyBorder="1" applyAlignment="1" applyProtection="1">
      <alignment horizontal="right" vertical="center"/>
      <protection locked="0"/>
    </xf>
    <xf numFmtId="0" fontId="20" fillId="10" borderId="234" xfId="0" applyFont="1" applyFill="1" applyBorder="1" applyAlignment="1">
      <alignment horizontal="center" vertical="center"/>
    </xf>
    <xf numFmtId="0" fontId="15" fillId="0" borderId="0" xfId="0" applyFont="1" applyBorder="1" applyAlignment="1">
      <alignment vertical="center"/>
    </xf>
    <xf numFmtId="49" fontId="24" fillId="0" borderId="0" xfId="0" applyNumberFormat="1" applyFont="1" applyFill="1" applyBorder="1" applyAlignment="1">
      <alignment horizontal="center" vertical="center"/>
    </xf>
    <xf numFmtId="0" fontId="20" fillId="0" borderId="51" xfId="0" applyFont="1" applyBorder="1" applyAlignment="1">
      <alignment horizontal="left" vertical="center" shrinkToFit="1"/>
    </xf>
    <xf numFmtId="0" fontId="20" fillId="0" borderId="55" xfId="0" applyFont="1" applyBorder="1" applyAlignment="1">
      <alignment horizontal="center" vertical="center" shrinkToFit="1"/>
    </xf>
    <xf numFmtId="0" fontId="20" fillId="0" borderId="55" xfId="0" applyFont="1" applyBorder="1" applyAlignment="1">
      <alignment horizontal="left" vertical="center" shrinkToFit="1"/>
    </xf>
    <xf numFmtId="0" fontId="18" fillId="0" borderId="0" xfId="0" applyFont="1" applyFill="1" applyAlignment="1">
      <alignment horizontal="center" vertical="center" wrapText="1"/>
    </xf>
    <xf numFmtId="0" fontId="18" fillId="0" borderId="0" xfId="0" applyFont="1" applyAlignment="1">
      <alignment vertical="center" wrapText="1"/>
    </xf>
    <xf numFmtId="0" fontId="20" fillId="10" borderId="147" xfId="0" applyFont="1" applyFill="1" applyBorder="1" applyAlignment="1" applyProtection="1">
      <alignment horizontal="left" vertical="center"/>
      <protection locked="0"/>
    </xf>
    <xf numFmtId="0" fontId="20" fillId="10" borderId="48" xfId="0" applyFont="1" applyFill="1" applyBorder="1" applyAlignment="1" applyProtection="1">
      <alignment horizontal="left" vertical="center"/>
      <protection locked="0"/>
    </xf>
    <xf numFmtId="0" fontId="20" fillId="10" borderId="50" xfId="0" applyFont="1" applyFill="1" applyBorder="1" applyAlignment="1" applyProtection="1">
      <alignment horizontal="left" vertical="center"/>
      <protection locked="0"/>
    </xf>
    <xf numFmtId="0" fontId="20" fillId="0" borderId="113" xfId="0" applyFont="1" applyBorder="1" applyAlignment="1">
      <alignment horizontal="left" vertical="center" shrinkToFit="1"/>
    </xf>
    <xf numFmtId="0" fontId="20" fillId="0" borderId="49" xfId="0" applyFont="1" applyBorder="1" applyAlignment="1">
      <alignment horizontal="left" vertical="center" shrinkToFit="1"/>
    </xf>
    <xf numFmtId="0" fontId="20" fillId="0" borderId="54" xfId="0" applyFont="1" applyBorder="1" applyAlignment="1">
      <alignment horizontal="center" vertical="center" shrinkToFit="1"/>
    </xf>
    <xf numFmtId="0" fontId="20" fillId="0" borderId="48" xfId="0" applyFont="1" applyBorder="1" applyAlignment="1">
      <alignment horizontal="left" vertical="center" shrinkToFit="1"/>
    </xf>
    <xf numFmtId="0" fontId="20" fillId="0" borderId="50" xfId="0" applyFont="1" applyBorder="1" applyAlignment="1">
      <alignment horizontal="left" vertical="center" shrinkToFit="1"/>
    </xf>
    <xf numFmtId="0" fontId="20" fillId="10" borderId="199" xfId="0" applyFont="1" applyFill="1" applyBorder="1" applyAlignment="1" applyProtection="1">
      <alignment horizontal="left" vertical="center"/>
      <protection locked="0"/>
    </xf>
    <xf numFmtId="0" fontId="20" fillId="10" borderId="235" xfId="0" applyFont="1" applyFill="1" applyBorder="1" applyAlignment="1" applyProtection="1">
      <alignment horizontal="left" vertical="center"/>
      <protection locked="0"/>
    </xf>
    <xf numFmtId="0" fontId="20" fillId="10" borderId="233" xfId="0" applyFont="1" applyFill="1" applyBorder="1" applyAlignment="1" applyProtection="1">
      <alignment horizontal="center" vertical="center"/>
      <protection locked="0"/>
    </xf>
    <xf numFmtId="0" fontId="18" fillId="0" borderId="0" xfId="0" applyFont="1" applyAlignment="1">
      <alignment horizontal="center" vertical="center"/>
    </xf>
    <xf numFmtId="165" fontId="20" fillId="0" borderId="0" xfId="0" applyNumberFormat="1" applyFont="1" applyFill="1" applyBorder="1" applyAlignment="1" applyProtection="1">
      <alignment horizontal="left" vertical="center" shrinkToFit="1"/>
    </xf>
    <xf numFmtId="0" fontId="21" fillId="0" borderId="70" xfId="0" applyFont="1" applyFill="1" applyBorder="1" applyAlignment="1">
      <alignment vertical="center"/>
    </xf>
    <xf numFmtId="165" fontId="21" fillId="0" borderId="70" xfId="0" applyNumberFormat="1" applyFont="1" applyFill="1" applyBorder="1" applyAlignment="1">
      <alignment vertical="center"/>
    </xf>
    <xf numFmtId="0" fontId="23" fillId="0" borderId="216" xfId="0" applyNumberFormat="1" applyFont="1" applyBorder="1" applyAlignment="1">
      <alignment horizontal="center" vertical="center"/>
    </xf>
    <xf numFmtId="0" fontId="23" fillId="0" borderId="42" xfId="0" applyNumberFormat="1" applyFont="1" applyBorder="1" applyAlignment="1">
      <alignment horizontal="center" vertical="center"/>
    </xf>
    <xf numFmtId="0" fontId="23" fillId="0" borderId="45" xfId="0" applyNumberFormat="1" applyFont="1" applyBorder="1" applyAlignment="1">
      <alignment horizontal="center" vertical="center"/>
    </xf>
    <xf numFmtId="0" fontId="23" fillId="0" borderId="231" xfId="0" applyNumberFormat="1" applyFont="1" applyBorder="1" applyAlignment="1">
      <alignment horizontal="center" vertical="center"/>
    </xf>
    <xf numFmtId="0" fontId="23" fillId="0" borderId="60" xfId="0" applyNumberFormat="1" applyFont="1" applyBorder="1" applyAlignment="1">
      <alignment horizontal="center" vertic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23" fillId="0" borderId="56" xfId="0" applyNumberFormat="1" applyFont="1" applyBorder="1" applyAlignment="1">
      <alignment horizontal="center" vertical="center"/>
    </xf>
    <xf numFmtId="167" fontId="23" fillId="0" borderId="232" xfId="0" applyNumberFormat="1" applyFont="1" applyBorder="1" applyAlignment="1">
      <alignment horizontal="center" vertical="center"/>
    </xf>
    <xf numFmtId="0" fontId="20" fillId="10" borderId="236" xfId="0" applyFont="1" applyFill="1" applyBorder="1" applyAlignment="1" applyProtection="1">
      <alignment horizontal="center" vertical="center"/>
      <protection locked="0"/>
    </xf>
    <xf numFmtId="0" fontId="20" fillId="0" borderId="0" xfId="0" applyNumberFormat="1" applyFont="1" applyBorder="1" applyAlignment="1">
      <alignment horizontal="left" vertical="center"/>
    </xf>
    <xf numFmtId="0" fontId="21" fillId="0" borderId="0" xfId="0" applyFont="1" applyFill="1" applyBorder="1" applyAlignment="1">
      <alignment horizontal="left" vertical="center" indent="1"/>
    </xf>
    <xf numFmtId="167" fontId="21" fillId="0" borderId="0" xfId="0" applyNumberFormat="1" applyFont="1" applyFill="1" applyBorder="1" applyAlignment="1">
      <alignment horizontal="center" vertical="center"/>
    </xf>
    <xf numFmtId="167" fontId="21" fillId="0" borderId="36" xfId="0" applyNumberFormat="1" applyFont="1" applyFill="1" applyBorder="1" applyAlignment="1">
      <alignment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58" fillId="0" borderId="0" xfId="0" applyFont="1" applyBorder="1" applyAlignment="1">
      <alignment vertical="center"/>
    </xf>
    <xf numFmtId="14" fontId="59" fillId="0" borderId="0" xfId="0" applyNumberFormat="1" applyFont="1" applyBorder="1" applyAlignment="1">
      <alignment vertical="center"/>
    </xf>
    <xf numFmtId="0" fontId="59" fillId="0" borderId="0" xfId="0" applyFont="1" applyBorder="1" applyAlignment="1">
      <alignment vertical="center"/>
    </xf>
    <xf numFmtId="0" fontId="60" fillId="0" borderId="0" xfId="0" applyFont="1" applyFill="1" applyBorder="1" applyAlignment="1">
      <alignment vertical="center"/>
    </xf>
    <xf numFmtId="0" fontId="68" fillId="0" borderId="237" xfId="0" applyNumberFormat="1" applyFont="1" applyBorder="1" applyAlignment="1">
      <alignment horizontal="center" vertical="center"/>
    </xf>
    <xf numFmtId="0" fontId="68" fillId="0" borderId="238" xfId="0" applyNumberFormat="1" applyFont="1" applyBorder="1" applyAlignment="1">
      <alignment horizontal="center" vertical="center"/>
    </xf>
    <xf numFmtId="0" fontId="68" fillId="0" borderId="239" xfId="0" applyNumberFormat="1" applyFont="1" applyBorder="1" applyAlignment="1">
      <alignment horizontal="center" vertical="center"/>
    </xf>
    <xf numFmtId="0" fontId="39" fillId="0" borderId="0" xfId="0" applyFont="1" applyFill="1" applyBorder="1" applyAlignment="1" applyProtection="1">
      <alignment vertical="center"/>
    </xf>
    <xf numFmtId="0" fontId="18" fillId="0" borderId="0" xfId="0" applyFont="1" applyFill="1" applyProtection="1"/>
    <xf numFmtId="0" fontId="18" fillId="0" borderId="0" xfId="0" applyFont="1" applyAlignment="1" applyProtection="1">
      <alignment horizontal="center"/>
    </xf>
    <xf numFmtId="0" fontId="20" fillId="0" borderId="0" xfId="0" applyFont="1" applyBorder="1" applyAlignment="1" applyProtection="1">
      <alignment horizontal="left" vertical="center"/>
    </xf>
    <xf numFmtId="0" fontId="4" fillId="0" borderId="203" xfId="0" applyFont="1" applyFill="1" applyBorder="1" applyAlignment="1" applyProtection="1">
      <alignment horizontal="center" vertical="center"/>
      <protection locked="0"/>
    </xf>
    <xf numFmtId="0" fontId="4" fillId="0" borderId="204" xfId="0" applyFont="1" applyFill="1" applyBorder="1" applyAlignment="1" applyProtection="1">
      <alignment horizontal="center" vertical="center"/>
      <protection locked="0"/>
    </xf>
    <xf numFmtId="0" fontId="4" fillId="0" borderId="210" xfId="0" applyFont="1" applyFill="1" applyBorder="1" applyAlignment="1" applyProtection="1">
      <alignment horizontal="center" vertical="center"/>
      <protection locked="0"/>
    </xf>
    <xf numFmtId="0" fontId="4" fillId="0" borderId="205" xfId="0" applyFont="1" applyFill="1" applyBorder="1" applyAlignment="1" applyProtection="1">
      <alignment horizontal="center" vertical="center"/>
      <protection locked="0"/>
    </xf>
    <xf numFmtId="0" fontId="4" fillId="0" borderId="43" xfId="0" applyFont="1" applyFill="1" applyBorder="1" applyAlignment="1" applyProtection="1">
      <alignment horizontal="center" vertical="center"/>
      <protection locked="0"/>
    </xf>
    <xf numFmtId="0" fontId="4" fillId="0" borderId="211" xfId="0" applyFont="1" applyFill="1" applyBorder="1" applyAlignment="1" applyProtection="1">
      <alignment horizontal="center" vertical="center"/>
      <protection locked="0"/>
    </xf>
    <xf numFmtId="0" fontId="4" fillId="0" borderId="213" xfId="0" applyFont="1" applyFill="1" applyBorder="1" applyAlignment="1" applyProtection="1">
      <alignment horizontal="center" vertical="center"/>
      <protection locked="0"/>
    </xf>
    <xf numFmtId="0" fontId="4" fillId="0" borderId="214" xfId="0" applyFont="1" applyFill="1" applyBorder="1" applyAlignment="1" applyProtection="1">
      <alignment horizontal="center" vertical="center"/>
      <protection locked="0"/>
    </xf>
    <xf numFmtId="0" fontId="4" fillId="0" borderId="215" xfId="0" applyFont="1" applyFill="1" applyBorder="1" applyAlignment="1" applyProtection="1">
      <alignment horizontal="center" vertical="center"/>
      <protection locked="0"/>
    </xf>
    <xf numFmtId="0" fontId="0" fillId="0" borderId="248" xfId="0" applyBorder="1"/>
    <xf numFmtId="0" fontId="0" fillId="0" borderId="248" xfId="0" applyBorder="1" applyAlignment="1">
      <alignment horizontal="center"/>
    </xf>
    <xf numFmtId="0" fontId="4" fillId="0" borderId="248" xfId="0" applyFont="1" applyBorder="1"/>
    <xf numFmtId="0" fontId="21" fillId="10" borderId="249" xfId="0" applyFont="1" applyFill="1" applyBorder="1" applyAlignment="1" applyProtection="1">
      <alignment horizontal="center"/>
      <protection locked="0"/>
    </xf>
    <xf numFmtId="0" fontId="0" fillId="0" borderId="250" xfId="0" applyBorder="1" applyAlignment="1">
      <alignment horizontal="center"/>
    </xf>
    <xf numFmtId="0" fontId="23" fillId="0" borderId="49" xfId="0" applyNumberFormat="1" applyFont="1" applyBorder="1" applyAlignment="1">
      <alignment horizontal="center" vertical="center"/>
    </xf>
    <xf numFmtId="165" fontId="18" fillId="0" borderId="0" xfId="0" applyNumberFormat="1" applyFont="1" applyAlignment="1">
      <alignment horizontal="right" indent="1"/>
    </xf>
    <xf numFmtId="0" fontId="21" fillId="0" borderId="38" xfId="0" applyFont="1" applyFill="1" applyBorder="1" applyAlignment="1" applyProtection="1">
      <alignment horizont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0" fillId="0" borderId="0" xfId="0" applyNumberFormat="1" applyAlignment="1">
      <alignment horizontal="center" vertical="center"/>
    </xf>
    <xf numFmtId="0" fontId="14" fillId="9" borderId="60" xfId="0" applyFont="1" applyFill="1" applyBorder="1" applyAlignment="1">
      <alignment horizontal="center" vertical="center"/>
    </xf>
    <xf numFmtId="0" fontId="14" fillId="9" borderId="53" xfId="0" applyFont="1" applyFill="1" applyBorder="1" applyAlignment="1">
      <alignment horizontal="center" vertical="center"/>
    </xf>
    <xf numFmtId="0" fontId="14" fillId="9" borderId="69" xfId="0" applyFont="1" applyFill="1" applyBorder="1" applyAlignment="1">
      <alignment horizontal="center" vertical="center"/>
    </xf>
    <xf numFmtId="0" fontId="68" fillId="0" borderId="0" xfId="0" applyNumberFormat="1" applyFont="1" applyFill="1" applyBorder="1" applyAlignment="1">
      <alignment horizontal="center" vertical="center"/>
    </xf>
    <xf numFmtId="167" fontId="24" fillId="0" borderId="70" xfId="0" applyNumberFormat="1" applyFont="1" applyBorder="1" applyAlignment="1">
      <alignment horizontal="left"/>
    </xf>
    <xf numFmtId="0" fontId="0" fillId="0" borderId="0" xfId="0" applyNumberFormat="1" applyAlignment="1">
      <alignment vertical="center"/>
    </xf>
    <xf numFmtId="0" fontId="18" fillId="0" borderId="36" xfId="0" applyFont="1" applyBorder="1"/>
    <xf numFmtId="0" fontId="18" fillId="0" borderId="0" xfId="0" applyFont="1" applyBorder="1"/>
    <xf numFmtId="0" fontId="21" fillId="15" borderId="68" xfId="0" applyFont="1" applyFill="1" applyBorder="1" applyAlignment="1" applyProtection="1"/>
    <xf numFmtId="0" fontId="18" fillId="15" borderId="224" xfId="0" applyFont="1" applyFill="1" applyBorder="1" applyAlignment="1" applyProtection="1">
      <alignment horizontal="left" vertical="center" indent="1" shrinkToFit="1"/>
    </xf>
    <xf numFmtId="0" fontId="18" fillId="15" borderId="143" xfId="0" applyFont="1" applyFill="1" applyBorder="1" applyAlignment="1" applyProtection="1">
      <alignment horizontal="left" vertical="center" indent="1" shrinkToFit="1"/>
    </xf>
    <xf numFmtId="0" fontId="18" fillId="15" borderId="194" xfId="0" applyFont="1" applyFill="1" applyBorder="1" applyAlignment="1" applyProtection="1">
      <alignment horizontal="left" vertical="center" indent="1" shrinkToFit="1"/>
    </xf>
    <xf numFmtId="167" fontId="50" fillId="15" borderId="146" xfId="0" applyNumberFormat="1" applyFont="1" applyFill="1" applyBorder="1" applyAlignment="1" applyProtection="1">
      <alignment horizontal="right" vertical="center" indent="1"/>
    </xf>
    <xf numFmtId="167" fontId="50" fillId="15" borderId="54" xfId="0" applyNumberFormat="1" applyFont="1" applyFill="1" applyBorder="1" applyAlignment="1" applyProtection="1">
      <alignment horizontal="right" vertical="center" indent="1"/>
    </xf>
    <xf numFmtId="167" fontId="50" fillId="15" borderId="55" xfId="0" applyNumberFormat="1" applyFont="1" applyFill="1" applyBorder="1" applyAlignment="1" applyProtection="1">
      <alignment horizontal="right" vertical="center" indent="1"/>
    </xf>
    <xf numFmtId="0" fontId="60" fillId="0" borderId="251" xfId="0" applyFont="1" applyFill="1" applyBorder="1" applyAlignment="1"/>
    <xf numFmtId="0" fontId="60" fillId="0" borderId="252" xfId="0" applyFont="1" applyFill="1" applyBorder="1" applyAlignment="1">
      <alignment vertic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4" fillId="9" borderId="52"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30" fillId="9" borderId="112" xfId="0" applyFont="1" applyFill="1" applyBorder="1" applyAlignment="1">
      <alignment horizontal="center" vertical="center"/>
    </xf>
    <xf numFmtId="0" fontId="21" fillId="0" borderId="124" xfId="0" applyFont="1" applyBorder="1" applyAlignment="1">
      <alignment horizontal="center" vertical="center"/>
    </xf>
    <xf numFmtId="164" fontId="20" fillId="18" borderId="140" xfId="0" applyNumberFormat="1" applyFont="1" applyFill="1" applyBorder="1" applyAlignment="1">
      <alignment horizontal="center" vertical="center"/>
    </xf>
    <xf numFmtId="164" fontId="20" fillId="19" borderId="143" xfId="0" applyNumberFormat="1" applyFont="1" applyFill="1" applyBorder="1" applyAlignment="1">
      <alignment horizontal="center" vertical="center"/>
    </xf>
    <xf numFmtId="164" fontId="20" fillId="11" borderId="143" xfId="0" applyNumberFormat="1" applyFont="1" applyFill="1" applyBorder="1" applyAlignment="1">
      <alignment horizontal="center" vertical="center"/>
    </xf>
    <xf numFmtId="164" fontId="20" fillId="0" borderId="143" xfId="0" applyNumberFormat="1" applyFont="1" applyBorder="1" applyAlignment="1">
      <alignment horizontal="center" vertical="center"/>
    </xf>
    <xf numFmtId="164" fontId="20" fillId="0" borderId="194" xfId="0" applyNumberFormat="1" applyFont="1" applyBorder="1" applyAlignment="1">
      <alignment horizontal="center" vertical="center"/>
    </xf>
    <xf numFmtId="0" fontId="21" fillId="0" borderId="125" xfId="0" applyFont="1" applyBorder="1" applyAlignment="1">
      <alignment horizontal="left" vertical="center" indent="1"/>
    </xf>
    <xf numFmtId="0" fontId="21" fillId="0" borderId="126" xfId="0" applyFont="1" applyBorder="1" applyAlignment="1">
      <alignment horizontal="left" vertical="center" indent="1"/>
    </xf>
    <xf numFmtId="0" fontId="21" fillId="17" borderId="55" xfId="0" applyFont="1" applyFill="1" applyBorder="1" applyAlignment="1" applyProtection="1">
      <alignment horizontal="center" vertical="center"/>
    </xf>
    <xf numFmtId="165" fontId="21" fillId="0" borderId="0" xfId="0" applyNumberFormat="1" applyFont="1" applyFill="1" applyBorder="1" applyAlignment="1">
      <alignment vertical="center"/>
    </xf>
    <xf numFmtId="0" fontId="21" fillId="0" borderId="0" xfId="0" applyFont="1" applyFill="1" applyBorder="1" applyAlignment="1">
      <alignment vertical="center"/>
    </xf>
    <xf numFmtId="0" fontId="15" fillId="0" borderId="0" xfId="0" applyFont="1" applyFill="1" applyBorder="1" applyAlignment="1">
      <alignment vertical="center"/>
    </xf>
    <xf numFmtId="0" fontId="14" fillId="0" borderId="0" xfId="0" applyFont="1" applyFill="1" applyBorder="1" applyAlignment="1">
      <alignment vertical="center"/>
    </xf>
    <xf numFmtId="0" fontId="6" fillId="0" borderId="139" xfId="0" applyFont="1" applyBorder="1" applyAlignment="1">
      <alignment horizontal="center" vertical="center" shrinkToFit="1"/>
    </xf>
    <xf numFmtId="0" fontId="6" fillId="0" borderId="135" xfId="0" applyFont="1" applyBorder="1" applyAlignment="1">
      <alignment horizontal="left" vertical="center" shrinkToFit="1"/>
    </xf>
    <xf numFmtId="0" fontId="68" fillId="0" borderId="39" xfId="0" applyNumberFormat="1" applyFont="1" applyBorder="1" applyAlignment="1">
      <alignment horizontal="center" vertical="center"/>
    </xf>
    <xf numFmtId="0" fontId="21" fillId="0" borderId="259" xfId="0" applyFont="1" applyFill="1" applyBorder="1" applyAlignment="1" applyProtection="1">
      <alignment horizontal="center"/>
    </xf>
    <xf numFmtId="0" fontId="6" fillId="0" borderId="135" xfId="0" applyFont="1" applyBorder="1" applyAlignment="1">
      <alignment horizontal="right" vertical="center" shrinkToFit="1"/>
    </xf>
    <xf numFmtId="0" fontId="6" fillId="0" borderId="135" xfId="0" applyFont="1" applyBorder="1" applyAlignment="1">
      <alignment horizontal="center" vertical="center"/>
    </xf>
    <xf numFmtId="0" fontId="6" fillId="0" borderId="43" xfId="0" applyFont="1" applyBorder="1" applyAlignment="1">
      <alignment horizontal="right" vertical="center" shrinkToFit="1"/>
    </xf>
    <xf numFmtId="0" fontId="6" fillId="0" borderId="43" xfId="0" applyFont="1" applyBorder="1" applyAlignment="1">
      <alignment horizontal="center" vertical="center"/>
    </xf>
    <xf numFmtId="0" fontId="6" fillId="0" borderId="46" xfId="0" applyFont="1" applyBorder="1" applyAlignment="1">
      <alignment horizontal="right" vertical="center" shrinkToFit="1"/>
    </xf>
    <xf numFmtId="0" fontId="6" fillId="0" borderId="46" xfId="0" applyFont="1" applyBorder="1" applyAlignment="1">
      <alignment horizontal="center" vertical="center"/>
    </xf>
    <xf numFmtId="164" fontId="6" fillId="0" borderId="139" xfId="0" applyNumberFormat="1" applyFont="1" applyBorder="1" applyAlignment="1">
      <alignment horizontal="center" vertical="center" shrinkToFit="1"/>
    </xf>
    <xf numFmtId="164" fontId="6" fillId="0" borderId="42" xfId="0" applyNumberFormat="1" applyFont="1" applyBorder="1" applyAlignment="1">
      <alignment horizontal="center" vertical="center" shrinkToFit="1"/>
    </xf>
    <xf numFmtId="164" fontId="6" fillId="0" borderId="45" xfId="0" applyNumberFormat="1" applyFont="1" applyBorder="1" applyAlignment="1">
      <alignment horizontal="center" vertical="center" shrinkToFit="1"/>
    </xf>
    <xf numFmtId="0" fontId="21" fillId="10" borderId="193" xfId="0" applyFont="1" applyFill="1" applyBorder="1" applyAlignment="1" applyProtection="1">
      <alignment horizontal="center" vertical="center"/>
      <protection locked="0"/>
    </xf>
    <xf numFmtId="0" fontId="58" fillId="0" borderId="260" xfId="0" applyFont="1" applyBorder="1" applyAlignment="1">
      <alignment vertical="center"/>
    </xf>
    <xf numFmtId="14" fontId="59" fillId="0" borderId="260" xfId="0" applyNumberFormat="1" applyFont="1" applyBorder="1" applyAlignment="1">
      <alignment vertical="center"/>
    </xf>
    <xf numFmtId="0" fontId="59" fillId="0" borderId="260" xfId="0" applyFont="1" applyBorder="1" applyAlignment="1">
      <alignment vertical="center"/>
    </xf>
    <xf numFmtId="0" fontId="21" fillId="0" borderId="0" xfId="0" applyFont="1" applyFill="1" applyBorder="1" applyAlignment="1">
      <alignment horizontal="center" vertical="center"/>
    </xf>
    <xf numFmtId="0" fontId="21" fillId="0" borderId="263" xfId="0" applyFont="1" applyFill="1" applyBorder="1" applyAlignment="1">
      <alignment horizontal="center" vertical="center"/>
    </xf>
    <xf numFmtId="164" fontId="20" fillId="0" borderId="0" xfId="0" applyNumberFormat="1" applyFont="1" applyFill="1" applyBorder="1" applyAlignment="1">
      <alignment horizontal="center" vertical="center"/>
    </xf>
    <xf numFmtId="164" fontId="20" fillId="0" borderId="0" xfId="0" applyNumberFormat="1" applyFont="1" applyFill="1" applyBorder="1" applyAlignment="1">
      <alignment vertical="center"/>
    </xf>
    <xf numFmtId="0" fontId="29" fillId="0" borderId="0" xfId="3" applyFill="1" applyBorder="1" applyAlignment="1" applyProtection="1">
      <alignment vertical="center"/>
    </xf>
    <xf numFmtId="0" fontId="13" fillId="0" borderId="0" xfId="0" applyFont="1" applyAlignment="1">
      <alignment horizontal="center" vertical="center"/>
    </xf>
    <xf numFmtId="165" fontId="20" fillId="0" borderId="0" xfId="0" applyNumberFormat="1" applyFont="1" applyFill="1" applyBorder="1" applyAlignment="1" applyProtection="1">
      <alignment horizontal="center" vertical="center" shrinkToFit="1"/>
      <protection locked="0"/>
    </xf>
    <xf numFmtId="165" fontId="14" fillId="9" borderId="264" xfId="0" applyNumberFormat="1" applyFont="1" applyFill="1" applyBorder="1" applyAlignment="1">
      <alignment vertical="center" shrinkToFit="1"/>
    </xf>
    <xf numFmtId="0" fontId="7" fillId="0" borderId="152" xfId="1" applyNumberFormat="1" applyFont="1" applyFill="1" applyBorder="1" applyAlignment="1" applyProtection="1">
      <alignment vertical="center"/>
      <protection hidden="1"/>
    </xf>
    <xf numFmtId="0" fontId="7" fillId="0" borderId="265" xfId="1" applyNumberFormat="1" applyFont="1" applyFill="1" applyBorder="1" applyAlignment="1" applyProtection="1">
      <alignment vertical="center"/>
      <protection hidden="1"/>
    </xf>
    <xf numFmtId="0" fontId="7" fillId="0" borderId="265"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3" xfId="1" applyNumberFormat="1" applyFont="1" applyFill="1" applyBorder="1" applyAlignment="1" applyProtection="1">
      <alignment horizontal="center" vertical="center"/>
      <protection hidden="1"/>
    </xf>
    <xf numFmtId="0" fontId="7" fillId="0" borderId="104"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vertical="center"/>
      <protection hidden="1"/>
    </xf>
    <xf numFmtId="0" fontId="7" fillId="0" borderId="107" xfId="1" applyNumberFormat="1" applyFont="1" applyFill="1" applyBorder="1" applyAlignment="1" applyProtection="1">
      <alignment vertical="center"/>
      <protection hidden="1"/>
    </xf>
    <xf numFmtId="0" fontId="7" fillId="0" borderId="107" xfId="1" applyNumberFormat="1" applyFont="1" applyFill="1" applyBorder="1" applyAlignment="1" applyProtection="1">
      <alignment horizontal="center" vertical="center"/>
      <protection hidden="1"/>
    </xf>
    <xf numFmtId="0" fontId="7" fillId="0" borderId="108" xfId="1" applyNumberFormat="1" applyFont="1" applyFill="1" applyBorder="1" applyAlignment="1" applyProtection="1">
      <alignment horizontal="center" vertical="center"/>
      <protection hidden="1"/>
    </xf>
    <xf numFmtId="166" fontId="7" fillId="0" borderId="107" xfId="1" applyNumberFormat="1" applyFont="1" applyFill="1" applyBorder="1" applyAlignment="1" applyProtection="1">
      <alignment horizontal="center" vertical="center"/>
      <protection hidden="1"/>
    </xf>
    <xf numFmtId="165" fontId="18" fillId="0" borderId="0" xfId="0" applyNumberFormat="1" applyFont="1" applyProtection="1"/>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4" fillId="9" borderId="112" xfId="0" applyFont="1" applyFill="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0" fillId="0" borderId="0" xfId="0" applyAlignment="1">
      <alignment horizontal="center" vertical="center"/>
    </xf>
    <xf numFmtId="0" fontId="21" fillId="17" borderId="55" xfId="0" applyFont="1" applyFill="1" applyBorder="1" applyAlignment="1" applyProtection="1">
      <alignment horizontal="center" vertical="center"/>
    </xf>
    <xf numFmtId="0" fontId="69" fillId="0" borderId="0" xfId="0" applyNumberFormat="1" applyFont="1" applyAlignment="1">
      <alignment horizontal="center"/>
    </xf>
    <xf numFmtId="0" fontId="69" fillId="0" borderId="0" xfId="0" applyNumberFormat="1" applyFont="1" applyAlignment="1"/>
    <xf numFmtId="0" fontId="70" fillId="0" borderId="0" xfId="0" applyNumberFormat="1" applyFont="1" applyAlignment="1">
      <alignment horizontal="center"/>
    </xf>
    <xf numFmtId="0" fontId="70" fillId="0" borderId="0" xfId="0" applyNumberFormat="1" applyFont="1" applyAlignment="1"/>
    <xf numFmtId="0" fontId="20" fillId="10" borderId="113" xfId="0" applyFont="1" applyFill="1" applyBorder="1" applyAlignment="1" applyProtection="1">
      <alignment horizontal="center" vertical="center"/>
      <protection locked="0"/>
    </xf>
    <xf numFmtId="0" fontId="20" fillId="10" borderId="48"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1" fillId="0" borderId="43" xfId="0" applyFont="1" applyBorder="1" applyAlignment="1">
      <alignment horizontal="center" vertical="center"/>
    </xf>
    <xf numFmtId="0" fontId="20" fillId="0" borderId="49" xfId="0" applyFont="1" applyBorder="1" applyAlignment="1">
      <alignment horizontal="left" vertical="center"/>
    </xf>
    <xf numFmtId="0" fontId="20" fillId="0" borderId="48" xfId="0" applyFont="1" applyBorder="1" applyAlignment="1">
      <alignment horizontal="left" vertical="center"/>
    </xf>
    <xf numFmtId="0" fontId="20" fillId="10" borderId="199" xfId="0" applyFont="1" applyFill="1" applyBorder="1" applyAlignment="1" applyProtection="1">
      <alignment horizontal="center" vertical="center"/>
      <protection locked="0"/>
    </xf>
    <xf numFmtId="0" fontId="14" fillId="9" borderId="110" xfId="0" applyFont="1" applyFill="1" applyBorder="1" applyAlignment="1">
      <alignment horizontal="center" vertical="center"/>
    </xf>
    <xf numFmtId="0" fontId="13" fillId="0" borderId="216" xfId="0" applyFont="1" applyBorder="1" applyAlignment="1">
      <alignment horizontal="center" vertical="center" shrinkToFit="1"/>
    </xf>
    <xf numFmtId="0" fontId="6" fillId="0" borderId="200" xfId="0" applyFont="1" applyBorder="1" applyAlignment="1">
      <alignment vertical="center" shrinkToFit="1"/>
    </xf>
    <xf numFmtId="0" fontId="6" fillId="0" borderId="119" xfId="0" applyFont="1" applyBorder="1" applyAlignment="1">
      <alignment horizontal="center" vertical="center" shrinkToFit="1"/>
    </xf>
    <xf numFmtId="0" fontId="6" fillId="0" borderId="113" xfId="0" applyFont="1" applyBorder="1" applyAlignment="1">
      <alignment vertical="center" shrinkToFit="1"/>
    </xf>
    <xf numFmtId="0" fontId="6" fillId="10" borderId="200" xfId="0" applyFont="1" applyFill="1" applyBorder="1" applyAlignment="1" applyProtection="1">
      <alignment horizontal="right" vertical="center" shrinkToFit="1"/>
      <protection locked="0"/>
    </xf>
    <xf numFmtId="0" fontId="6" fillId="10" borderId="119" xfId="0" applyFont="1" applyFill="1" applyBorder="1" applyAlignment="1">
      <alignment horizontal="center" vertical="center" shrinkToFit="1"/>
    </xf>
    <xf numFmtId="0" fontId="6" fillId="10" borderId="201" xfId="0" applyFont="1" applyFill="1" applyBorder="1" applyAlignment="1" applyProtection="1">
      <alignment horizontal="left" vertical="center" shrinkToFit="1"/>
      <protection locked="0"/>
    </xf>
    <xf numFmtId="0" fontId="13" fillId="0" borderId="42" xfId="0" applyFont="1" applyBorder="1" applyAlignment="1">
      <alignment horizontal="center" vertical="center" shrinkToFit="1"/>
    </xf>
    <xf numFmtId="0" fontId="6" fillId="0" borderId="49" xfId="0" applyFont="1" applyBorder="1" applyAlignment="1">
      <alignment vertical="center" shrinkToFit="1"/>
    </xf>
    <xf numFmtId="0" fontId="6" fillId="0" borderId="48" xfId="0" applyFont="1" applyBorder="1" applyAlignment="1">
      <alignment vertical="center" shrinkToFit="1"/>
    </xf>
    <xf numFmtId="0" fontId="6" fillId="10" borderId="49" xfId="0" applyFont="1" applyFill="1" applyBorder="1" applyAlignment="1" applyProtection="1">
      <alignment horizontal="right" vertical="center" shrinkToFit="1"/>
      <protection locked="0"/>
    </xf>
    <xf numFmtId="0" fontId="6" fillId="10" borderId="54" xfId="0" applyFont="1" applyFill="1" applyBorder="1" applyAlignment="1">
      <alignment horizontal="center" vertical="center" shrinkToFit="1"/>
    </xf>
    <xf numFmtId="0" fontId="6" fillId="10" borderId="68" xfId="0" applyFont="1" applyFill="1" applyBorder="1" applyAlignment="1" applyProtection="1">
      <alignment horizontal="left" vertical="center" shrinkToFit="1"/>
      <protection locked="0"/>
    </xf>
    <xf numFmtId="0" fontId="13" fillId="0" borderId="45" xfId="0" applyFont="1" applyBorder="1" applyAlignment="1">
      <alignment horizontal="center" vertical="center" shrinkToFit="1"/>
    </xf>
    <xf numFmtId="0" fontId="6" fillId="0" borderId="51" xfId="0" applyFont="1" applyBorder="1" applyAlignment="1">
      <alignment vertical="center" shrinkToFit="1"/>
    </xf>
    <xf numFmtId="0" fontId="6" fillId="0" borderId="50" xfId="0" applyFont="1" applyBorder="1" applyAlignment="1">
      <alignment vertical="center" shrinkToFit="1"/>
    </xf>
    <xf numFmtId="0" fontId="6" fillId="10" borderId="51" xfId="0" applyFont="1" applyFill="1" applyBorder="1" applyAlignment="1" applyProtection="1">
      <alignment horizontal="right" vertical="center" shrinkToFit="1"/>
      <protection locked="0"/>
    </xf>
    <xf numFmtId="0" fontId="6" fillId="10" borderId="55" xfId="0" applyFont="1" applyFill="1" applyBorder="1" applyAlignment="1">
      <alignment horizontal="center" vertical="center" shrinkToFit="1"/>
    </xf>
    <xf numFmtId="0" fontId="6" fillId="10" borderId="195" xfId="0" applyFont="1" applyFill="1" applyBorder="1" applyAlignment="1" applyProtection="1">
      <alignment horizontal="left" vertical="center" shrinkToFit="1"/>
      <protection locked="0"/>
    </xf>
    <xf numFmtId="167" fontId="71" fillId="0" borderId="109" xfId="0" applyNumberFormat="1" applyFont="1" applyBorder="1" applyAlignment="1">
      <alignment horizontal="center" vertical="center" shrinkToFit="1"/>
    </xf>
    <xf numFmtId="0" fontId="71" fillId="0" borderId="109" xfId="0" applyFont="1" applyBorder="1" applyAlignment="1">
      <alignment horizontal="center" vertical="center" shrinkToFit="1"/>
    </xf>
    <xf numFmtId="167" fontId="71" fillId="0" borderId="43" xfId="0" applyNumberFormat="1" applyFont="1" applyBorder="1" applyAlignment="1">
      <alignment horizontal="center" vertical="center" shrinkToFit="1"/>
    </xf>
    <xf numFmtId="0" fontId="71" fillId="0" borderId="43" xfId="0" applyFont="1" applyBorder="1" applyAlignment="1">
      <alignment horizontal="center" vertical="center" shrinkToFit="1"/>
    </xf>
    <xf numFmtId="167" fontId="71" fillId="0" borderId="46" xfId="0" applyNumberFormat="1" applyFont="1" applyBorder="1" applyAlignment="1">
      <alignment horizontal="center" vertical="center" shrinkToFit="1"/>
    </xf>
    <xf numFmtId="0" fontId="71" fillId="0" borderId="46" xfId="0" applyFont="1" applyBorder="1" applyAlignment="1">
      <alignment horizontal="center" vertical="center" shrinkToFit="1"/>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4" fillId="9" borderId="110" xfId="0" applyFont="1" applyFill="1" applyBorder="1" applyAlignment="1">
      <alignment horizontal="center" vertical="center"/>
    </xf>
    <xf numFmtId="0" fontId="14" fillId="9" borderId="112" xfId="0" applyFont="1" applyFill="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0" fillId="0" borderId="0" xfId="0" applyAlignment="1">
      <alignment horizontal="center" vertical="center"/>
    </xf>
    <xf numFmtId="0" fontId="60" fillId="0" borderId="0" xfId="0" applyFont="1" applyFill="1" applyBorder="1" applyAlignment="1"/>
    <xf numFmtId="0" fontId="60" fillId="0" borderId="0" xfId="0" applyFont="1" applyFill="1" applyBorder="1" applyAlignment="1">
      <alignment horizontal="center"/>
    </xf>
    <xf numFmtId="0" fontId="18" fillId="0" borderId="0" xfId="0" applyFont="1" applyAlignment="1">
      <alignment wrapText="1"/>
    </xf>
    <xf numFmtId="0" fontId="21" fillId="0" borderId="0" xfId="0" applyNumberFormat="1" applyFont="1" applyFill="1" applyBorder="1" applyAlignment="1" applyProtection="1">
      <alignment horizontal="center" vertical="center"/>
    </xf>
    <xf numFmtId="167" fontId="21" fillId="0" borderId="0" xfId="0" applyNumberFormat="1" applyFont="1" applyFill="1" applyBorder="1" applyAlignment="1" applyProtection="1">
      <alignment horizontal="center" vertical="center"/>
    </xf>
    <xf numFmtId="0" fontId="21" fillId="0" borderId="40" xfId="0" applyNumberFormat="1" applyFont="1" applyBorder="1" applyAlignment="1">
      <alignment horizontal="center" vertical="center"/>
    </xf>
    <xf numFmtId="0" fontId="21" fillId="0" borderId="267" xfId="0" applyNumberFormat="1" applyFont="1" applyBorder="1" applyAlignment="1">
      <alignment horizontal="center" vertic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0" fillId="0" borderId="0" xfId="0" applyAlignment="1">
      <alignment horizontal="center" vertical="center"/>
    </xf>
    <xf numFmtId="0" fontId="14" fillId="9" borderId="110" xfId="0" applyFont="1" applyFill="1" applyBorder="1" applyAlignment="1">
      <alignment horizontal="center" vertical="center"/>
    </xf>
    <xf numFmtId="0" fontId="14" fillId="9" borderId="112" xfId="0" applyFont="1" applyFill="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21" fillId="0" borderId="36" xfId="0" applyNumberFormat="1" applyFont="1" applyFill="1" applyBorder="1" applyAlignment="1" applyProtection="1">
      <alignment horizontal="center" vertical="center"/>
    </xf>
    <xf numFmtId="167" fontId="21" fillId="0" borderId="36" xfId="0" applyNumberFormat="1" applyFont="1" applyFill="1" applyBorder="1" applyAlignment="1" applyProtection="1">
      <alignment horizontal="center" vertical="center"/>
    </xf>
    <xf numFmtId="0" fontId="21" fillId="0" borderId="36" xfId="0" applyFont="1" applyFill="1" applyBorder="1" applyAlignment="1" applyProtection="1">
      <alignment horizontal="center" vertical="center"/>
    </xf>
    <xf numFmtId="0" fontId="21" fillId="0" borderId="36" xfId="0" applyFont="1" applyFill="1" applyBorder="1" applyAlignment="1" applyProtection="1">
      <alignment horizontal="right" vertical="center"/>
    </xf>
    <xf numFmtId="0" fontId="21" fillId="0" borderId="36" xfId="0" applyFont="1" applyFill="1" applyBorder="1" applyAlignment="1" applyProtection="1">
      <alignment horizontal="left" vertical="center"/>
    </xf>
    <xf numFmtId="0" fontId="20" fillId="0" borderId="36" xfId="0" applyFont="1" applyFill="1" applyBorder="1" applyAlignment="1" applyProtection="1">
      <alignment horizontal="left" vertical="center"/>
    </xf>
    <xf numFmtId="0" fontId="68" fillId="0" borderId="0" xfId="0" applyNumberFormat="1" applyFont="1" applyBorder="1" applyAlignment="1">
      <alignment horizontal="center" vertical="center"/>
    </xf>
    <xf numFmtId="0" fontId="21" fillId="0" borderId="36" xfId="0" applyNumberFormat="1" applyFont="1" applyBorder="1" applyAlignment="1">
      <alignment horizontal="center" vertical="center"/>
    </xf>
    <xf numFmtId="167" fontId="21" fillId="0" borderId="36" xfId="0" applyNumberFormat="1" applyFont="1" applyBorder="1" applyAlignment="1">
      <alignment horizontal="center" vertical="center"/>
    </xf>
    <xf numFmtId="0" fontId="21" fillId="0" borderId="36" xfId="0" applyFont="1" applyBorder="1" applyAlignment="1">
      <alignment horizontal="center" vertical="center"/>
    </xf>
    <xf numFmtId="0" fontId="21" fillId="0" borderId="224" xfId="0" applyNumberFormat="1" applyFont="1" applyBorder="1" applyAlignment="1">
      <alignment horizontal="center" vertical="center"/>
    </xf>
    <xf numFmtId="167" fontId="21" fillId="0" borderId="227" xfId="0" applyNumberFormat="1" applyFont="1" applyBorder="1" applyAlignment="1">
      <alignment horizontal="center" vertical="center"/>
    </xf>
    <xf numFmtId="0" fontId="21" fillId="0" borderId="227" xfId="0" applyFont="1" applyBorder="1" applyAlignment="1">
      <alignment horizontal="center" vertical="center"/>
    </xf>
    <xf numFmtId="0" fontId="21" fillId="17" borderId="145" xfId="0" applyFont="1" applyFill="1" applyBorder="1" applyAlignment="1" applyProtection="1">
      <alignment horizontal="right" vertical="center"/>
    </xf>
    <xf numFmtId="0" fontId="21" fillId="17" borderId="146" xfId="0" applyFont="1" applyFill="1" applyBorder="1" applyAlignment="1" applyProtection="1">
      <alignment horizontal="center" vertical="center"/>
    </xf>
    <xf numFmtId="0" fontId="21" fillId="17" borderId="147" xfId="0" applyFont="1" applyFill="1" applyBorder="1" applyAlignment="1" applyProtection="1">
      <alignment horizontal="left" vertical="center"/>
    </xf>
    <xf numFmtId="0" fontId="20" fillId="0" borderId="145" xfId="0" applyFont="1" applyBorder="1" applyAlignment="1">
      <alignment horizontal="left" vertical="center"/>
    </xf>
    <xf numFmtId="0" fontId="20" fillId="0" borderId="146" xfId="0" applyFont="1" applyBorder="1" applyAlignment="1">
      <alignment horizontal="center" vertical="center"/>
    </xf>
    <xf numFmtId="0" fontId="20" fillId="0" borderId="147" xfId="0" applyFont="1" applyBorder="1" applyAlignment="1">
      <alignment horizontal="left" vertical="center"/>
    </xf>
    <xf numFmtId="0" fontId="20" fillId="10" borderId="145" xfId="0" applyFont="1" applyFill="1" applyBorder="1" applyAlignment="1" applyProtection="1">
      <alignment horizontal="center" vertical="center"/>
      <protection locked="0"/>
    </xf>
    <xf numFmtId="0" fontId="20" fillId="10" borderId="147" xfId="0" applyFont="1" applyFill="1" applyBorder="1" applyAlignment="1" applyProtection="1">
      <alignment horizontal="center" vertical="center"/>
      <protection locked="0"/>
    </xf>
    <xf numFmtId="0" fontId="20" fillId="10" borderId="148" xfId="0" applyFont="1" applyFill="1" applyBorder="1" applyAlignment="1" applyProtection="1">
      <alignment horizontal="center" vertical="center"/>
      <protection locked="0"/>
    </xf>
    <xf numFmtId="165" fontId="63" fillId="0" borderId="0" xfId="0" applyNumberFormat="1" applyFont="1" applyAlignment="1" applyProtection="1">
      <alignment horizontal="left" vertical="top" wrapText="1" indent="1"/>
    </xf>
    <xf numFmtId="49" fontId="24" fillId="0" borderId="58" xfId="0" applyNumberFormat="1" applyFont="1" applyBorder="1" applyAlignment="1">
      <alignment horizontal="center" vertical="center"/>
    </xf>
    <xf numFmtId="49" fontId="24" fillId="0" borderId="66" xfId="0" applyNumberFormat="1" applyFont="1" applyBorder="1" applyAlignment="1">
      <alignment horizontal="center" vertical="center"/>
    </xf>
    <xf numFmtId="0" fontId="20" fillId="10" borderId="62" xfId="0" applyFont="1" applyFill="1" applyBorder="1" applyAlignment="1" applyProtection="1">
      <alignment horizontal="left" vertical="center" shrinkToFit="1"/>
      <protection locked="0"/>
    </xf>
    <xf numFmtId="0" fontId="20" fillId="10" borderId="67" xfId="0" applyFont="1" applyFill="1" applyBorder="1" applyAlignment="1" applyProtection="1">
      <alignment horizontal="left" vertical="center" shrinkToFit="1"/>
      <protection locked="0"/>
    </xf>
    <xf numFmtId="49" fontId="24" fillId="0" borderId="56" xfId="0" applyNumberFormat="1" applyFont="1" applyBorder="1" applyAlignment="1">
      <alignment horizontal="center" vertical="center"/>
    </xf>
    <xf numFmtId="0" fontId="20" fillId="10" borderId="57" xfId="0" applyFont="1" applyFill="1" applyBorder="1" applyAlignment="1" applyProtection="1">
      <alignment horizontal="left" vertical="center" shrinkToFit="1"/>
      <protection locked="0"/>
    </xf>
    <xf numFmtId="0" fontId="19" fillId="9" borderId="60" xfId="0" applyFont="1" applyFill="1" applyBorder="1" applyAlignment="1">
      <alignment horizontal="center" vertical="center"/>
    </xf>
    <xf numFmtId="0" fontId="19" fillId="9" borderId="61" xfId="0" applyFont="1" applyFill="1" applyBorder="1" applyAlignment="1">
      <alignment horizontal="center" vertical="center"/>
    </xf>
    <xf numFmtId="0" fontId="19" fillId="9" borderId="64" xfId="0" applyFont="1" applyFill="1" applyBorder="1" applyAlignment="1">
      <alignment horizontal="left" vertical="center" shrinkToFit="1"/>
    </xf>
    <xf numFmtId="0" fontId="19" fillId="9" borderId="65" xfId="0" applyFont="1" applyFill="1" applyBorder="1" applyAlignment="1">
      <alignment horizontal="left" vertical="center" shrinkToFit="1"/>
    </xf>
    <xf numFmtId="49" fontId="24" fillId="0" borderId="59" xfId="0" applyNumberFormat="1" applyFont="1" applyBorder="1" applyAlignment="1">
      <alignment horizontal="center" vertical="center"/>
    </xf>
    <xf numFmtId="0" fontId="20" fillId="10" borderId="63" xfId="0" applyFont="1" applyFill="1" applyBorder="1" applyAlignment="1" applyProtection="1">
      <alignment horizontal="left" vertical="center" shrinkToFit="1"/>
      <protection locked="0"/>
    </xf>
    <xf numFmtId="0" fontId="66" fillId="0" borderId="0" xfId="0" applyNumberFormat="1" applyFont="1" applyAlignment="1" applyProtection="1">
      <alignment horizontal="center" vertical="center" wrapText="1"/>
    </xf>
    <xf numFmtId="164" fontId="24" fillId="0" borderId="0"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0" fontId="24" fillId="0" borderId="0" xfId="0" applyFont="1" applyAlignment="1">
      <alignment horizontal="left" vertical="center" shrinkToFit="1"/>
    </xf>
    <xf numFmtId="0" fontId="24" fillId="0" borderId="70" xfId="0" applyFont="1" applyBorder="1" applyAlignment="1">
      <alignment horizontal="left" vertical="center" shrinkToFit="1"/>
    </xf>
    <xf numFmtId="0" fontId="21" fillId="15" borderId="222" xfId="0" applyFont="1" applyFill="1" applyBorder="1" applyAlignment="1">
      <alignment horizontal="left" vertical="center" indent="1"/>
    </xf>
    <xf numFmtId="0" fontId="21" fillId="15" borderId="225" xfId="0" applyFont="1" applyFill="1" applyBorder="1" applyAlignment="1">
      <alignment horizontal="left" vertical="center" indent="1"/>
    </xf>
    <xf numFmtId="167" fontId="20" fillId="15" borderId="265" xfId="0" applyNumberFormat="1" applyFont="1" applyFill="1" applyBorder="1" applyAlignment="1">
      <alignment horizontal="right" vertical="center" indent="1"/>
    </xf>
    <xf numFmtId="167" fontId="20" fillId="15" borderId="107" xfId="0" applyNumberFormat="1" applyFont="1" applyFill="1" applyBorder="1" applyAlignment="1">
      <alignment horizontal="right" vertical="center" indent="1"/>
    </xf>
    <xf numFmtId="0" fontId="20" fillId="15" borderId="223" xfId="0" applyFont="1" applyFill="1" applyBorder="1" applyAlignment="1">
      <alignment horizontal="center" vertical="center"/>
    </xf>
    <xf numFmtId="0" fontId="20" fillId="15" borderId="226" xfId="0" applyFont="1" applyFill="1" applyBorder="1" applyAlignment="1">
      <alignment horizontal="center" vertical="center"/>
    </xf>
    <xf numFmtId="0" fontId="20" fillId="10" borderId="54" xfId="0" applyFont="1" applyFill="1" applyBorder="1" applyAlignment="1" applyProtection="1">
      <alignment horizontal="right" vertical="center" indent="1"/>
      <protection locked="0"/>
    </xf>
    <xf numFmtId="0" fontId="20" fillId="0" borderId="68" xfId="0" applyFont="1" applyBorder="1" applyAlignment="1">
      <alignment horizontal="left" vertical="center"/>
    </xf>
    <xf numFmtId="0" fontId="21" fillId="0" borderId="143" xfId="0" applyFont="1" applyBorder="1" applyAlignment="1">
      <alignment horizontal="left" vertical="center" indent="1"/>
    </xf>
    <xf numFmtId="0" fontId="21" fillId="0" borderId="144" xfId="0" applyFont="1" applyBorder="1" applyAlignment="1">
      <alignment horizontal="left" vertical="center" indent="1"/>
    </xf>
    <xf numFmtId="0" fontId="20" fillId="10" borderId="78" xfId="0" applyFont="1" applyFill="1" applyBorder="1" applyAlignment="1" applyProtection="1">
      <alignment horizontal="right" vertical="center" indent="1"/>
      <protection locked="0"/>
    </xf>
    <xf numFmtId="0" fontId="62" fillId="0" borderId="68" xfId="0" applyFont="1" applyBorder="1" applyAlignment="1">
      <alignment horizontal="left" vertical="center"/>
    </xf>
    <xf numFmtId="0" fontId="62" fillId="0" borderId="79" xfId="0" applyFont="1" applyBorder="1" applyAlignment="1">
      <alignment horizontal="left" vertical="center"/>
    </xf>
    <xf numFmtId="0" fontId="21" fillId="0" borderId="140" xfId="0" applyFont="1" applyBorder="1" applyAlignment="1">
      <alignment horizontal="left" vertical="center" indent="1"/>
    </xf>
    <xf numFmtId="167" fontId="20" fillId="10" borderId="141" xfId="0" applyNumberFormat="1" applyFont="1" applyFill="1" applyBorder="1" applyAlignment="1" applyProtection="1">
      <alignment horizontal="right" vertical="center" indent="1"/>
      <protection locked="0"/>
    </xf>
    <xf numFmtId="167" fontId="20" fillId="10" borderId="54" xfId="0" applyNumberFormat="1" applyFont="1" applyFill="1" applyBorder="1" applyAlignment="1" applyProtection="1">
      <alignment horizontal="right" vertical="center" indent="1"/>
      <protection locked="0"/>
    </xf>
    <xf numFmtId="0" fontId="20" fillId="0" borderId="142" xfId="0" applyFont="1" applyBorder="1" applyAlignment="1">
      <alignment horizontal="left" vertical="center"/>
    </xf>
    <xf numFmtId="0" fontId="25" fillId="0" borderId="0" xfId="0" applyFont="1" applyAlignment="1">
      <alignment horizontal="center"/>
    </xf>
    <xf numFmtId="0" fontId="15" fillId="0" borderId="70" xfId="0" applyFont="1" applyBorder="1" applyAlignment="1">
      <alignment horizontal="left" vertical="center"/>
    </xf>
    <xf numFmtId="0" fontId="18" fillId="0" borderId="0" xfId="0" applyFont="1" applyAlignment="1">
      <alignment horizontal="center" wrapText="1"/>
    </xf>
    <xf numFmtId="0" fontId="18" fillId="0" borderId="107" xfId="0" applyFont="1" applyBorder="1" applyAlignment="1">
      <alignment horizontal="center" wrapText="1"/>
    </xf>
    <xf numFmtId="0" fontId="19" fillId="9" borderId="110" xfId="0" applyFont="1" applyFill="1" applyBorder="1" applyAlignment="1">
      <alignment horizontal="center"/>
    </xf>
    <xf numFmtId="0" fontId="19" fillId="9" borderId="132" xfId="0" applyFont="1" applyFill="1" applyBorder="1" applyAlignment="1">
      <alignment horizontal="center"/>
    </xf>
    <xf numFmtId="0" fontId="0" fillId="0" borderId="0" xfId="0" applyAlignment="1">
      <alignment horizontal="center" vertical="center"/>
    </xf>
    <xf numFmtId="0" fontId="48" fillId="0" borderId="0" xfId="0" applyFont="1" applyAlignment="1">
      <alignment horizontal="center" vertical="top" textRotation="90"/>
    </xf>
    <xf numFmtId="0" fontId="37" fillId="0" borderId="0" xfId="0" applyFont="1" applyAlignment="1">
      <alignment horizontal="center"/>
    </xf>
    <xf numFmtId="0" fontId="64" fillId="0" borderId="0" xfId="0" applyFont="1" applyAlignment="1">
      <alignment horizontal="center" wrapText="1"/>
    </xf>
    <xf numFmtId="0" fontId="14" fillId="9" borderId="110" xfId="0" applyFont="1" applyFill="1" applyBorder="1" applyAlignment="1">
      <alignment horizontal="center" vertical="center"/>
    </xf>
    <xf numFmtId="0" fontId="14" fillId="9" borderId="132" xfId="0" applyFont="1" applyFill="1" applyBorder="1" applyAlignment="1">
      <alignment horizontal="center" vertical="center"/>
    </xf>
    <xf numFmtId="0" fontId="55" fillId="16" borderId="187" xfId="0" applyFont="1" applyFill="1" applyBorder="1" applyAlignment="1" applyProtection="1">
      <alignment horizontal="center"/>
    </xf>
    <xf numFmtId="0" fontId="55" fillId="16" borderId="188" xfId="0" applyFont="1" applyFill="1" applyBorder="1" applyAlignment="1" applyProtection="1">
      <alignment horizontal="center"/>
    </xf>
    <xf numFmtId="0" fontId="55" fillId="16" borderId="189" xfId="0" applyFont="1" applyFill="1" applyBorder="1" applyAlignment="1" applyProtection="1">
      <alignment horizontal="center"/>
    </xf>
    <xf numFmtId="0" fontId="55" fillId="16" borderId="190" xfId="0" applyFont="1" applyFill="1" applyBorder="1" applyAlignment="1" applyProtection="1">
      <alignment horizontal="center"/>
    </xf>
    <xf numFmtId="0" fontId="55" fillId="16" borderId="191" xfId="0" applyFont="1" applyFill="1" applyBorder="1" applyAlignment="1" applyProtection="1">
      <alignment horizontal="center"/>
    </xf>
    <xf numFmtId="0" fontId="55" fillId="16" borderId="192" xfId="0" applyFont="1" applyFill="1" applyBorder="1" applyAlignment="1" applyProtection="1">
      <alignment horizontal="center"/>
    </xf>
    <xf numFmtId="0" fontId="14" fillId="9" borderId="52" xfId="0" applyFont="1" applyFill="1" applyBorder="1" applyAlignment="1">
      <alignment horizontal="center" vertical="center" shrinkToFit="1"/>
    </xf>
    <xf numFmtId="0" fontId="14" fillId="9" borderId="36"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13" fillId="9" borderId="35" xfId="0" applyFont="1" applyFill="1" applyBorder="1" applyAlignment="1">
      <alignment horizontal="center" vertical="center" shrinkToFit="1"/>
    </xf>
    <xf numFmtId="0" fontId="13" fillId="9" borderId="37" xfId="0" applyFont="1" applyFill="1" applyBorder="1" applyAlignment="1">
      <alignment horizontal="center" vertical="center" shrinkToFit="1"/>
    </xf>
    <xf numFmtId="0" fontId="54" fillId="0" borderId="70" xfId="0" applyFont="1" applyBorder="1" applyAlignment="1">
      <alignment horizontal="center"/>
    </xf>
    <xf numFmtId="0" fontId="17" fillId="10" borderId="240" xfId="0" applyFont="1" applyFill="1" applyBorder="1" applyAlignment="1" applyProtection="1">
      <alignment horizontal="center" vertical="top"/>
      <protection locked="0"/>
    </xf>
    <xf numFmtId="0" fontId="17" fillId="10" borderId="241" xfId="0" applyFont="1" applyFill="1" applyBorder="1" applyAlignment="1" applyProtection="1">
      <alignment horizontal="center" vertical="top"/>
      <protection locked="0"/>
    </xf>
    <xf numFmtId="0" fontId="17" fillId="10" borderId="242" xfId="0" applyFont="1" applyFill="1" applyBorder="1" applyAlignment="1" applyProtection="1">
      <alignment horizontal="center" vertical="top"/>
      <protection locked="0"/>
    </xf>
    <xf numFmtId="14" fontId="26" fillId="10" borderId="243" xfId="0" applyNumberFormat="1" applyFont="1" applyFill="1" applyBorder="1" applyAlignment="1" applyProtection="1">
      <alignment horizontal="center" vertical="center"/>
      <protection locked="0"/>
    </xf>
    <xf numFmtId="14" fontId="26" fillId="10" borderId="196" xfId="0" applyNumberFormat="1" applyFont="1" applyFill="1" applyBorder="1" applyAlignment="1" applyProtection="1">
      <alignment horizontal="center" vertical="center"/>
      <protection locked="0"/>
    </xf>
    <xf numFmtId="14" fontId="26" fillId="10" borderId="244" xfId="0" applyNumberFormat="1" applyFont="1" applyFill="1" applyBorder="1" applyAlignment="1" applyProtection="1">
      <alignment horizontal="center" vertical="center"/>
      <protection locked="0"/>
    </xf>
    <xf numFmtId="0" fontId="26" fillId="10" borderId="243" xfId="0" applyFont="1" applyFill="1" applyBorder="1" applyAlignment="1" applyProtection="1">
      <alignment horizontal="center" vertical="center"/>
      <protection locked="0"/>
    </xf>
    <xf numFmtId="0" fontId="26" fillId="10" borderId="196" xfId="0" applyFont="1" applyFill="1" applyBorder="1" applyAlignment="1" applyProtection="1">
      <alignment horizontal="center" vertical="center"/>
      <protection locked="0"/>
    </xf>
    <xf numFmtId="0" fontId="26" fillId="10" borderId="244" xfId="0" applyFont="1" applyFill="1" applyBorder="1" applyAlignment="1" applyProtection="1">
      <alignment horizontal="center" vertical="center"/>
      <protection locked="0"/>
    </xf>
    <xf numFmtId="0" fontId="26" fillId="10" borderId="245" xfId="0" applyFont="1" applyFill="1" applyBorder="1" applyAlignment="1" applyProtection="1">
      <alignment horizontal="center" vertical="center"/>
      <protection locked="0"/>
    </xf>
    <xf numFmtId="0" fontId="26" fillId="10" borderId="246" xfId="0" applyFont="1" applyFill="1" applyBorder="1" applyAlignment="1" applyProtection="1">
      <alignment horizontal="center" vertical="center"/>
      <protection locked="0"/>
    </xf>
    <xf numFmtId="0" fontId="26" fillId="10" borderId="247" xfId="0" applyFont="1" applyFill="1" applyBorder="1" applyAlignment="1" applyProtection="1">
      <alignment horizontal="center" vertical="center"/>
      <protection locked="0"/>
    </xf>
    <xf numFmtId="0" fontId="13" fillId="15" borderId="0" xfId="0" applyFont="1" applyFill="1" applyBorder="1" applyAlignment="1">
      <alignment horizontal="right" vertical="center"/>
    </xf>
    <xf numFmtId="167" fontId="13" fillId="15" borderId="0" xfId="0" applyNumberFormat="1" applyFont="1" applyFill="1" applyBorder="1" applyAlignment="1">
      <alignment horizontal="left" vertical="center" indent="1"/>
    </xf>
    <xf numFmtId="0" fontId="14" fillId="9" borderId="124" xfId="0" applyFont="1" applyFill="1" applyBorder="1" applyAlignment="1">
      <alignment horizontal="center" vertical="center"/>
    </xf>
    <xf numFmtId="0" fontId="14" fillId="9" borderId="125" xfId="0" applyFont="1" applyFill="1" applyBorder="1" applyAlignment="1">
      <alignment horizontal="center" vertical="center"/>
    </xf>
    <xf numFmtId="0" fontId="14" fillId="9" borderId="126" xfId="0" applyFont="1" applyFill="1" applyBorder="1" applyAlignment="1">
      <alignment horizontal="center" vertical="center"/>
    </xf>
    <xf numFmtId="0" fontId="18" fillId="0" borderId="0" xfId="0" applyFont="1" applyAlignment="1">
      <alignment horizontal="center" vertical="center" wrapText="1"/>
    </xf>
    <xf numFmtId="0" fontId="18" fillId="0" borderId="107" xfId="0" applyFont="1" applyBorder="1" applyAlignment="1">
      <alignment horizontal="center" vertical="center" wrapText="1"/>
    </xf>
    <xf numFmtId="0" fontId="14" fillId="9" borderId="31"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28" xfId="0" applyFont="1" applyFill="1" applyBorder="1" applyAlignment="1">
      <alignment horizontal="center" vertical="center"/>
    </xf>
    <xf numFmtId="0" fontId="39" fillId="0" borderId="54" xfId="0" applyFont="1" applyBorder="1" applyAlignment="1">
      <alignment horizontal="left" vertical="center" indent="1"/>
    </xf>
    <xf numFmtId="0" fontId="39" fillId="0" borderId="68" xfId="0" applyFont="1" applyBorder="1" applyAlignment="1">
      <alignment horizontal="left" vertical="center" indent="1"/>
    </xf>
    <xf numFmtId="0" fontId="30" fillId="9" borderId="217" xfId="0" applyFont="1" applyFill="1" applyBorder="1" applyAlignment="1">
      <alignment horizontal="center" vertical="center"/>
    </xf>
    <xf numFmtId="0" fontId="30" fillId="9" borderId="129" xfId="0" applyFont="1" applyFill="1" applyBorder="1" applyAlignment="1">
      <alignment horizontal="center" vertical="center"/>
    </xf>
    <xf numFmtId="0" fontId="30" fillId="9" borderId="112" xfId="0" applyFont="1" applyFill="1" applyBorder="1" applyAlignment="1">
      <alignment horizontal="center" vertical="center"/>
    </xf>
    <xf numFmtId="0" fontId="14" fillId="9" borderId="217" xfId="0" applyFont="1" applyFill="1" applyBorder="1" applyAlignment="1">
      <alignment horizontal="center" vertical="center"/>
    </xf>
    <xf numFmtId="0" fontId="14" fillId="9" borderId="129" xfId="0" applyFont="1" applyFill="1" applyBorder="1" applyAlignment="1">
      <alignment horizontal="center" vertical="center"/>
    </xf>
    <xf numFmtId="0" fontId="14" fillId="9" borderId="112" xfId="0" applyFont="1" applyFill="1" applyBorder="1" applyAlignment="1">
      <alignment horizontal="center" vertical="center"/>
    </xf>
    <xf numFmtId="0" fontId="21" fillId="0" borderId="124" xfId="0" applyFont="1" applyBorder="1" applyAlignment="1">
      <alignment horizontal="center" vertical="center"/>
    </xf>
    <xf numFmtId="0" fontId="21" fillId="0" borderId="125" xfId="0" applyFont="1" applyBorder="1" applyAlignment="1">
      <alignment horizontal="center" vertical="center"/>
    </xf>
    <xf numFmtId="164" fontId="20" fillId="18" borderId="140" xfId="0" applyNumberFormat="1" applyFont="1" applyFill="1" applyBorder="1" applyAlignment="1">
      <alignment horizontal="center" vertical="center"/>
    </xf>
    <xf numFmtId="164" fontId="20" fillId="18" borderId="141" xfId="0" applyNumberFormat="1" applyFont="1" applyFill="1" applyBorder="1" applyAlignment="1">
      <alignment horizontal="center" vertical="center"/>
    </xf>
    <xf numFmtId="164" fontId="20" fillId="19" borderId="143" xfId="0" applyNumberFormat="1" applyFont="1" applyFill="1" applyBorder="1" applyAlignment="1">
      <alignment horizontal="center" vertical="center"/>
    </xf>
    <xf numFmtId="164" fontId="20" fillId="19" borderId="54" xfId="0" applyNumberFormat="1" applyFont="1" applyFill="1" applyBorder="1" applyAlignment="1">
      <alignment horizontal="center" vertical="center"/>
    </xf>
    <xf numFmtId="164" fontId="20" fillId="11" borderId="143" xfId="0" applyNumberFormat="1" applyFont="1" applyFill="1" applyBorder="1" applyAlignment="1">
      <alignment horizontal="center" vertical="center"/>
    </xf>
    <xf numFmtId="164" fontId="20" fillId="11" borderId="54" xfId="0" applyNumberFormat="1" applyFont="1" applyFill="1" applyBorder="1" applyAlignment="1">
      <alignment horizontal="center" vertical="center"/>
    </xf>
    <xf numFmtId="164" fontId="20" fillId="0" borderId="143" xfId="0" applyNumberFormat="1" applyFont="1" applyBorder="1" applyAlignment="1">
      <alignment horizontal="center" vertical="center"/>
    </xf>
    <xf numFmtId="164" fontId="20" fillId="0" borderId="54" xfId="0" applyNumberFormat="1" applyFont="1" applyBorder="1" applyAlignment="1">
      <alignment horizontal="center" vertical="center"/>
    </xf>
    <xf numFmtId="164" fontId="20" fillId="0" borderId="194" xfId="0" applyNumberFormat="1" applyFont="1" applyBorder="1" applyAlignment="1">
      <alignment horizontal="center" vertical="center"/>
    </xf>
    <xf numFmtId="164" fontId="20" fillId="0" borderId="55" xfId="0" applyNumberFormat="1" applyFont="1" applyBorder="1" applyAlignment="1">
      <alignment horizontal="center" vertical="center"/>
    </xf>
    <xf numFmtId="0" fontId="58" fillId="0" borderId="240" xfId="0" applyFont="1" applyBorder="1" applyAlignment="1">
      <alignment horizontal="center" vertical="center"/>
    </xf>
    <xf numFmtId="0" fontId="58" fillId="0" borderId="241" xfId="0" applyFont="1" applyBorder="1" applyAlignment="1">
      <alignment horizontal="center" vertical="center"/>
    </xf>
    <xf numFmtId="0" fontId="58" fillId="0" borderId="242" xfId="0" applyFont="1" applyBorder="1" applyAlignment="1">
      <alignment horizontal="center" vertical="center"/>
    </xf>
    <xf numFmtId="14" fontId="59" fillId="0" borderId="243" xfId="0" applyNumberFormat="1" applyFont="1" applyBorder="1" applyAlignment="1">
      <alignment horizontal="center" vertical="center"/>
    </xf>
    <xf numFmtId="14" fontId="59" fillId="0" borderId="196" xfId="0" applyNumberFormat="1" applyFont="1" applyBorder="1" applyAlignment="1">
      <alignment horizontal="center" vertical="center"/>
    </xf>
    <xf numFmtId="14" fontId="59" fillId="0" borderId="244" xfId="0" applyNumberFormat="1" applyFont="1" applyBorder="1" applyAlignment="1">
      <alignment horizontal="center" vertical="center"/>
    </xf>
    <xf numFmtId="0" fontId="59" fillId="0" borderId="243" xfId="0" applyFont="1" applyBorder="1" applyAlignment="1">
      <alignment horizontal="center" vertical="center"/>
    </xf>
    <xf numFmtId="0" fontId="59" fillId="0" borderId="196" xfId="0" applyFont="1" applyBorder="1" applyAlignment="1">
      <alignment horizontal="center" vertical="center"/>
    </xf>
    <xf numFmtId="0" fontId="59" fillId="0" borderId="244" xfId="0" applyFont="1" applyBorder="1" applyAlignment="1">
      <alignment horizontal="center" vertical="center"/>
    </xf>
    <xf numFmtId="0" fontId="59" fillId="0" borderId="245" xfId="0" applyFont="1" applyBorder="1" applyAlignment="1">
      <alignment horizontal="center" vertical="center"/>
    </xf>
    <xf numFmtId="0" fontId="59" fillId="0" borderId="246" xfId="0" applyFont="1" applyBorder="1" applyAlignment="1">
      <alignment horizontal="center" vertical="center"/>
    </xf>
    <xf numFmtId="0" fontId="59" fillId="0" borderId="247" xfId="0" applyFont="1" applyBorder="1" applyAlignment="1">
      <alignment horizontal="center" vertical="center"/>
    </xf>
    <xf numFmtId="0" fontId="21" fillId="0" borderId="125" xfId="0" applyFont="1" applyBorder="1" applyAlignment="1">
      <alignment horizontal="left" vertical="center" indent="1"/>
    </xf>
    <xf numFmtId="0" fontId="21" fillId="0" borderId="126" xfId="0" applyFont="1" applyBorder="1" applyAlignment="1">
      <alignment horizontal="left" vertical="center" indent="1"/>
    </xf>
    <xf numFmtId="0" fontId="39" fillId="18" borderId="141" xfId="0" applyFont="1" applyFill="1" applyBorder="1" applyAlignment="1">
      <alignment horizontal="left" vertical="center" indent="1"/>
    </xf>
    <xf numFmtId="0" fontId="39" fillId="18" borderId="142" xfId="0" applyFont="1" applyFill="1" applyBorder="1" applyAlignment="1">
      <alignment horizontal="left" vertical="center" indent="1"/>
    </xf>
    <xf numFmtId="0" fontId="39" fillId="19" borderId="54" xfId="0" applyFont="1" applyFill="1" applyBorder="1" applyAlignment="1">
      <alignment horizontal="left" vertical="center" indent="1"/>
    </xf>
    <xf numFmtId="0" fontId="39" fillId="19" borderId="68" xfId="0" applyFont="1" applyFill="1" applyBorder="1" applyAlignment="1">
      <alignment horizontal="left" vertical="center" indent="1"/>
    </xf>
    <xf numFmtId="0" fontId="39" fillId="11" borderId="54" xfId="0" applyFont="1" applyFill="1" applyBorder="1" applyAlignment="1">
      <alignment horizontal="left" vertical="center" indent="1"/>
    </xf>
    <xf numFmtId="0" fontId="39" fillId="11" borderId="68" xfId="0" applyFont="1" applyFill="1" applyBorder="1" applyAlignment="1">
      <alignment horizontal="left" vertical="center" indent="1"/>
    </xf>
    <xf numFmtId="0" fontId="60" fillId="16" borderId="187" xfId="0" applyFont="1" applyFill="1" applyBorder="1" applyAlignment="1">
      <alignment horizontal="center" vertical="center"/>
    </xf>
    <xf numFmtId="0" fontId="60" fillId="16" borderId="188" xfId="0" applyFont="1" applyFill="1" applyBorder="1" applyAlignment="1">
      <alignment horizontal="center" vertical="center"/>
    </xf>
    <xf numFmtId="0" fontId="60" fillId="16" borderId="190" xfId="0" applyFont="1" applyFill="1" applyBorder="1" applyAlignment="1">
      <alignment horizontal="center" vertical="center"/>
    </xf>
    <xf numFmtId="0" fontId="60" fillId="16" borderId="191" xfId="0" applyFont="1" applyFill="1" applyBorder="1" applyAlignment="1">
      <alignment horizontal="center" vertical="center"/>
    </xf>
    <xf numFmtId="0" fontId="39" fillId="0" borderId="55" xfId="0" applyFont="1" applyBorder="1" applyAlignment="1">
      <alignment horizontal="left" vertical="center" indent="1"/>
    </xf>
    <xf numFmtId="0" fontId="39" fillId="0" borderId="195" xfId="0" applyFont="1" applyBorder="1" applyAlignment="1">
      <alignment horizontal="left" vertical="center" indent="1"/>
    </xf>
    <xf numFmtId="0" fontId="21" fillId="15" borderId="0" xfId="0" applyFont="1" applyFill="1" applyAlignment="1">
      <alignment horizontal="right" vertical="center" indent="1"/>
    </xf>
    <xf numFmtId="167" fontId="21" fillId="15" borderId="0" xfId="0" applyNumberFormat="1" applyFont="1" applyFill="1" applyAlignment="1">
      <alignment horizontal="left" vertical="center"/>
    </xf>
    <xf numFmtId="0" fontId="21" fillId="0" borderId="125" xfId="0" applyFont="1" applyBorder="1" applyAlignment="1">
      <alignment horizontal="left" vertical="center"/>
    </xf>
    <xf numFmtId="0" fontId="21" fillId="0" borderId="126" xfId="0" applyFont="1" applyBorder="1" applyAlignment="1">
      <alignment horizontal="left" vertical="center"/>
    </xf>
    <xf numFmtId="0" fontId="21" fillId="17" borderId="198" xfId="0" applyFont="1" applyFill="1" applyBorder="1" applyAlignment="1" applyProtection="1">
      <alignment horizontal="center" vertical="center"/>
    </xf>
    <xf numFmtId="0" fontId="21" fillId="17" borderId="141" xfId="0" applyFont="1" applyFill="1" applyBorder="1" applyAlignment="1" applyProtection="1">
      <alignment horizontal="center" vertical="center"/>
    </xf>
    <xf numFmtId="0" fontId="21" fillId="17" borderId="199" xfId="0" applyFont="1" applyFill="1" applyBorder="1" applyAlignment="1" applyProtection="1">
      <alignment horizontal="center" vertical="center"/>
    </xf>
    <xf numFmtId="0" fontId="21" fillId="17" borderId="5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21" fillId="17" borderId="50" xfId="0" applyFont="1" applyFill="1" applyBorder="1" applyAlignment="1" applyProtection="1">
      <alignment horizontal="center" vertical="center"/>
    </xf>
    <xf numFmtId="167" fontId="24" fillId="0" borderId="70" xfId="0" applyNumberFormat="1" applyFont="1" applyBorder="1" applyAlignment="1">
      <alignment horizontal="left"/>
    </xf>
    <xf numFmtId="167" fontId="24" fillId="0" borderId="234" xfId="0" applyNumberFormat="1" applyFont="1" applyBorder="1" applyAlignment="1">
      <alignment horizontal="left"/>
    </xf>
    <xf numFmtId="0" fontId="60" fillId="16" borderId="218" xfId="0" applyFont="1" applyFill="1" applyBorder="1" applyAlignment="1">
      <alignment horizontal="center"/>
    </xf>
    <xf numFmtId="0" fontId="60" fillId="16" borderId="219" xfId="0" applyFont="1" applyFill="1" applyBorder="1" applyAlignment="1">
      <alignment horizontal="center"/>
    </xf>
    <xf numFmtId="0" fontId="60" fillId="16" borderId="220" xfId="0" applyFont="1" applyFill="1" applyBorder="1" applyAlignment="1">
      <alignment horizontal="center"/>
    </xf>
    <xf numFmtId="0" fontId="60" fillId="16" borderId="221" xfId="0" applyFont="1" applyFill="1" applyBorder="1" applyAlignment="1">
      <alignment horizontal="center"/>
    </xf>
    <xf numFmtId="0" fontId="25" fillId="0" borderId="0" xfId="0" applyFont="1" applyAlignment="1">
      <alignment horizontal="center" vertical="center"/>
    </xf>
    <xf numFmtId="0" fontId="61" fillId="0" borderId="0" xfId="0" applyFont="1" applyAlignment="1">
      <alignment horizontal="center" vertical="top"/>
    </xf>
    <xf numFmtId="0" fontId="44" fillId="0" borderId="0" xfId="0" applyFont="1" applyAlignment="1">
      <alignment horizontal="center" vertical="center"/>
    </xf>
    <xf numFmtId="0" fontId="21" fillId="17" borderId="145" xfId="0" applyFont="1" applyFill="1" applyBorder="1" applyAlignment="1" applyProtection="1">
      <alignment horizontal="center" vertical="center"/>
    </xf>
    <xf numFmtId="0" fontId="21" fillId="17" borderId="146" xfId="0" applyFont="1" applyFill="1" applyBorder="1" applyAlignment="1" applyProtection="1">
      <alignment horizontal="center" vertical="center"/>
    </xf>
    <xf numFmtId="0" fontId="21" fillId="17" borderId="147" xfId="0" applyFont="1" applyFill="1" applyBorder="1" applyAlignment="1" applyProtection="1">
      <alignment horizontal="center" vertical="center"/>
    </xf>
    <xf numFmtId="0" fontId="18" fillId="0" borderId="0" xfId="0" applyFont="1" applyBorder="1" applyAlignment="1">
      <alignment horizontal="center" wrapText="1"/>
    </xf>
    <xf numFmtId="0" fontId="14" fillId="9" borderId="52"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53" xfId="0" applyFont="1" applyFill="1" applyBorder="1" applyAlignment="1">
      <alignment horizontal="center" vertical="center"/>
    </xf>
    <xf numFmtId="0" fontId="14" fillId="9" borderId="232" xfId="0" applyFont="1" applyFill="1" applyBorder="1" applyAlignment="1">
      <alignment horizontal="center" vertical="center"/>
    </xf>
    <xf numFmtId="0" fontId="14" fillId="9" borderId="266" xfId="0" applyFont="1" applyFill="1" applyBorder="1" applyAlignment="1">
      <alignment horizontal="center" vertical="center"/>
    </xf>
    <xf numFmtId="0" fontId="13" fillId="9" borderId="257" xfId="0" applyFont="1" applyFill="1" applyBorder="1" applyAlignment="1">
      <alignment horizontal="center" vertical="center" shrinkToFit="1"/>
    </xf>
    <xf numFmtId="0" fontId="13" fillId="9" borderId="258" xfId="0" applyFont="1" applyFill="1" applyBorder="1" applyAlignment="1">
      <alignment horizontal="center" vertical="center" shrinkToFit="1"/>
    </xf>
    <xf numFmtId="0" fontId="14" fillId="9" borderId="254" xfId="0" applyFont="1" applyFill="1" applyBorder="1" applyAlignment="1">
      <alignment horizontal="center" vertical="center" shrinkToFit="1"/>
    </xf>
    <xf numFmtId="0" fontId="14" fillId="9" borderId="255" xfId="0" applyFont="1" applyFill="1" applyBorder="1" applyAlignment="1">
      <alignment horizontal="center" vertical="center" shrinkToFit="1"/>
    </xf>
    <xf numFmtId="0" fontId="14" fillId="9" borderId="256" xfId="0" applyFont="1" applyFill="1" applyBorder="1" applyAlignment="1">
      <alignment horizontal="center" vertical="center" shrinkToFit="1"/>
    </xf>
    <xf numFmtId="0" fontId="14" fillId="9" borderId="253" xfId="0" applyFont="1" applyFill="1" applyBorder="1" applyAlignment="1">
      <alignment horizontal="center" vertical="center"/>
    </xf>
    <xf numFmtId="0" fontId="60" fillId="16" borderId="218" xfId="0" applyFont="1" applyFill="1" applyBorder="1" applyAlignment="1">
      <alignment horizontal="center" vertical="center"/>
    </xf>
    <xf numFmtId="0" fontId="60" fillId="16" borderId="219" xfId="0" applyFont="1" applyFill="1" applyBorder="1" applyAlignment="1">
      <alignment horizontal="center" vertical="center"/>
    </xf>
    <xf numFmtId="0" fontId="60" fillId="16" borderId="261" xfId="0" applyFont="1" applyFill="1" applyBorder="1" applyAlignment="1">
      <alignment horizontal="center" vertical="center"/>
    </xf>
    <xf numFmtId="0" fontId="60" fillId="16" borderId="220" xfId="0" applyFont="1" applyFill="1" applyBorder="1" applyAlignment="1">
      <alignment horizontal="center" vertical="center"/>
    </xf>
    <xf numFmtId="0" fontId="60" fillId="16" borderId="221" xfId="0" applyFont="1" applyFill="1" applyBorder="1" applyAlignment="1">
      <alignment horizontal="center" vertical="center"/>
    </xf>
    <xf numFmtId="0" fontId="60" fillId="16" borderId="262" xfId="0" applyFont="1" applyFill="1" applyBorder="1" applyAlignment="1">
      <alignment horizontal="center" vertical="center"/>
    </xf>
    <xf numFmtId="0" fontId="54" fillId="0" borderId="70" xfId="0" applyFont="1" applyBorder="1" applyAlignment="1">
      <alignment horizontal="left"/>
    </xf>
    <xf numFmtId="167" fontId="21" fillId="15" borderId="0" xfId="0" applyNumberFormat="1" applyFont="1" applyFill="1" applyAlignment="1">
      <alignment horizontal="left" vertical="center" indent="1"/>
    </xf>
    <xf numFmtId="0" fontId="21" fillId="15" borderId="0" xfId="0" applyFont="1" applyFill="1" applyAlignment="1">
      <alignment horizontal="right" vertical="center"/>
    </xf>
    <xf numFmtId="0" fontId="34" fillId="13" borderId="92" xfId="0" applyFont="1" applyFill="1" applyBorder="1" applyAlignment="1">
      <alignment horizontal="center" vertical="center" wrapText="1"/>
    </xf>
    <xf numFmtId="0" fontId="34" fillId="13" borderId="94" xfId="0" applyFont="1" applyFill="1" applyBorder="1" applyAlignment="1">
      <alignment horizontal="center" vertical="center"/>
    </xf>
    <xf numFmtId="0" fontId="33" fillId="0" borderId="87" xfId="0" applyFont="1" applyBorder="1" applyAlignment="1">
      <alignment horizontal="center" vertical="top"/>
    </xf>
    <xf numFmtId="0" fontId="34"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xf>
    <xf numFmtId="0" fontId="0" fillId="0" borderId="89" xfId="0" applyBorder="1" applyAlignment="1" applyProtection="1">
      <alignment horizontal="center"/>
      <protection locked="0"/>
    </xf>
    <xf numFmtId="0" fontId="38" fillId="14" borderId="90" xfId="0" applyFont="1" applyFill="1" applyBorder="1" applyAlignment="1">
      <alignment horizontal="center" vertical="center" wrapText="1"/>
    </xf>
    <xf numFmtId="0" fontId="38" fillId="14" borderId="93" xfId="0" applyFont="1" applyFill="1" applyBorder="1" applyAlignment="1">
      <alignment horizontal="center" vertical="center"/>
    </xf>
    <xf numFmtId="0" fontId="38" fillId="12" borderId="156" xfId="0" applyFont="1" applyFill="1" applyBorder="1" applyAlignment="1">
      <alignment horizontal="center" vertical="center" wrapText="1"/>
    </xf>
    <xf numFmtId="0" fontId="38" fillId="12" borderId="157" xfId="0" applyFont="1" applyFill="1" applyBorder="1" applyAlignment="1">
      <alignment horizontal="center" vertical="center"/>
    </xf>
    <xf numFmtId="0" fontId="0" fillId="0" borderId="0" xfId="0" applyAlignment="1">
      <alignment horizontal="left" vertical="top" wrapText="1"/>
    </xf>
    <xf numFmtId="0" fontId="18" fillId="11" borderId="83" xfId="0" applyFont="1" applyFill="1" applyBorder="1" applyAlignment="1" applyProtection="1">
      <alignment horizontal="center"/>
    </xf>
    <xf numFmtId="0" fontId="18" fillId="11" borderId="84" xfId="0" applyFont="1" applyFill="1" applyBorder="1" applyAlignment="1" applyProtection="1">
      <alignment horizontal="center"/>
    </xf>
    <xf numFmtId="0" fontId="18" fillId="11" borderId="150" xfId="0" applyFont="1" applyFill="1" applyBorder="1" applyAlignment="1" applyProtection="1">
      <alignment horizontal="center"/>
    </xf>
    <xf numFmtId="0" fontId="18" fillId="11" borderId="85"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6" xfId="0" applyFont="1" applyFill="1" applyBorder="1" applyAlignment="1" applyProtection="1">
      <alignment horizontal="center" vertical="center"/>
    </xf>
    <xf numFmtId="0" fontId="29" fillId="11" borderId="85" xfId="3" applyFill="1" applyBorder="1" applyAlignment="1" applyProtection="1">
      <alignment horizontal="center" vertical="center"/>
      <protection locked="0"/>
    </xf>
    <xf numFmtId="0" fontId="29" fillId="11" borderId="0" xfId="3" applyFill="1" applyBorder="1" applyAlignment="1" applyProtection="1">
      <alignment horizontal="center" vertical="center"/>
      <protection locked="0"/>
    </xf>
    <xf numFmtId="0" fontId="29" fillId="11" borderId="86" xfId="3" applyFill="1" applyBorder="1" applyAlignment="1" applyProtection="1">
      <alignment horizontal="center" vertical="center"/>
      <protection locked="0"/>
    </xf>
    <xf numFmtId="0" fontId="18" fillId="11" borderId="102" xfId="0" applyFont="1" applyFill="1" applyBorder="1" applyAlignment="1" applyProtection="1">
      <alignment horizontal="center"/>
    </xf>
    <xf numFmtId="0" fontId="18" fillId="11" borderId="103" xfId="0" applyFont="1" applyFill="1" applyBorder="1" applyAlignment="1" applyProtection="1">
      <alignment horizontal="center"/>
    </xf>
    <xf numFmtId="0" fontId="18" fillId="11" borderId="151" xfId="0" applyFont="1" applyFill="1" applyBorder="1" applyAlignment="1" applyProtection="1">
      <alignment horizontal="center"/>
    </xf>
    <xf numFmtId="0" fontId="41" fillId="0" borderId="70" xfId="0" applyNumberFormat="1" applyFont="1" applyFill="1" applyBorder="1" applyAlignment="1" applyProtection="1">
      <alignment horizontal="center" vertical="center"/>
      <protection hidden="1"/>
    </xf>
    <xf numFmtId="3" fontId="7" fillId="0" borderId="111" xfId="0" applyNumberFormat="1" applyFont="1" applyFill="1" applyBorder="1" applyAlignment="1" applyProtection="1">
      <alignment horizontal="center" vertical="center"/>
      <protection hidden="1"/>
    </xf>
    <xf numFmtId="0" fontId="7" fillId="0" borderId="111" xfId="0" applyNumberFormat="1" applyFont="1" applyFill="1" applyBorder="1" applyAlignment="1" applyProtection="1">
      <alignment horizontal="center" vertical="center"/>
      <protection hidden="1"/>
    </xf>
    <xf numFmtId="0" fontId="47" fillId="0" borderId="162" xfId="0" applyNumberFormat="1" applyFont="1" applyBorder="1" applyAlignment="1">
      <alignment horizontal="center" vertical="center"/>
    </xf>
    <xf numFmtId="0" fontId="47" fillId="0" borderId="163" xfId="0" applyNumberFormat="1" applyFont="1" applyBorder="1" applyAlignment="1">
      <alignment horizontal="center" vertical="center"/>
    </xf>
    <xf numFmtId="0" fontId="47" fillId="0" borderId="164" xfId="0" applyNumberFormat="1" applyFont="1" applyBorder="1" applyAlignment="1">
      <alignment horizontal="center" vertic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cellXfs>
  <cellStyles count="4">
    <cellStyle name="Berechnung" xfId="2" builtinId="22"/>
    <cellStyle name="Link" xfId="3" builtinId="8"/>
    <cellStyle name="Standard" xfId="0" builtinId="0"/>
    <cellStyle name="Standard 2" xfId="1" xr:uid="{00000000-0005-0000-0000-000001000000}"/>
  </cellStyles>
  <dxfs count="49">
    <dxf>
      <font>
        <b/>
        <i val="0"/>
      </font>
      <fill>
        <patternFill>
          <bgColor rgb="FFFFFF00"/>
        </patternFill>
      </fill>
    </dxf>
    <dxf>
      <font>
        <b/>
        <i val="0"/>
      </font>
      <fill>
        <patternFill>
          <bgColor rgb="FFFFFF00"/>
        </patternFill>
      </fill>
    </dxf>
    <dxf>
      <font>
        <b/>
        <i val="0"/>
      </font>
      <fill>
        <patternFill>
          <bgColor rgb="FFFFFF00"/>
        </patternFill>
      </fill>
    </dxf>
    <dxf>
      <numFmt numFmtId="165" formatCode=";;;"/>
    </dxf>
    <dxf>
      <font>
        <color rgb="FFDA0000"/>
      </font>
    </dxf>
    <dxf>
      <numFmt numFmtId="165" formatCode=";;;"/>
    </dxf>
    <dxf>
      <font>
        <color theme="2" tint="-9.9948118533890809E-2"/>
      </font>
    </dxf>
    <dxf>
      <font>
        <color rgb="FFDA0000"/>
      </font>
    </dxf>
    <dxf>
      <font>
        <color theme="2" tint="-9.9948118533890809E-2"/>
      </font>
    </dxf>
    <dxf>
      <font>
        <color theme="2" tint="-9.9948118533890809E-2"/>
      </font>
    </dxf>
    <dxf>
      <font>
        <color theme="2" tint="-9.9948118533890809E-2"/>
      </font>
    </dxf>
    <dxf>
      <font>
        <color rgb="FFDA0000"/>
      </font>
    </dxf>
    <dxf>
      <font>
        <color theme="2" tint="-9.9948118533890809E-2"/>
      </font>
    </dxf>
    <dxf>
      <font>
        <color theme="2" tint="-9.9948118533890809E-2"/>
      </font>
    </dxf>
    <dxf>
      <font>
        <color rgb="FFDA0000"/>
      </font>
    </dxf>
    <dxf>
      <font>
        <color theme="2" tint="-9.9948118533890809E-2"/>
      </font>
    </dxf>
    <dxf>
      <font>
        <color theme="2" tint="-9.9948118533890809E-2"/>
      </font>
    </dxf>
    <dxf>
      <font>
        <color rgb="FFDA0000"/>
      </font>
    </dxf>
    <dxf>
      <font>
        <color theme="2" tint="-9.9948118533890809E-2"/>
      </font>
    </dxf>
    <dxf>
      <font>
        <color rgb="FFDA0000"/>
      </font>
    </dxf>
    <dxf>
      <font>
        <color rgb="FFDA0000"/>
      </font>
    </dxf>
    <dxf>
      <font>
        <color rgb="FFDA0000"/>
      </font>
    </dxf>
    <dxf>
      <font>
        <color rgb="FFDA0000"/>
      </font>
    </dxf>
    <dxf>
      <font>
        <color rgb="FFDA0000"/>
      </font>
    </dxf>
    <dxf>
      <font>
        <color theme="2" tint="-9.9948118533890809E-2"/>
      </font>
    </dxf>
    <dxf>
      <font>
        <color theme="2" tint="-9.9948118533890809E-2"/>
      </font>
    </dxf>
    <dxf>
      <numFmt numFmtId="165" formatCode=";;;"/>
    </dxf>
    <dxf>
      <font>
        <color theme="2" tint="-9.9948118533890809E-2"/>
      </font>
    </dxf>
    <dxf>
      <font>
        <color theme="2" tint="-9.9948118533890809E-2"/>
      </font>
    </dxf>
    <dxf>
      <font>
        <color theme="2" tint="-9.9948118533890809E-2"/>
      </font>
    </dxf>
    <dxf>
      <font>
        <color rgb="FFDA0000"/>
      </font>
    </dxf>
    <dxf>
      <font>
        <color theme="2" tint="-9.9948118533890809E-2"/>
      </font>
    </dxf>
    <dxf>
      <font>
        <color theme="2" tint="-9.9948118533890809E-2"/>
      </font>
    </dxf>
    <dxf>
      <font>
        <color theme="2" tint="-9.9948118533890809E-2"/>
      </font>
    </dxf>
    <dxf>
      <font>
        <color rgb="FFDA0000"/>
      </font>
    </dxf>
    <dxf>
      <numFmt numFmtId="165" formatCode=";;;"/>
    </dxf>
    <dxf>
      <border>
        <bottom style="thin">
          <color rgb="FFDA0000"/>
        </bottom>
        <vertical/>
        <horizontal/>
      </border>
    </dxf>
    <dxf>
      <border>
        <bottom style="dashDot">
          <color rgb="FFDA0000"/>
        </bottom>
        <vertical/>
        <horizontal/>
      </border>
    </dxf>
    <dxf>
      <font>
        <b/>
        <i val="0"/>
        <color rgb="FFDA0000"/>
      </font>
    </dxf>
    <dxf>
      <font>
        <b/>
        <i val="0"/>
        <color rgb="FFDA0000"/>
      </font>
    </dxf>
    <dxf>
      <font>
        <b/>
        <i val="0"/>
        <color rgb="FFDA0000"/>
      </font>
      <fill>
        <patternFill patternType="none">
          <bgColor auto="1"/>
        </patternFill>
      </fill>
    </dxf>
    <dxf>
      <font>
        <b/>
        <i val="0"/>
        <color rgb="FFFF0000"/>
      </font>
    </dxf>
    <dxf>
      <font>
        <color theme="2" tint="-9.9948118533890809E-2"/>
      </font>
    </dxf>
    <dxf>
      <font>
        <b/>
        <i val="0"/>
        <color rgb="FFDA0000"/>
      </font>
    </dxf>
    <dxf>
      <font>
        <b val="0"/>
        <i val="0"/>
        <color auto="1"/>
      </font>
      <fill>
        <patternFill>
          <bgColor rgb="FFFFB4B4"/>
        </patternFill>
      </fill>
    </dxf>
    <dxf>
      <font>
        <color rgb="FFDA0000"/>
      </font>
    </dxf>
    <dxf>
      <font>
        <color rgb="FFDA0000"/>
      </font>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FB4B4"/>
      <color rgb="FFFFB3B3"/>
      <color rgb="FFFF9999"/>
      <color rgb="FFFDECE3"/>
      <color rgb="FFFFFFCC"/>
      <color rgb="FFEDFBDD"/>
      <color rgb="FFE7FAD0"/>
      <color rgb="FFFFF2C9"/>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95249</xdr:colOff>
      <xdr:row>0</xdr:row>
      <xdr:rowOff>123825</xdr:rowOff>
    </xdr:from>
    <xdr:to>
      <xdr:col>5</xdr:col>
      <xdr:colOff>523875</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799"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304800</xdr:colOff>
      <xdr:row>0</xdr:row>
      <xdr:rowOff>142875</xdr:rowOff>
    </xdr:from>
    <xdr:to>
      <xdr:col>3</xdr:col>
      <xdr:colOff>542926</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0"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A14C5DFD-90D0-4058-9B1A-04EE58D93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A3131D4C-CFBE-4E0E-8818-F37D336AF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C3F2E970-781A-4099-8CDB-2254E8A663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14FD1406-29BE-4A6B-A659-64382D133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BCFF9275-E0D6-4AE8-9F16-958873F46B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609600</xdr:colOff>
      <xdr:row>0</xdr:row>
      <xdr:rowOff>142875</xdr:rowOff>
    </xdr:from>
    <xdr:to>
      <xdr:col>5</xdr:col>
      <xdr:colOff>171451</xdr:colOff>
      <xdr:row>5</xdr:row>
      <xdr:rowOff>108432</xdr:rowOff>
    </xdr:to>
    <xdr:pic>
      <xdr:nvPicPr>
        <xdr:cNvPr id="2" name="Grafik 1">
          <a:extLst>
            <a:ext uri="{FF2B5EF4-FFF2-40B4-BE49-F238E27FC236}">
              <a16:creationId xmlns:a16="http://schemas.microsoft.com/office/drawing/2014/main" id="{749B014D-80BB-4B0C-B98A-E06D42E9EE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975" y="142875"/>
          <a:ext cx="1304926" cy="17372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390523</xdr:colOff>
      <xdr:row>2</xdr:row>
      <xdr:rowOff>66674</xdr:rowOff>
    </xdr:from>
    <xdr:to>
      <xdr:col>22</xdr:col>
      <xdr:colOff>0</xdr:colOff>
      <xdr:row>58</xdr:row>
      <xdr:rowOff>152400</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4"/>
          <a:ext cx="7620002" cy="91535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zwei Vierergruppen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verschiedenen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Die vier Gruppenersten spielen in einem Halbfinale, einem Finale und einem Spiel um den dritten Platz um die Plätze 1 bis 4. Die vier Gruppenzweiten spielen auf die gleiche Weise um die Plätze 5 bis 8, die vier Gruppendritten um die Plätze 9 bis 12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a:t>
          </a:r>
          <a:r>
            <a:rPr lang="de-DE" sz="1400" b="0" baseline="0">
              <a:solidFill>
                <a:schemeClr val="dk1"/>
              </a:solidFill>
              <a:effectLst/>
              <a:latin typeface="+mn-lt"/>
              <a:ea typeface="+mn-ea"/>
              <a:cs typeface="+mn-cs"/>
            </a:rPr>
            <a:t>Für "Endrunde 2" qualifizieren sich die vier Gruppenersten und die vier Gruppenzweiten. Es werden Viertelfinale, Halbfinale, Finale und Spiel um den dritten Platz ausgetragen, um die besten vier Teams zu ermitteln.</a:t>
          </a:r>
        </a:p>
        <a:p>
          <a:pPr marL="0" indent="0"/>
          <a:endParaRPr lang="de-DE" sz="1400" b="0" baseline="0">
            <a:solidFill>
              <a:schemeClr val="dk1"/>
            </a:solidFill>
            <a:effectLst/>
            <a:latin typeface="+mn-lt"/>
            <a:ea typeface="+mn-ea"/>
            <a:cs typeface="+mn-cs"/>
          </a:endParaRPr>
        </a:p>
        <a:p>
          <a:pPr marL="0" indent="0"/>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2a</a:t>
          </a:r>
          <a:r>
            <a:rPr lang="de-DE" sz="1400" b="0" baseline="0">
              <a:solidFill>
                <a:schemeClr val="dk1"/>
              </a:solidFill>
              <a:effectLst/>
              <a:latin typeface="+mn-lt"/>
              <a:ea typeface="+mn-ea"/>
              <a:cs typeface="+mn-cs"/>
            </a:rPr>
            <a:t>":  Wie "Endrunde 2", zusätzlich KO-Runde für die Plätze 5 - 8.</a:t>
          </a:r>
        </a:p>
        <a:p>
          <a:pPr marL="0" indent="0"/>
          <a:endParaRPr lang="de-DE" sz="1400" b="0" baseline="0">
            <a:solidFill>
              <a:schemeClr val="dk1"/>
            </a:solidFill>
            <a:effectLst/>
            <a:latin typeface="+mn-lt"/>
            <a:ea typeface="+mn-ea"/>
            <a:cs typeface="+mn-cs"/>
          </a:endParaRPr>
        </a:p>
        <a:p>
          <a:pPr marL="0" indent="0"/>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2b</a:t>
          </a:r>
          <a:r>
            <a:rPr lang="de-DE" sz="1400" b="0" baseline="0">
              <a:solidFill>
                <a:schemeClr val="dk1"/>
              </a:solidFill>
              <a:effectLst/>
              <a:latin typeface="+mn-lt"/>
              <a:ea typeface="+mn-ea"/>
              <a:cs typeface="+mn-cs"/>
            </a:rPr>
            <a:t>":  Wie "Endrunde 2a", zusätzlich KO-Runde für die Plätze 9 - 16.</a:t>
          </a:r>
        </a:p>
        <a:p>
          <a:pPr marL="0" indent="0"/>
          <a:endParaRPr lang="de-DE" sz="1400" b="0" baseline="0">
            <a:solidFill>
              <a:schemeClr val="dk1"/>
            </a:solidFill>
            <a:effectLst/>
            <a:latin typeface="+mn-lt"/>
            <a:ea typeface="+mn-ea"/>
            <a:cs typeface="+mn-cs"/>
          </a:endParaRPr>
        </a:p>
        <a:p>
          <a:pPr marL="0" indent="0"/>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2c</a:t>
          </a:r>
          <a:r>
            <a:rPr lang="de-DE" sz="1400" b="0" baseline="0">
              <a:solidFill>
                <a:schemeClr val="dk1"/>
              </a:solidFill>
              <a:effectLst/>
              <a:latin typeface="+mn-lt"/>
              <a:ea typeface="+mn-ea"/>
              <a:cs typeface="+mn-cs"/>
            </a:rPr>
            <a:t>":  Wie "Endrunde 2a", zusätzlich werden auch die restlichen Plätze in KO-Runden ausgespielt.</a:t>
          </a:r>
        </a:p>
        <a:p>
          <a:pPr marL="0" indent="0"/>
          <a:endParaRPr lang="de-DE" sz="14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Für "Endrunde 3" qualifizieren sich die vier Gruppenersten. Es werden Halbfinale, Finale und Spiel um den dritten Platz ausgetragen, um die Belegung der ersten vier Plätze zu ermitteln.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Die vier Gruppenersten spielen in einer Vierergruppe jeder gegen jeden um die Plätze 1 bis 4, die vier Gruppenzweiten in gleicher Weise um die Plätze 5 bis 8, . . . , die vier Gruppensechsten in gleicher Weise um die Plätze 21 bis 24.</a:t>
          </a:r>
        </a:p>
      </xdr:txBody>
    </xdr:sp>
    <xdr:clientData/>
  </xdr:twoCellAnchor>
  <xdr:twoCellAnchor>
    <xdr:from>
      <xdr:col>12</xdr:col>
      <xdr:colOff>9524</xdr:colOff>
      <xdr:row>60</xdr:row>
      <xdr:rowOff>152400</xdr:rowOff>
    </xdr:from>
    <xdr:to>
      <xdr:col>21</xdr:col>
      <xdr:colOff>761999</xdr:colOff>
      <xdr:row>102</xdr:row>
      <xdr:rowOff>152400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9867900"/>
          <a:ext cx="7610475" cy="73533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DirVergleich_D</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66674</xdr:rowOff>
    </xdr:from>
    <xdr:to>
      <xdr:col>11</xdr:col>
      <xdr:colOff>9525</xdr:colOff>
      <xdr:row>58</xdr:row>
      <xdr:rowOff>152399</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4"/>
          <a:ext cx="7620002" cy="91535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two groups of five and two groups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different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a:t>
          </a:r>
          <a:r>
            <a:rPr lang="de-DE" sz="1400" b="1"/>
            <a:t>Finals 1</a:t>
          </a:r>
          <a:r>
            <a:rPr lang="de-DE" sz="1400"/>
            <a:t>”:  The four group winners play in a semi-final, a final and a third place match for places 1 to 4. The four group runners-up play in the same way for places 5 to 8, the four third place teams play for places 9 to 12, etc.</a:t>
          </a:r>
        </a:p>
        <a:p>
          <a:pPr marL="0" indent="0"/>
          <a:endParaRPr lang="de-DE" sz="1400"/>
        </a:p>
        <a:p>
          <a:pPr marL="0" indent="0"/>
          <a:r>
            <a:rPr lang="de-DE" sz="1400"/>
            <a:t>"</a:t>
          </a:r>
          <a:r>
            <a:rPr lang="de-DE" sz="1400" b="1"/>
            <a:t>Finals 2</a:t>
          </a:r>
          <a:r>
            <a:rPr lang="de-DE" sz="1400"/>
            <a:t>":  The four group winners and the four group runners-up qualify for “Final Round 2”. Quarter-finals, semi-finals, finals and third place match will be played to determine the top four teams.</a:t>
          </a:r>
        </a:p>
        <a:p>
          <a:pPr marL="0" indent="0"/>
          <a:endParaRPr lang="de-DE" sz="1400"/>
        </a:p>
        <a:p>
          <a:pPr marL="0" indent="0"/>
          <a:r>
            <a:rPr lang="de-DE" sz="1400"/>
            <a:t>"</a:t>
          </a:r>
          <a:r>
            <a:rPr lang="de-DE" sz="1400" b="1"/>
            <a:t>Finals 2a</a:t>
          </a:r>
          <a:r>
            <a:rPr lang="de-DE" sz="1400"/>
            <a:t>": Like "Final Round 2", plus knockout round for places 5 - 8.</a:t>
          </a:r>
        </a:p>
        <a:p>
          <a:pPr marL="0" indent="0"/>
          <a:endParaRPr lang="de-DE" sz="1400"/>
        </a:p>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Finals 2b</a:t>
          </a:r>
          <a:r>
            <a:rPr lang="de-DE" sz="1400">
              <a:solidFill>
                <a:schemeClr val="dk1"/>
              </a:solidFill>
              <a:effectLst/>
              <a:latin typeface="+mn-lt"/>
              <a:ea typeface="+mn-ea"/>
              <a:cs typeface="+mn-cs"/>
            </a:rPr>
            <a:t>": Like "Final Round 2", plus knockout round for places 9 - 16.</a:t>
          </a:r>
          <a:endParaRPr lang="de-DE" sz="1400"/>
        </a:p>
        <a:p>
          <a:pPr marL="0" indent="0"/>
          <a:endParaRPr lang="de-DE" sz="1400"/>
        </a:p>
        <a:p>
          <a:pPr marL="0" indent="0"/>
          <a:r>
            <a:rPr lang="de-DE" sz="1400"/>
            <a:t>"</a:t>
          </a:r>
          <a:r>
            <a:rPr lang="de-DE" sz="1400" b="1"/>
            <a:t>Finals 2c</a:t>
          </a:r>
          <a:r>
            <a:rPr lang="de-DE" sz="1400"/>
            <a:t>": Like "Finals Round 2a", additionally the remaining places will be played out in knockout rounds.</a:t>
          </a:r>
        </a:p>
        <a:p>
          <a:pPr marL="0" indent="0"/>
          <a:endParaRPr lang="de-DE" sz="1400" b="0" baseline="0">
            <a:solidFill>
              <a:schemeClr val="tx1">
                <a:lumMod val="65000"/>
                <a:lumOff val="35000"/>
              </a:schemeClr>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Finals 3</a:t>
          </a:r>
          <a:r>
            <a:rPr lang="de-DE" sz="1400">
              <a:solidFill>
                <a:schemeClr val="dk1"/>
              </a:solidFill>
              <a:effectLst/>
              <a:latin typeface="+mn-lt"/>
              <a:ea typeface="+mn-ea"/>
              <a:cs typeface="+mn-cs"/>
            </a:rPr>
            <a:t>":  The four group winners qualify for “Final Round 3”. Semi-finals, final and third place match will be played to determine the occupancy</a:t>
          </a:r>
          <a:r>
            <a:rPr lang="de-DE" sz="1400" baseline="0">
              <a:solidFill>
                <a:schemeClr val="dk1"/>
              </a:solidFill>
              <a:effectLst/>
              <a:latin typeface="+mn-lt"/>
              <a:ea typeface="+mn-ea"/>
              <a:cs typeface="+mn-cs"/>
            </a:rPr>
            <a:t> of the first four places</a:t>
          </a:r>
          <a:r>
            <a:rPr lang="de-DE"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Finals 4</a:t>
          </a:r>
          <a:r>
            <a:rPr lang="de-DE" sz="1400" b="0" baseline="0">
              <a:solidFill>
                <a:sysClr val="windowText" lastClr="000000"/>
              </a:solidFill>
              <a:latin typeface="+mn-lt"/>
              <a:ea typeface="+mn-ea"/>
              <a:cs typeface="+mn-cs"/>
            </a:rPr>
            <a:t>":  </a:t>
          </a:r>
          <a:r>
            <a:rPr lang="de-DE" sz="1400"/>
            <a:t>The four group winners play against each other in a group of four for places 1 to 4, the four group runners-up play in the same way for places 5 to 8, . . . , the four sixth-placed teams compete equally for places 21 to 24.</a:t>
          </a:r>
          <a:endParaRPr lang="de-DE" sz="1400" b="0" baseline="0">
            <a:solidFill>
              <a:schemeClr val="tx1">
                <a:lumMod val="65000"/>
                <a:lumOff val="35000"/>
              </a:schemeClr>
            </a:solidFill>
            <a:latin typeface="+mn-lt"/>
            <a:ea typeface="+mn-ea"/>
            <a:cs typeface="+mn-cs"/>
          </a:endParaRPr>
        </a:p>
      </xdr:txBody>
    </xdr:sp>
    <xdr:clientData/>
  </xdr:twoCellAnchor>
  <xdr:twoCellAnchor>
    <xdr:from>
      <xdr:col>0</xdr:col>
      <xdr:colOff>761999</xdr:colOff>
      <xdr:row>61</xdr:row>
      <xdr:rowOff>0</xdr:rowOff>
    </xdr:from>
    <xdr:to>
      <xdr:col>10</xdr:col>
      <xdr:colOff>752474</xdr:colOff>
      <xdr:row>102</xdr:row>
      <xdr:rowOff>152400</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61999" y="9877425"/>
          <a:ext cx="7610475" cy="73437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t>
          </a:r>
          <a:r>
            <a:rPr lang="de-DE" sz="1400" b="1"/>
            <a:t>DirComparison_B</a:t>
          </a:r>
          <a:r>
            <a:rPr lang="de-DE" sz="1400"/>
            <a:t>", </a:t>
          </a: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DirComparison_C</a:t>
          </a:r>
          <a:r>
            <a:rPr lang="de-DE" sz="1400">
              <a:solidFill>
                <a:schemeClr val="dk1"/>
              </a:solidFill>
              <a:effectLst/>
              <a:latin typeface="+mn-lt"/>
              <a:ea typeface="+mn-ea"/>
              <a:cs typeface="+mn-cs"/>
            </a:rPr>
            <a:t>" and "</a:t>
          </a:r>
          <a:r>
            <a:rPr lang="de-DE" sz="1400" b="1">
              <a:solidFill>
                <a:schemeClr val="dk1"/>
              </a:solidFill>
              <a:effectLst/>
              <a:latin typeface="+mn-lt"/>
              <a:ea typeface="+mn-ea"/>
              <a:cs typeface="+mn-cs"/>
            </a:rPr>
            <a:t>DirComparison_D</a:t>
          </a:r>
          <a:r>
            <a:rPr lang="de-DE" sz="1400">
              <a:solidFill>
                <a:schemeClr val="dk1"/>
              </a:solidFill>
              <a:effectLst/>
              <a:latin typeface="+mn-lt"/>
              <a:ea typeface="+mn-ea"/>
              <a:cs typeface="+mn-cs"/>
            </a:rPr>
            <a:t>" in </a:t>
          </a:r>
          <a:r>
            <a:rPr lang="de-DE" sz="1400"/>
            <a:t>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H83"/>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49" customWidth="1"/>
    <col min="17" max="17" width="29.7109375" style="168" customWidth="1"/>
    <col min="18" max="18" width="12.42578125" style="168" customWidth="1"/>
    <col min="19" max="19" width="11.42578125" style="168" customWidth="1"/>
    <col min="20" max="20" width="10.7109375" style="168" customWidth="1"/>
    <col min="21" max="21" width="20" hidden="1" customWidth="1"/>
    <col min="22" max="58" width="4.7109375" hidden="1" customWidth="1"/>
    <col min="59" max="59" width="6" hidden="1" customWidth="1"/>
    <col min="60" max="60" width="5.28515625" hidden="1" customWidth="1"/>
    <col min="61" max="16384" width="11.42578125" hidden="1"/>
  </cols>
  <sheetData>
    <row r="1" spans="1:59" ht="9.75" customHeight="1" x14ac:dyDescent="0.25">
      <c r="A1" s="162"/>
    </row>
    <row r="2" spans="1:59" ht="33.75" x14ac:dyDescent="0.5">
      <c r="A2" s="161"/>
      <c r="B2" s="236"/>
      <c r="C2" s="236"/>
      <c r="D2" s="236"/>
      <c r="E2" s="773" t="str">
        <f>Sprache!$E$30</f>
        <v>Teilnehmer und Ablaufplan</v>
      </c>
      <c r="F2" s="773"/>
      <c r="G2" s="773"/>
      <c r="H2" s="773"/>
      <c r="I2" s="773"/>
      <c r="J2" s="773"/>
      <c r="K2" s="773"/>
      <c r="L2" s="773"/>
      <c r="M2" s="773"/>
      <c r="N2" s="773"/>
      <c r="O2" s="236"/>
      <c r="P2" s="236"/>
      <c r="Q2" s="236"/>
      <c r="R2" s="236"/>
      <c r="S2" s="236"/>
    </row>
    <row r="3" spans="1:59" x14ac:dyDescent="0.25"/>
    <row r="4" spans="1:59" ht="29.25" customHeight="1" thickBot="1" x14ac:dyDescent="0.3">
      <c r="C4" s="286" t="str">
        <f>Sprache!$E$16&amp;" A"</f>
        <v>Gruppe A</v>
      </c>
      <c r="D4" s="170"/>
      <c r="E4" s="774" t="str">
        <f>Sprache!$E$32</f>
        <v>Ablaufplan</v>
      </c>
      <c r="F4" s="774"/>
      <c r="G4" s="315"/>
      <c r="H4" s="315"/>
      <c r="I4" s="315"/>
      <c r="J4" s="315"/>
      <c r="K4" s="315"/>
      <c r="L4" s="315"/>
      <c r="M4" s="315"/>
      <c r="N4" s="315"/>
      <c r="O4" s="775" t="str">
        <f>Sprache!$E$20</f>
        <v>Zusätzl. Pause (min)</v>
      </c>
      <c r="Q4" s="352" t="str">
        <f>Sprache!$E$41</f>
        <v>Spielzeiten</v>
      </c>
      <c r="W4" s="167">
        <v>1</v>
      </c>
      <c r="X4" s="167"/>
      <c r="Y4" s="167"/>
      <c r="Z4" s="167"/>
      <c r="AA4" s="167"/>
      <c r="AB4" s="167"/>
      <c r="AC4" s="167">
        <v>2</v>
      </c>
      <c r="AD4" s="167"/>
      <c r="AE4" s="167"/>
      <c r="AF4" s="167"/>
      <c r="AG4" s="167"/>
      <c r="AH4" s="167"/>
      <c r="AI4" s="167">
        <v>3</v>
      </c>
      <c r="AJ4" s="167"/>
      <c r="AK4" s="167"/>
      <c r="AL4" s="167"/>
      <c r="AM4" s="167"/>
      <c r="AN4" s="167"/>
      <c r="AO4" s="167">
        <v>4</v>
      </c>
      <c r="AP4" s="167"/>
      <c r="AQ4" s="167"/>
      <c r="AR4" s="167"/>
      <c r="AS4" s="167"/>
      <c r="AT4" s="167"/>
      <c r="AU4" s="167">
        <v>5</v>
      </c>
      <c r="AV4" s="167"/>
      <c r="AW4" s="167"/>
      <c r="AX4" s="167"/>
      <c r="AY4" s="167"/>
      <c r="AZ4" s="167"/>
      <c r="BA4" s="167">
        <v>6</v>
      </c>
    </row>
    <row r="5" spans="1:59" ht="15.95" customHeight="1" thickTop="1" thickBot="1" x14ac:dyDescent="0.3">
      <c r="A5" s="69"/>
      <c r="B5" s="745"/>
      <c r="C5" s="747" t="str">
        <f>Sprache!$E$10</f>
        <v>Teilnehmer bzw. Mannschaft</v>
      </c>
      <c r="D5" s="65"/>
      <c r="E5" s="183" t="str">
        <f>Sprache!$E$33</f>
        <v>Spiel-Nr.</v>
      </c>
      <c r="F5" s="184" t="str">
        <f>Sprache!$E$39</f>
        <v>Beginn:</v>
      </c>
      <c r="G5" s="184" t="str">
        <f>Sprache!$E$48</f>
        <v>Feld</v>
      </c>
      <c r="H5" s="184" t="str">
        <f>Sprache!$E$17</f>
        <v>Grp</v>
      </c>
      <c r="I5" s="777" t="str">
        <f>Sprache!$E$34</f>
        <v>Paarungen</v>
      </c>
      <c r="J5" s="777"/>
      <c r="K5" s="777"/>
      <c r="L5" s="777" t="str">
        <f>Sprache!$E$31</f>
        <v>Teilnehmer</v>
      </c>
      <c r="M5" s="777"/>
      <c r="N5" s="778"/>
      <c r="O5" s="776"/>
      <c r="Q5" s="769" t="str">
        <f>Sprache!$E$39</f>
        <v>Beginn:</v>
      </c>
      <c r="R5" s="770">
        <v>0.375</v>
      </c>
      <c r="S5" s="772" t="str">
        <f>Sprache!$E$45</f>
        <v>Uhr</v>
      </c>
      <c r="T5" s="169"/>
      <c r="V5" s="391"/>
      <c r="W5" s="392">
        <v>1</v>
      </c>
      <c r="X5" s="392">
        <v>2</v>
      </c>
      <c r="Y5" s="392">
        <v>3</v>
      </c>
      <c r="Z5" s="392">
        <v>4</v>
      </c>
      <c r="AA5" s="392">
        <v>5</v>
      </c>
      <c r="AB5" s="393">
        <v>6</v>
      </c>
      <c r="AC5" s="392">
        <v>1</v>
      </c>
      <c r="AD5" s="392">
        <v>2</v>
      </c>
      <c r="AE5" s="392">
        <v>3</v>
      </c>
      <c r="AF5" s="392">
        <v>4</v>
      </c>
      <c r="AG5" s="392">
        <v>5</v>
      </c>
      <c r="AH5" s="393">
        <v>6</v>
      </c>
      <c r="AI5" s="392">
        <v>1</v>
      </c>
      <c r="AJ5" s="392">
        <v>2</v>
      </c>
      <c r="AK5" s="392">
        <v>3</v>
      </c>
      <c r="AL5" s="392">
        <v>4</v>
      </c>
      <c r="AM5" s="392">
        <v>5</v>
      </c>
      <c r="AN5" s="393">
        <v>6</v>
      </c>
      <c r="AO5" s="392">
        <v>1</v>
      </c>
      <c r="AP5" s="392">
        <v>2</v>
      </c>
      <c r="AQ5" s="392">
        <v>3</v>
      </c>
      <c r="AR5" s="392">
        <v>4</v>
      </c>
      <c r="AS5" s="392">
        <v>5</v>
      </c>
      <c r="AT5" s="393">
        <v>6</v>
      </c>
      <c r="AU5" s="392">
        <v>1</v>
      </c>
      <c r="AV5" s="392">
        <v>2</v>
      </c>
      <c r="AW5" s="392">
        <v>3</v>
      </c>
      <c r="AX5" s="392">
        <v>4</v>
      </c>
      <c r="AY5" s="392">
        <v>5</v>
      </c>
      <c r="AZ5" s="393">
        <v>6</v>
      </c>
      <c r="BA5" s="392">
        <v>1</v>
      </c>
      <c r="BB5" s="392">
        <v>2</v>
      </c>
      <c r="BC5" s="392">
        <v>3</v>
      </c>
      <c r="BD5" s="392">
        <v>4</v>
      </c>
      <c r="BE5" s="392">
        <v>5</v>
      </c>
      <c r="BF5" s="393">
        <v>6</v>
      </c>
    </row>
    <row r="6" spans="1:59" ht="15.95" customHeight="1" x14ac:dyDescent="0.25">
      <c r="A6" s="69"/>
      <c r="B6" s="746"/>
      <c r="C6" s="748"/>
      <c r="D6" s="569">
        <v>1</v>
      </c>
      <c r="E6" s="534">
        <f>IF($D6&gt;Calc1!$B$14,"",1)</f>
        <v>1</v>
      </c>
      <c r="F6" s="185">
        <f>IF(OR($U$15,$D6&gt;Calc1!$B$14),"",$R$5)</f>
        <v>0.375</v>
      </c>
      <c r="G6" s="176" t="str">
        <f>IF(OR($U$15,$D6&gt;Calc1!$B$14),"","1")</f>
        <v>1</v>
      </c>
      <c r="H6" s="299" t="str">
        <f ca="1">IF($I6="","",IF(LEFT($I6,1)&lt;&gt;LEFT($K6,1),"??",LEFT($I6,1)))</f>
        <v>A</v>
      </c>
      <c r="I6" s="318" t="str">
        <f t="array" aca="1" ref="I6:I65" ca="1">IF(Calc1!$F$14&lt;3,"",IF(OFFSET(Pairings!$A$1,0,(Calc1!$F$14-2)*4-1,60,1)="","",OFFSET(Pairings!$A$1,0,(Calc1!$F$14-2)*4-1,60,1)))</f>
        <v>A5</v>
      </c>
      <c r="J6" s="319" t="s">
        <v>5</v>
      </c>
      <c r="K6" s="320" t="str">
        <f t="array" aca="1" ref="K6:K65" ca="1">IF(Calc1!$F$14&lt;3,"",IF(OFFSET(Pairings!$A$1,0,(Calc1!$F$14-2)*4,60,1)="","",OFFSET(Pairings!$A$1,0,(Calc1!$F$14-2)*4,60,1)))</f>
        <v>A2</v>
      </c>
      <c r="L6" s="180" t="str">
        <f ca="1">IF($I6="","",IF(VLOOKUP($I6,$B$7:$C$68,2,0)="","",VLOOKUP($I6,$B$7:$C$68,2,0)))</f>
        <v>VFB Essenheim</v>
      </c>
      <c r="M6" s="181" t="s">
        <v>5</v>
      </c>
      <c r="N6" s="182" t="str">
        <f ca="1">IF($K6="","",IF(VLOOKUP($K6,$B$7:$C$68,2,0)="","",VLOOKUP($K6,$B$7:$C$68,2,0)))</f>
        <v>FC Barcelona</v>
      </c>
      <c r="O6" s="329"/>
      <c r="P6" s="316"/>
      <c r="Q6" s="764"/>
      <c r="R6" s="771"/>
      <c r="S6" s="763"/>
      <c r="T6" s="169"/>
      <c r="V6" s="394">
        <v>1</v>
      </c>
      <c r="W6" s="554">
        <v>6</v>
      </c>
      <c r="X6" s="555">
        <v>6</v>
      </c>
      <c r="Y6" s="555">
        <v>6</v>
      </c>
      <c r="Z6" s="555">
        <v>6</v>
      </c>
      <c r="AA6" s="555">
        <v>6</v>
      </c>
      <c r="AB6" s="556">
        <v>6</v>
      </c>
      <c r="AC6" s="554">
        <v>6</v>
      </c>
      <c r="AD6" s="555">
        <v>6</v>
      </c>
      <c r="AE6" s="555">
        <v>6</v>
      </c>
      <c r="AF6" s="555">
        <v>6</v>
      </c>
      <c r="AG6" s="555">
        <v>6</v>
      </c>
      <c r="AH6" s="556">
        <v>6</v>
      </c>
      <c r="AI6" s="554">
        <v>6</v>
      </c>
      <c r="AJ6" s="555">
        <v>6</v>
      </c>
      <c r="AK6" s="555">
        <v>6</v>
      </c>
      <c r="AL6" s="555">
        <v>6</v>
      </c>
      <c r="AM6" s="555">
        <v>6</v>
      </c>
      <c r="AN6" s="556">
        <v>6</v>
      </c>
      <c r="AO6" s="554">
        <v>6</v>
      </c>
      <c r="AP6" s="555">
        <v>6</v>
      </c>
      <c r="AQ6" s="555">
        <v>6</v>
      </c>
      <c r="AR6" s="555">
        <v>6</v>
      </c>
      <c r="AS6" s="555">
        <v>6</v>
      </c>
      <c r="AT6" s="556">
        <v>6</v>
      </c>
      <c r="AU6" s="554">
        <v>6</v>
      </c>
      <c r="AV6" s="555">
        <v>6</v>
      </c>
      <c r="AW6" s="555">
        <v>6</v>
      </c>
      <c r="AX6" s="555">
        <v>6</v>
      </c>
      <c r="AY6" s="555">
        <v>6</v>
      </c>
      <c r="AZ6" s="556">
        <v>6</v>
      </c>
      <c r="BA6" s="554">
        <v>6</v>
      </c>
      <c r="BB6" s="555">
        <v>6</v>
      </c>
      <c r="BC6" s="555">
        <v>6</v>
      </c>
      <c r="BD6" s="555">
        <v>6</v>
      </c>
      <c r="BE6" s="555">
        <v>6</v>
      </c>
      <c r="BF6" s="556">
        <v>6</v>
      </c>
      <c r="BG6" s="465">
        <v>1</v>
      </c>
    </row>
    <row r="7" spans="1:59" ht="15.95" customHeight="1" x14ac:dyDescent="0.25">
      <c r="A7" s="69"/>
      <c r="B7" s="749" t="s">
        <v>208</v>
      </c>
      <c r="C7" s="750" t="s">
        <v>259</v>
      </c>
      <c r="D7" s="569">
        <v>2</v>
      </c>
      <c r="E7" s="528">
        <f t="array" aca="1" ref="E7" ca="1">IF($D7&gt;Calc1!$B$14,"",ROW(2:2)-SUM((($L$6:$L6="")+($N$6:$N6="")&gt;0)*1))</f>
        <v>2</v>
      </c>
      <c r="F7" s="175">
        <f ca="1">IF(OR($U$15,$D7&gt;Calc1!$B$14),"",$R$5+QUOTIENT(($E7-1),$U$11)*($R$7+$R$9)/1440+SUM($O$6:$O6)/1440)</f>
        <v>0.375</v>
      </c>
      <c r="G7" s="177">
        <f ca="1">IF(OR($U$15,$D7&gt;Calc1!$B$14),"",MOD($E7-1,$U$11)+1)</f>
        <v>2</v>
      </c>
      <c r="H7" s="299" t="str">
        <f t="shared" ref="H7:H64" ca="1" si="0">IF($I7="","",IF(LEFT($I7,1)&lt;&gt;LEFT($K7,1),"??",LEFT($I7,1)))</f>
        <v>B</v>
      </c>
      <c r="I7" s="321" t="str">
        <f ca="1"/>
        <v>B5</v>
      </c>
      <c r="J7" s="322" t="s">
        <v>5</v>
      </c>
      <c r="K7" s="323" t="str">
        <f ca="1"/>
        <v>B2</v>
      </c>
      <c r="L7" s="180" t="str">
        <f t="shared" ref="L7:L65" ca="1" si="1">IF($I7="","",IF(VLOOKUP($I7,$B$7:$C$68,2,0)="","",VLOOKUP($I7,$B$7:$C$68,2,0)))</f>
        <v>FC Grönlingen</v>
      </c>
      <c r="M7" s="181" t="s">
        <v>5</v>
      </c>
      <c r="N7" s="182" t="str">
        <f t="shared" ref="N7:N65" ca="1" si="2">IF($K7="","",IF(VLOOKUP($K7,$B$7:$C$68,2,0)="","",VLOOKUP($K7,$B$7:$C$68,2,0)))</f>
        <v>Inter Mailand</v>
      </c>
      <c r="O7" s="330"/>
      <c r="P7" s="316"/>
      <c r="Q7" s="764" t="str">
        <f>Sprache!$E$42</f>
        <v>Spielzeit pro Spiel:</v>
      </c>
      <c r="R7" s="762">
        <v>30</v>
      </c>
      <c r="S7" s="763" t="s">
        <v>165</v>
      </c>
      <c r="T7" s="122"/>
      <c r="U7" t="s">
        <v>273</v>
      </c>
      <c r="V7" s="394">
        <v>2</v>
      </c>
      <c r="W7" s="557">
        <v>6</v>
      </c>
      <c r="X7" s="558">
        <v>6</v>
      </c>
      <c r="Y7" s="558">
        <v>6</v>
      </c>
      <c r="Z7" s="558">
        <v>6</v>
      </c>
      <c r="AA7" s="558">
        <v>6</v>
      </c>
      <c r="AB7" s="559">
        <v>6</v>
      </c>
      <c r="AC7" s="557">
        <v>6</v>
      </c>
      <c r="AD7" s="558">
        <v>6</v>
      </c>
      <c r="AE7" s="558">
        <v>6</v>
      </c>
      <c r="AF7" s="558">
        <v>6</v>
      </c>
      <c r="AG7" s="558">
        <v>6</v>
      </c>
      <c r="AH7" s="559">
        <v>6</v>
      </c>
      <c r="AI7" s="557">
        <v>6</v>
      </c>
      <c r="AJ7" s="558">
        <v>6</v>
      </c>
      <c r="AK7" s="558">
        <v>6</v>
      </c>
      <c r="AL7" s="558">
        <v>6</v>
      </c>
      <c r="AM7" s="558">
        <v>6</v>
      </c>
      <c r="AN7" s="559">
        <v>6</v>
      </c>
      <c r="AO7" s="557">
        <v>6</v>
      </c>
      <c r="AP7" s="558">
        <v>6</v>
      </c>
      <c r="AQ7" s="558">
        <v>6</v>
      </c>
      <c r="AR7" s="558">
        <v>6</v>
      </c>
      <c r="AS7" s="558">
        <v>6</v>
      </c>
      <c r="AT7" s="559">
        <v>6</v>
      </c>
      <c r="AU7" s="557">
        <v>6</v>
      </c>
      <c r="AV7" s="558">
        <v>6</v>
      </c>
      <c r="AW7" s="558">
        <v>6</v>
      </c>
      <c r="AX7" s="558">
        <v>6</v>
      </c>
      <c r="AY7" s="558">
        <v>6</v>
      </c>
      <c r="AZ7" s="559">
        <v>6</v>
      </c>
      <c r="BA7" s="557">
        <v>6</v>
      </c>
      <c r="BB7" s="558">
        <v>6</v>
      </c>
      <c r="BC7" s="558">
        <v>6</v>
      </c>
      <c r="BD7" s="558">
        <v>6</v>
      </c>
      <c r="BE7" s="558">
        <v>6</v>
      </c>
      <c r="BF7" s="559">
        <v>6</v>
      </c>
      <c r="BG7" s="466"/>
    </row>
    <row r="8" spans="1:59" ht="15.95" customHeight="1" x14ac:dyDescent="0.25">
      <c r="A8" s="69"/>
      <c r="B8" s="743"/>
      <c r="C8" s="744"/>
      <c r="D8" s="569">
        <v>3</v>
      </c>
      <c r="E8" s="528">
        <f t="array" aca="1" ref="E8" ca="1">IF($D8&gt;Calc1!$B$14,"",ROW(3:3)-SUM((($L$6:$L7="")+($N$6:$N7="")&gt;0)*1))</f>
        <v>3</v>
      </c>
      <c r="F8" s="175">
        <f ca="1">IF(OR($U$15,$D8&gt;Calc1!$B$14),"",$R$5+QUOTIENT(($E8-1),$U$11)*($R$7+$R$9)/1440+SUM($O$6:$O7)/1440)</f>
        <v>0.375</v>
      </c>
      <c r="G8" s="177">
        <f ca="1">IF(OR($U$15,$D8&gt;Calc1!$B$14),"",MOD($E8-1,$U$11)+1)</f>
        <v>3</v>
      </c>
      <c r="H8" s="299" t="str">
        <f t="shared" ca="1" si="0"/>
        <v>C</v>
      </c>
      <c r="I8" s="321" t="str">
        <f ca="1"/>
        <v>C5</v>
      </c>
      <c r="J8" s="322" t="s">
        <v>5</v>
      </c>
      <c r="K8" s="323" t="str">
        <f ca="1"/>
        <v>C2</v>
      </c>
      <c r="L8" s="180" t="str">
        <f t="shared" ca="1" si="1"/>
        <v>1. FC Nürnberg</v>
      </c>
      <c r="M8" s="181" t="s">
        <v>5</v>
      </c>
      <c r="N8" s="182" t="str">
        <f t="shared" ca="1" si="2"/>
        <v>Real Madrid</v>
      </c>
      <c r="O8" s="330"/>
      <c r="P8" s="316"/>
      <c r="Q8" s="764"/>
      <c r="R8" s="762"/>
      <c r="S8" s="763"/>
      <c r="T8" s="169"/>
      <c r="U8" t="s">
        <v>272</v>
      </c>
      <c r="V8" s="394">
        <v>3</v>
      </c>
      <c r="W8" s="557">
        <v>6</v>
      </c>
      <c r="X8" s="558">
        <v>6</v>
      </c>
      <c r="Y8" s="558">
        <v>6</v>
      </c>
      <c r="Z8" s="558">
        <v>6</v>
      </c>
      <c r="AA8" s="558">
        <v>6</v>
      </c>
      <c r="AB8" s="559">
        <v>6</v>
      </c>
      <c r="AC8" s="557">
        <v>6</v>
      </c>
      <c r="AD8" s="558">
        <v>6</v>
      </c>
      <c r="AE8" s="558">
        <v>6</v>
      </c>
      <c r="AF8" s="558">
        <v>6</v>
      </c>
      <c r="AG8" s="558">
        <v>6</v>
      </c>
      <c r="AH8" s="559">
        <v>6</v>
      </c>
      <c r="AI8" s="557">
        <v>6</v>
      </c>
      <c r="AJ8" s="558">
        <v>6</v>
      </c>
      <c r="AK8" s="558">
        <v>6</v>
      </c>
      <c r="AL8" s="558">
        <v>6</v>
      </c>
      <c r="AM8" s="558">
        <v>6</v>
      </c>
      <c r="AN8" s="559">
        <v>6</v>
      </c>
      <c r="AO8" s="557">
        <v>6</v>
      </c>
      <c r="AP8" s="558">
        <v>6</v>
      </c>
      <c r="AQ8" s="558">
        <v>6</v>
      </c>
      <c r="AR8" s="558">
        <v>6</v>
      </c>
      <c r="AS8" s="558">
        <v>6</v>
      </c>
      <c r="AT8" s="559">
        <v>6</v>
      </c>
      <c r="AU8" s="557">
        <v>6</v>
      </c>
      <c r="AV8" s="558">
        <v>6</v>
      </c>
      <c r="AW8" s="558">
        <v>6</v>
      </c>
      <c r="AX8" s="558">
        <v>6</v>
      </c>
      <c r="AY8" s="558">
        <v>6</v>
      </c>
      <c r="AZ8" s="559">
        <v>6</v>
      </c>
      <c r="BA8" s="557">
        <v>6</v>
      </c>
      <c r="BB8" s="558">
        <v>6</v>
      </c>
      <c r="BC8" s="558">
        <v>6</v>
      </c>
      <c r="BD8" s="558">
        <v>6</v>
      </c>
      <c r="BE8" s="558">
        <v>6</v>
      </c>
      <c r="BF8" s="559">
        <v>6</v>
      </c>
      <c r="BG8" s="466"/>
    </row>
    <row r="9" spans="1:59" ht="15.95" customHeight="1" x14ac:dyDescent="0.25">
      <c r="A9" s="69"/>
      <c r="B9" s="739" t="s">
        <v>210</v>
      </c>
      <c r="C9" s="741" t="s">
        <v>260</v>
      </c>
      <c r="D9" s="569">
        <v>4</v>
      </c>
      <c r="E9" s="528">
        <f t="array" aca="1" ref="E9" ca="1">IF($D9&gt;Calc1!$B$14,"",ROW(4:4)-SUM((($L$6:$L8="")+($N$6:$N8="")&gt;0)*1))</f>
        <v>4</v>
      </c>
      <c r="F9" s="175">
        <f ca="1">IF(OR($U$15,$D9&gt;Calc1!$B$14),"",$R$5+QUOTIENT(($E9-1),$U$11)*($R$7+$R$9)/1440+SUM($O$6:$O8)/1440)</f>
        <v>0.375</v>
      </c>
      <c r="G9" s="177">
        <f ca="1">IF(OR($U$15,$D9&gt;Calc1!$B$14),"",MOD($E9-1,$U$11)+1)</f>
        <v>4</v>
      </c>
      <c r="H9" s="299" t="str">
        <f t="shared" ca="1" si="0"/>
        <v>D</v>
      </c>
      <c r="I9" s="321" t="str">
        <f ca="1"/>
        <v>D5</v>
      </c>
      <c r="J9" s="322" t="s">
        <v>5</v>
      </c>
      <c r="K9" s="323" t="str">
        <f ca="1"/>
        <v>D2</v>
      </c>
      <c r="L9" s="180" t="str">
        <f t="shared" ca="1" si="1"/>
        <v>SV Oberredenburg</v>
      </c>
      <c r="M9" s="181" t="s">
        <v>5</v>
      </c>
      <c r="N9" s="182" t="str">
        <f t="shared" ca="1" si="2"/>
        <v>Paris St. Germain</v>
      </c>
      <c r="O9" s="330"/>
      <c r="P9" s="316"/>
      <c r="Q9" s="764" t="str">
        <f>Sprache!$E$43</f>
        <v>Wechselzeit:</v>
      </c>
      <c r="R9" s="762">
        <v>5</v>
      </c>
      <c r="S9" s="763" t="s">
        <v>165</v>
      </c>
      <c r="T9" s="169"/>
      <c r="U9" t="s">
        <v>271</v>
      </c>
      <c r="V9" s="394">
        <v>4</v>
      </c>
      <c r="W9" s="557">
        <v>6</v>
      </c>
      <c r="X9" s="558">
        <v>6</v>
      </c>
      <c r="Y9" s="558">
        <v>6</v>
      </c>
      <c r="Z9" s="558">
        <v>6</v>
      </c>
      <c r="AA9" s="558">
        <v>6</v>
      </c>
      <c r="AB9" s="559">
        <v>6</v>
      </c>
      <c r="AC9" s="557">
        <v>6</v>
      </c>
      <c r="AD9" s="558">
        <v>6</v>
      </c>
      <c r="AE9" s="558">
        <v>6</v>
      </c>
      <c r="AF9" s="558">
        <v>6</v>
      </c>
      <c r="AG9" s="558">
        <v>6</v>
      </c>
      <c r="AH9" s="559">
        <v>6</v>
      </c>
      <c r="AI9" s="557">
        <v>6</v>
      </c>
      <c r="AJ9" s="558">
        <v>6</v>
      </c>
      <c r="AK9" s="558">
        <v>6</v>
      </c>
      <c r="AL9" s="558">
        <v>6</v>
      </c>
      <c r="AM9" s="558">
        <v>6</v>
      </c>
      <c r="AN9" s="559">
        <v>6</v>
      </c>
      <c r="AO9" s="557">
        <v>6</v>
      </c>
      <c r="AP9" s="558">
        <v>6</v>
      </c>
      <c r="AQ9" s="558">
        <v>6</v>
      </c>
      <c r="AR9" s="558">
        <v>6</v>
      </c>
      <c r="AS9" s="558">
        <v>6</v>
      </c>
      <c r="AT9" s="559">
        <v>6</v>
      </c>
      <c r="AU9" s="557">
        <v>6</v>
      </c>
      <c r="AV9" s="558">
        <v>6</v>
      </c>
      <c r="AW9" s="558">
        <v>6</v>
      </c>
      <c r="AX9" s="558">
        <v>6</v>
      </c>
      <c r="AY9" s="558">
        <v>6</v>
      </c>
      <c r="AZ9" s="559">
        <v>6</v>
      </c>
      <c r="BA9" s="557">
        <v>6</v>
      </c>
      <c r="BB9" s="558">
        <v>6</v>
      </c>
      <c r="BC9" s="558">
        <v>6</v>
      </c>
      <c r="BD9" s="558">
        <v>6</v>
      </c>
      <c r="BE9" s="558">
        <v>6</v>
      </c>
      <c r="BF9" s="559">
        <v>6</v>
      </c>
      <c r="BG9" s="466"/>
    </row>
    <row r="10" spans="1:59" ht="15.95" customHeight="1" x14ac:dyDescent="0.25">
      <c r="A10" s="69"/>
      <c r="B10" s="743"/>
      <c r="C10" s="744"/>
      <c r="D10" s="569">
        <v>5</v>
      </c>
      <c r="E10" s="528">
        <f t="array" aca="1" ref="E10" ca="1">IF($D10&gt;Calc1!$B$14,"",ROW(5:5)-SUM((($L$6:$L9="")+($N$6:$N9="")&gt;0)*1))</f>
        <v>5</v>
      </c>
      <c r="F10" s="175">
        <f ca="1">IF(OR($U$15,$D10&gt;Calc1!$B$14),"",$R$5+QUOTIENT(($E10-1),$U$11)*($R$7+$R$9)/1440+SUM($O$6:$O9)/1440)</f>
        <v>0.39930555555555558</v>
      </c>
      <c r="G10" s="177">
        <f ca="1">IF(OR($U$15,$D10&gt;Calc1!$B$14),"",MOD($E10-1,$U$11)+1)</f>
        <v>1</v>
      </c>
      <c r="H10" s="299" t="str">
        <f t="shared" ca="1" si="0"/>
        <v>A</v>
      </c>
      <c r="I10" s="321" t="str">
        <f ca="1"/>
        <v>A3</v>
      </c>
      <c r="J10" s="322" t="s">
        <v>5</v>
      </c>
      <c r="K10" s="323" t="str">
        <f ca="1"/>
        <v>A4</v>
      </c>
      <c r="L10" s="180" t="str">
        <f t="shared" ca="1" si="1"/>
        <v>Eintracht Frankfurt</v>
      </c>
      <c r="M10" s="181" t="s">
        <v>5</v>
      </c>
      <c r="N10" s="182" t="str">
        <f t="shared" ca="1" si="2"/>
        <v>Maibach 1822 eV</v>
      </c>
      <c r="O10" s="330"/>
      <c r="P10" s="316"/>
      <c r="Q10" s="764"/>
      <c r="R10" s="762"/>
      <c r="S10" s="763"/>
      <c r="T10" s="169"/>
      <c r="U10" s="396">
        <f ca="1">IF(OR(Calc1!$F$13&lt;1,Calc2!$F$13&lt;1,Calc3!$F$13&lt;1,Calc4!$F$13&lt;1),6,INDEX(OFFSET($W$6:$AB$11,(Calc4!$F$13-1)*6,(Calc3!$F$13-1)*6),Calc1!$F$13,Calc2!$F$13))</f>
        <v>6</v>
      </c>
      <c r="V10" s="394">
        <v>5</v>
      </c>
      <c r="W10" s="557">
        <v>6</v>
      </c>
      <c r="X10" s="558">
        <v>6</v>
      </c>
      <c r="Y10" s="558">
        <v>6</v>
      </c>
      <c r="Z10" s="558">
        <v>6</v>
      </c>
      <c r="AA10" s="558">
        <v>6</v>
      </c>
      <c r="AB10" s="559">
        <v>6</v>
      </c>
      <c r="AC10" s="557">
        <v>6</v>
      </c>
      <c r="AD10" s="558">
        <v>6</v>
      </c>
      <c r="AE10" s="558">
        <v>6</v>
      </c>
      <c r="AF10" s="558">
        <v>6</v>
      </c>
      <c r="AG10" s="558">
        <v>6</v>
      </c>
      <c r="AH10" s="559">
        <v>6</v>
      </c>
      <c r="AI10" s="557">
        <v>6</v>
      </c>
      <c r="AJ10" s="558">
        <v>6</v>
      </c>
      <c r="AK10" s="558">
        <v>6</v>
      </c>
      <c r="AL10" s="558">
        <v>6</v>
      </c>
      <c r="AM10" s="558">
        <v>6</v>
      </c>
      <c r="AN10" s="559">
        <v>6</v>
      </c>
      <c r="AO10" s="557">
        <v>6</v>
      </c>
      <c r="AP10" s="558">
        <v>6</v>
      </c>
      <c r="AQ10" s="558">
        <v>6</v>
      </c>
      <c r="AR10" s="558">
        <v>6</v>
      </c>
      <c r="AS10" s="558">
        <v>6</v>
      </c>
      <c r="AT10" s="559">
        <v>6</v>
      </c>
      <c r="AU10" s="557">
        <v>6</v>
      </c>
      <c r="AV10" s="558">
        <v>6</v>
      </c>
      <c r="AW10" s="558">
        <v>6</v>
      </c>
      <c r="AX10" s="558">
        <v>6</v>
      </c>
      <c r="AY10" s="558">
        <v>6</v>
      </c>
      <c r="AZ10" s="559">
        <v>6</v>
      </c>
      <c r="BA10" s="557">
        <v>6</v>
      </c>
      <c r="BB10" s="558">
        <v>6</v>
      </c>
      <c r="BC10" s="558">
        <v>6</v>
      </c>
      <c r="BD10" s="558">
        <v>6</v>
      </c>
      <c r="BE10" s="558">
        <v>6</v>
      </c>
      <c r="BF10" s="559">
        <v>6</v>
      </c>
      <c r="BG10" s="466"/>
    </row>
    <row r="11" spans="1:59" ht="15.95" customHeight="1" thickBot="1" x14ac:dyDescent="0.3">
      <c r="A11" s="69"/>
      <c r="B11" s="739" t="s">
        <v>206</v>
      </c>
      <c r="C11" s="741" t="s">
        <v>261</v>
      </c>
      <c r="D11" s="569">
        <v>6</v>
      </c>
      <c r="E11" s="528">
        <f t="array" aca="1" ref="E11" ca="1">IF($D11&gt;Calc1!$B$14,"",ROW(6:6)-SUM((($L$6:$L10="")+($N$6:$N10="")&gt;0)*1))</f>
        <v>6</v>
      </c>
      <c r="F11" s="175">
        <f ca="1">IF(OR($U$15,$D11&gt;Calc1!$B$14),"",$R$5+QUOTIENT(($E11-1),$U$11)*($R$7+$R$9)/1440+SUM($O$6:$O10)/1440)</f>
        <v>0.39930555555555558</v>
      </c>
      <c r="G11" s="177">
        <f ca="1">IF(OR($U$15,$D11&gt;Calc1!$B$14),"",MOD($E11-1,$U$11)+1)</f>
        <v>2</v>
      </c>
      <c r="H11" s="299" t="str">
        <f t="shared" ca="1" si="0"/>
        <v>B</v>
      </c>
      <c r="I11" s="321" t="str">
        <f ca="1"/>
        <v>B3</v>
      </c>
      <c r="J11" s="322" t="s">
        <v>5</v>
      </c>
      <c r="K11" s="323" t="str">
        <f ca="1"/>
        <v>B4</v>
      </c>
      <c r="L11" s="180" t="str">
        <f t="shared" ca="1" si="1"/>
        <v>SSV Wildbach</v>
      </c>
      <c r="M11" s="181" t="s">
        <v>5</v>
      </c>
      <c r="N11" s="182" t="str">
        <f t="shared" ca="1" si="2"/>
        <v>Manchester City</v>
      </c>
      <c r="O11" s="330"/>
      <c r="P11" s="316"/>
      <c r="Q11" s="764" t="str">
        <f>Sprache!$E$44</f>
        <v>Anzahl der Spielfelder:</v>
      </c>
      <c r="R11" s="762">
        <v>4</v>
      </c>
      <c r="S11" s="767" t="str">
        <f ca="1">IF($U$10&lt;7,"(max. "&amp;$U$10&amp;")","")</f>
        <v>(max. 6)</v>
      </c>
      <c r="U11" s="396">
        <f ca="1">MIN($R$11,$U$10)</f>
        <v>4</v>
      </c>
      <c r="V11" s="395">
        <v>6</v>
      </c>
      <c r="W11" s="560">
        <v>6</v>
      </c>
      <c r="X11" s="561">
        <v>6</v>
      </c>
      <c r="Y11" s="561">
        <v>6</v>
      </c>
      <c r="Z11" s="561">
        <v>6</v>
      </c>
      <c r="AA11" s="561">
        <v>6</v>
      </c>
      <c r="AB11" s="562">
        <v>6</v>
      </c>
      <c r="AC11" s="560">
        <v>6</v>
      </c>
      <c r="AD11" s="561">
        <v>6</v>
      </c>
      <c r="AE11" s="561">
        <v>6</v>
      </c>
      <c r="AF11" s="561">
        <v>6</v>
      </c>
      <c r="AG11" s="561">
        <v>6</v>
      </c>
      <c r="AH11" s="562">
        <v>6</v>
      </c>
      <c r="AI11" s="560">
        <v>6</v>
      </c>
      <c r="AJ11" s="561">
        <v>6</v>
      </c>
      <c r="AK11" s="561">
        <v>6</v>
      </c>
      <c r="AL11" s="561">
        <v>6</v>
      </c>
      <c r="AM11" s="561">
        <v>6</v>
      </c>
      <c r="AN11" s="562">
        <v>6</v>
      </c>
      <c r="AO11" s="560">
        <v>6</v>
      </c>
      <c r="AP11" s="561">
        <v>6</v>
      </c>
      <c r="AQ11" s="561">
        <v>6</v>
      </c>
      <c r="AR11" s="561">
        <v>6</v>
      </c>
      <c r="AS11" s="561">
        <v>6</v>
      </c>
      <c r="AT11" s="562">
        <v>6</v>
      </c>
      <c r="AU11" s="560">
        <v>6</v>
      </c>
      <c r="AV11" s="561">
        <v>6</v>
      </c>
      <c r="AW11" s="561">
        <v>6</v>
      </c>
      <c r="AX11" s="561">
        <v>6</v>
      </c>
      <c r="AY11" s="561">
        <v>6</v>
      </c>
      <c r="AZ11" s="562">
        <v>6</v>
      </c>
      <c r="BA11" s="560">
        <v>6</v>
      </c>
      <c r="BB11" s="561">
        <v>6</v>
      </c>
      <c r="BC11" s="561">
        <v>6</v>
      </c>
      <c r="BD11" s="561">
        <v>6</v>
      </c>
      <c r="BE11" s="561">
        <v>6</v>
      </c>
      <c r="BF11" s="562">
        <v>6</v>
      </c>
      <c r="BG11" s="466"/>
    </row>
    <row r="12" spans="1:59" ht="15.95" customHeight="1" thickTop="1" thickBot="1" x14ac:dyDescent="0.3">
      <c r="A12" s="69"/>
      <c r="B12" s="743"/>
      <c r="C12" s="744"/>
      <c r="D12" s="569">
        <v>7</v>
      </c>
      <c r="E12" s="528">
        <f t="array" aca="1" ref="E12" ca="1">IF($D12&gt;Calc1!$B$14,"",ROW(7:7)-SUM((($L$6:$L11="")+($N$6:$N11="")&gt;0)*1))</f>
        <v>7</v>
      </c>
      <c r="F12" s="175">
        <f ca="1">IF(OR($U$15,$D12&gt;Calc1!$B$14),"",$R$5+QUOTIENT(($E12-1),$U$11)*($R$7+$R$9)/1440+SUM($O$6:$O11)/1440)</f>
        <v>0.39930555555555558</v>
      </c>
      <c r="G12" s="177">
        <f ca="1">IF(OR($U$15,$D12&gt;Calc1!$B$14),"",MOD($E12-1,$U$11)+1)</f>
        <v>3</v>
      </c>
      <c r="H12" s="299" t="str">
        <f t="shared" ca="1" si="0"/>
        <v>C</v>
      </c>
      <c r="I12" s="321" t="str">
        <f ca="1"/>
        <v>C3</v>
      </c>
      <c r="J12" s="322" t="s">
        <v>5</v>
      </c>
      <c r="K12" s="323" t="str">
        <f ca="1"/>
        <v>C4</v>
      </c>
      <c r="L12" s="180" t="str">
        <f t="shared" ca="1" si="1"/>
        <v>Borussia Dortmund</v>
      </c>
      <c r="M12" s="181" t="s">
        <v>5</v>
      </c>
      <c r="N12" s="182" t="str">
        <f t="shared" ca="1" si="2"/>
        <v>FSV Rauen</v>
      </c>
      <c r="O12" s="330"/>
      <c r="P12" s="316"/>
      <c r="Q12" s="765"/>
      <c r="R12" s="766"/>
      <c r="S12" s="768"/>
      <c r="T12" s="122"/>
      <c r="U12" s="403" t="s">
        <v>310</v>
      </c>
      <c r="V12" s="394">
        <v>1</v>
      </c>
      <c r="W12" s="554">
        <v>6</v>
      </c>
      <c r="X12" s="555">
        <v>6</v>
      </c>
      <c r="Y12" s="555">
        <v>6</v>
      </c>
      <c r="Z12" s="555">
        <v>6</v>
      </c>
      <c r="AA12" s="555">
        <v>6</v>
      </c>
      <c r="AB12" s="556">
        <v>6</v>
      </c>
      <c r="AC12" s="554">
        <v>6</v>
      </c>
      <c r="AD12" s="555">
        <v>6</v>
      </c>
      <c r="AE12" s="555">
        <v>6</v>
      </c>
      <c r="AF12" s="555">
        <v>6</v>
      </c>
      <c r="AG12" s="555">
        <v>6</v>
      </c>
      <c r="AH12" s="556">
        <v>6</v>
      </c>
      <c r="AI12" s="554">
        <v>6</v>
      </c>
      <c r="AJ12" s="555">
        <v>6</v>
      </c>
      <c r="AK12" s="555">
        <v>6</v>
      </c>
      <c r="AL12" s="555">
        <v>6</v>
      </c>
      <c r="AM12" s="555">
        <v>6</v>
      </c>
      <c r="AN12" s="556">
        <v>6</v>
      </c>
      <c r="AO12" s="554">
        <v>6</v>
      </c>
      <c r="AP12" s="555">
        <v>6</v>
      </c>
      <c r="AQ12" s="555">
        <v>6</v>
      </c>
      <c r="AR12" s="555">
        <v>6</v>
      </c>
      <c r="AS12" s="555">
        <v>6</v>
      </c>
      <c r="AT12" s="556">
        <v>6</v>
      </c>
      <c r="AU12" s="554">
        <v>6</v>
      </c>
      <c r="AV12" s="555">
        <v>6</v>
      </c>
      <c r="AW12" s="555">
        <v>6</v>
      </c>
      <c r="AX12" s="555">
        <v>6</v>
      </c>
      <c r="AY12" s="555">
        <v>6</v>
      </c>
      <c r="AZ12" s="556">
        <v>6</v>
      </c>
      <c r="BA12" s="554">
        <v>6</v>
      </c>
      <c r="BB12" s="555">
        <v>6</v>
      </c>
      <c r="BC12" s="555">
        <v>6</v>
      </c>
      <c r="BD12" s="555">
        <v>6</v>
      </c>
      <c r="BE12" s="555">
        <v>6</v>
      </c>
      <c r="BF12" s="556">
        <v>6</v>
      </c>
      <c r="BG12" s="465">
        <v>2</v>
      </c>
    </row>
    <row r="13" spans="1:59" ht="15.95" customHeight="1" x14ac:dyDescent="0.25">
      <c r="A13" s="69"/>
      <c r="B13" s="739" t="s">
        <v>212</v>
      </c>
      <c r="C13" s="741" t="s">
        <v>262</v>
      </c>
      <c r="D13" s="569">
        <v>8</v>
      </c>
      <c r="E13" s="528">
        <f t="array" aca="1" ref="E13" ca="1">IF($D13&gt;Calc1!$B$14,"",ROW(8:8)-SUM((($L$6:$L12="")+($N$6:$N12="")&gt;0)*1))</f>
        <v>8</v>
      </c>
      <c r="F13" s="175">
        <f ca="1">IF(OR($U$15,$D13&gt;Calc1!$B$14),"",$R$5+QUOTIENT(($E13-1),$U$11)*($R$7+$R$9)/1440+SUM($O$6:$O12)/1440)</f>
        <v>0.39930555555555558</v>
      </c>
      <c r="G13" s="177">
        <f ca="1">IF(OR($U$15,$D13&gt;Calc1!$B$14),"",MOD($E13-1,$U$11)+1)</f>
        <v>4</v>
      </c>
      <c r="H13" s="299" t="str">
        <f t="shared" ca="1" si="0"/>
        <v>D</v>
      </c>
      <c r="I13" s="321" t="str">
        <f ca="1"/>
        <v>D3</v>
      </c>
      <c r="J13" s="322" t="s">
        <v>5</v>
      </c>
      <c r="K13" s="323" t="str">
        <f ca="1"/>
        <v>D4</v>
      </c>
      <c r="L13" s="180" t="str">
        <f t="shared" ca="1" si="1"/>
        <v>HSV</v>
      </c>
      <c r="M13" s="181" t="s">
        <v>5</v>
      </c>
      <c r="N13" s="182" t="str">
        <f t="shared" ca="1" si="2"/>
        <v>RB Leipzig</v>
      </c>
      <c r="O13" s="330"/>
      <c r="P13" s="316"/>
      <c r="Q13" s="756" t="str">
        <f>Sprache!$E$40</f>
        <v>Ende der Vorrunde:</v>
      </c>
      <c r="R13" s="758">
        <f t="array" aca="1" ref="R13" ca="1">IF($U$15,"",$R$5+(ROUNDUP((Calc1!$B$14-SUM(((OFFSET($L$6,,,Calc1!$B$14,1)="")+(OFFSET($N$6,,,Calc1!$B$14,1)="")&gt;0)*1))/$U11,0)*($R$7+$R$9)-$R$9)/1440+SUM(OFFSET($O$6,,,Calc1!$B$14-1,1))/1440)</f>
        <v>0.61458333333333337</v>
      </c>
      <c r="S13" s="760"/>
      <c r="T13" s="169"/>
      <c r="U13" s="397" t="s">
        <v>274</v>
      </c>
      <c r="V13" s="394">
        <v>2</v>
      </c>
      <c r="W13" s="557">
        <v>6</v>
      </c>
      <c r="X13" s="558">
        <v>6</v>
      </c>
      <c r="Y13" s="558">
        <v>6</v>
      </c>
      <c r="Z13" s="558">
        <v>6</v>
      </c>
      <c r="AA13" s="558">
        <v>6</v>
      </c>
      <c r="AB13" s="559">
        <v>6</v>
      </c>
      <c r="AC13" s="557">
        <v>6</v>
      </c>
      <c r="AD13" s="558">
        <v>6</v>
      </c>
      <c r="AE13" s="558">
        <v>6</v>
      </c>
      <c r="AF13" s="558">
        <v>6</v>
      </c>
      <c r="AG13" s="558">
        <v>6</v>
      </c>
      <c r="AH13" s="559">
        <v>6</v>
      </c>
      <c r="AI13" s="557">
        <v>6</v>
      </c>
      <c r="AJ13" s="558">
        <v>6</v>
      </c>
      <c r="AK13" s="558">
        <v>6</v>
      </c>
      <c r="AL13" s="558">
        <v>6</v>
      </c>
      <c r="AM13" s="558">
        <v>6</v>
      </c>
      <c r="AN13" s="559">
        <v>6</v>
      </c>
      <c r="AO13" s="557">
        <v>6</v>
      </c>
      <c r="AP13" s="558">
        <v>6</v>
      </c>
      <c r="AQ13" s="558">
        <v>6</v>
      </c>
      <c r="AR13" s="558">
        <v>6</v>
      </c>
      <c r="AS13" s="558">
        <v>6</v>
      </c>
      <c r="AT13" s="559">
        <v>6</v>
      </c>
      <c r="AU13" s="557">
        <v>6</v>
      </c>
      <c r="AV13" s="558">
        <v>6</v>
      </c>
      <c r="AW13" s="558">
        <v>6</v>
      </c>
      <c r="AX13" s="558">
        <v>6</v>
      </c>
      <c r="AY13" s="558">
        <v>6</v>
      </c>
      <c r="AZ13" s="559">
        <v>6</v>
      </c>
      <c r="BA13" s="557">
        <v>6</v>
      </c>
      <c r="BB13" s="558">
        <v>6</v>
      </c>
      <c r="BC13" s="558">
        <v>6</v>
      </c>
      <c r="BD13" s="558">
        <v>6</v>
      </c>
      <c r="BE13" s="558">
        <v>6</v>
      </c>
      <c r="BF13" s="559">
        <v>6</v>
      </c>
      <c r="BG13" s="466"/>
    </row>
    <row r="14" spans="1:59" ht="15.95" customHeight="1" thickBot="1" x14ac:dyDescent="0.3">
      <c r="A14" s="69"/>
      <c r="B14" s="743"/>
      <c r="C14" s="744"/>
      <c r="D14" s="569">
        <v>9</v>
      </c>
      <c r="E14" s="528">
        <f t="array" aca="1" ref="E14" ca="1">IF($D14&gt;Calc1!$B$14,"",ROW(9:9)-SUM((($L$6:$L13="")+($N$6:$N13="")&gt;0)*1))</f>
        <v>9</v>
      </c>
      <c r="F14" s="175">
        <f ca="1">IF(OR($U$15,$D14&gt;Calc1!$B$14),"",$R$5+QUOTIENT(($E14-1),$U$11)*($R$7+$R$9)/1440+SUM($O$6:$O13)/1440)</f>
        <v>0.4236111111111111</v>
      </c>
      <c r="G14" s="177">
        <f ca="1">IF(OR($U$15,$D14&gt;Calc1!$B$14),"",MOD($E14-1,$U$11)+1)</f>
        <v>1</v>
      </c>
      <c r="H14" s="299" t="str">
        <f t="shared" ca="1" si="0"/>
        <v>A</v>
      </c>
      <c r="I14" s="321" t="str">
        <f ca="1"/>
        <v>A5</v>
      </c>
      <c r="J14" s="322" t="s">
        <v>5</v>
      </c>
      <c r="K14" s="323" t="str">
        <f ca="1"/>
        <v>A1</v>
      </c>
      <c r="L14" s="180" t="str">
        <f t="shared" ca="1" si="1"/>
        <v>VFB Essenheim</v>
      </c>
      <c r="M14" s="181" t="s">
        <v>5</v>
      </c>
      <c r="N14" s="182" t="str">
        <f t="shared" ca="1" si="2"/>
        <v>1. FC Riedwald</v>
      </c>
      <c r="O14" s="330"/>
      <c r="P14" s="316"/>
      <c r="Q14" s="757"/>
      <c r="R14" s="759"/>
      <c r="S14" s="761"/>
      <c r="T14" s="169"/>
      <c r="U14" s="397" t="s">
        <v>275</v>
      </c>
      <c r="V14" s="394">
        <v>3</v>
      </c>
      <c r="W14" s="557">
        <v>6</v>
      </c>
      <c r="X14" s="558">
        <v>6</v>
      </c>
      <c r="Y14" s="558">
        <v>6</v>
      </c>
      <c r="Z14" s="558">
        <v>6</v>
      </c>
      <c r="AA14" s="558">
        <v>6</v>
      </c>
      <c r="AB14" s="559">
        <v>6</v>
      </c>
      <c r="AC14" s="557">
        <v>6</v>
      </c>
      <c r="AD14" s="558">
        <v>6</v>
      </c>
      <c r="AE14" s="558">
        <v>6</v>
      </c>
      <c r="AF14" s="558">
        <v>6</v>
      </c>
      <c r="AG14" s="558">
        <v>6</v>
      </c>
      <c r="AH14" s="559">
        <v>6</v>
      </c>
      <c r="AI14" s="557">
        <v>6</v>
      </c>
      <c r="AJ14" s="558">
        <v>6</v>
      </c>
      <c r="AK14" s="558">
        <v>6</v>
      </c>
      <c r="AL14" s="558">
        <v>6</v>
      </c>
      <c r="AM14" s="558">
        <v>6</v>
      </c>
      <c r="AN14" s="559">
        <v>6</v>
      </c>
      <c r="AO14" s="557">
        <v>6</v>
      </c>
      <c r="AP14" s="558">
        <v>6</v>
      </c>
      <c r="AQ14" s="558">
        <v>6</v>
      </c>
      <c r="AR14" s="558">
        <v>6</v>
      </c>
      <c r="AS14" s="558">
        <v>6</v>
      </c>
      <c r="AT14" s="559">
        <v>6</v>
      </c>
      <c r="AU14" s="557">
        <v>6</v>
      </c>
      <c r="AV14" s="558">
        <v>6</v>
      </c>
      <c r="AW14" s="558">
        <v>6</v>
      </c>
      <c r="AX14" s="558">
        <v>6</v>
      </c>
      <c r="AY14" s="558">
        <v>6</v>
      </c>
      <c r="AZ14" s="559">
        <v>6</v>
      </c>
      <c r="BA14" s="557">
        <v>6</v>
      </c>
      <c r="BB14" s="558">
        <v>6</v>
      </c>
      <c r="BC14" s="558">
        <v>6</v>
      </c>
      <c r="BD14" s="558">
        <v>6</v>
      </c>
      <c r="BE14" s="558">
        <v>6</v>
      </c>
      <c r="BF14" s="559">
        <v>6</v>
      </c>
      <c r="BG14" s="466"/>
    </row>
    <row r="15" spans="1:59" ht="15.95" customHeight="1" x14ac:dyDescent="0.25">
      <c r="A15" s="69"/>
      <c r="B15" s="739" t="s">
        <v>214</v>
      </c>
      <c r="C15" s="741" t="s">
        <v>263</v>
      </c>
      <c r="D15" s="569">
        <v>10</v>
      </c>
      <c r="E15" s="528">
        <f t="array" aca="1" ref="E15" ca="1">IF($D15&gt;Calc1!$B$14,"",ROW(10:10)-SUM((($L$6:$L14="")+($N$6:$N14="")&gt;0)*1))</f>
        <v>10</v>
      </c>
      <c r="F15" s="175">
        <f ca="1">IF(OR($U$15,$D15&gt;Calc1!$B$14),"",$R$5+QUOTIENT(($E15-1),$U$11)*($R$7+$R$9)/1440+SUM($O$6:$O14)/1440)</f>
        <v>0.4236111111111111</v>
      </c>
      <c r="G15" s="177">
        <f ca="1">IF(OR($U$15,$D15&gt;Calc1!$B$14),"",MOD($E15-1,$U$11)+1)</f>
        <v>2</v>
      </c>
      <c r="H15" s="299" t="str">
        <f t="shared" ca="1" si="0"/>
        <v>B</v>
      </c>
      <c r="I15" s="321" t="str">
        <f ca="1"/>
        <v>B5</v>
      </c>
      <c r="J15" s="322" t="s">
        <v>5</v>
      </c>
      <c r="K15" s="323" t="str">
        <f ca="1"/>
        <v>B1</v>
      </c>
      <c r="L15" s="180" t="str">
        <f t="shared" ca="1" si="1"/>
        <v>FC Grönlingen</v>
      </c>
      <c r="M15" s="181" t="s">
        <v>5</v>
      </c>
      <c r="N15" s="182" t="str">
        <f t="shared" ca="1" si="2"/>
        <v>Mainz 05</v>
      </c>
      <c r="O15" s="330"/>
      <c r="P15" s="316"/>
      <c r="Q15" s="585" t="str">
        <f>Sprache!$E$124</f>
        <v>Turnierende (Endrunde 1):</v>
      </c>
      <c r="R15" s="588">
        <f ca="1">'Endrunde 1'!$J$52</f>
        <v>0.78472222222222232</v>
      </c>
      <c r="S15" s="427"/>
      <c r="T15" s="169"/>
      <c r="U15" s="398" t="b">
        <f>OR($R$5="",$R$7="",$R$9="",$R$11="",Calc1!$F$14&lt;3)</f>
        <v>0</v>
      </c>
      <c r="V15" s="394">
        <v>4</v>
      </c>
      <c r="W15" s="557">
        <v>6</v>
      </c>
      <c r="X15" s="558">
        <v>6</v>
      </c>
      <c r="Y15" s="558">
        <v>6</v>
      </c>
      <c r="Z15" s="558">
        <v>6</v>
      </c>
      <c r="AA15" s="558">
        <v>6</v>
      </c>
      <c r="AB15" s="559">
        <v>6</v>
      </c>
      <c r="AC15" s="557">
        <v>6</v>
      </c>
      <c r="AD15" s="558">
        <v>6</v>
      </c>
      <c r="AE15" s="558">
        <v>6</v>
      </c>
      <c r="AF15" s="558">
        <v>6</v>
      </c>
      <c r="AG15" s="558">
        <v>6</v>
      </c>
      <c r="AH15" s="559">
        <v>6</v>
      </c>
      <c r="AI15" s="557">
        <v>6</v>
      </c>
      <c r="AJ15" s="558">
        <v>6</v>
      </c>
      <c r="AK15" s="558">
        <v>6</v>
      </c>
      <c r="AL15" s="558">
        <v>6</v>
      </c>
      <c r="AM15" s="558">
        <v>6</v>
      </c>
      <c r="AN15" s="559">
        <v>6</v>
      </c>
      <c r="AO15" s="557">
        <v>6</v>
      </c>
      <c r="AP15" s="558">
        <v>6</v>
      </c>
      <c r="AQ15" s="558">
        <v>6</v>
      </c>
      <c r="AR15" s="558">
        <v>6</v>
      </c>
      <c r="AS15" s="558">
        <v>6</v>
      </c>
      <c r="AT15" s="559">
        <v>6</v>
      </c>
      <c r="AU15" s="557">
        <v>6</v>
      </c>
      <c r="AV15" s="558">
        <v>6</v>
      </c>
      <c r="AW15" s="558">
        <v>6</v>
      </c>
      <c r="AX15" s="558">
        <v>6</v>
      </c>
      <c r="AY15" s="558">
        <v>6</v>
      </c>
      <c r="AZ15" s="559">
        <v>6</v>
      </c>
      <c r="BA15" s="557">
        <v>6</v>
      </c>
      <c r="BB15" s="558">
        <v>6</v>
      </c>
      <c r="BC15" s="558">
        <v>6</v>
      </c>
      <c r="BD15" s="558">
        <v>6</v>
      </c>
      <c r="BE15" s="558">
        <v>6</v>
      </c>
      <c r="BF15" s="559">
        <v>6</v>
      </c>
      <c r="BG15" s="466"/>
    </row>
    <row r="16" spans="1:59" ht="15.95" customHeight="1" x14ac:dyDescent="0.25">
      <c r="A16" s="69"/>
      <c r="B16" s="743"/>
      <c r="C16" s="744"/>
      <c r="D16" s="569">
        <v>11</v>
      </c>
      <c r="E16" s="528">
        <f t="array" aca="1" ref="E16" ca="1">IF($D16&gt;Calc1!$B$14,"",ROW(11:11)-SUM((($L$6:$L15="")+($N$6:$N15="")&gt;0)*1))</f>
        <v>11</v>
      </c>
      <c r="F16" s="175">
        <f ca="1">IF(OR($U$15,$D16&gt;Calc1!$B$14),"",$R$5+QUOTIENT(($E16-1),$U$11)*($R$7+$R$9)/1440+SUM($O$6:$O15)/1440)</f>
        <v>0.4236111111111111</v>
      </c>
      <c r="G16" s="177">
        <f ca="1">IF(OR($U$15,$D16&gt;Calc1!$B$14),"",MOD($E16-1,$U$11)+1)</f>
        <v>3</v>
      </c>
      <c r="H16" s="299" t="str">
        <f t="shared" ca="1" si="0"/>
        <v>C</v>
      </c>
      <c r="I16" s="321" t="str">
        <f ca="1"/>
        <v>C5</v>
      </c>
      <c r="J16" s="322" t="s">
        <v>5</v>
      </c>
      <c r="K16" s="323" t="str">
        <f ca="1"/>
        <v>C1</v>
      </c>
      <c r="L16" s="180" t="str">
        <f t="shared" ca="1" si="1"/>
        <v>1. FC Nürnberg</v>
      </c>
      <c r="M16" s="181" t="s">
        <v>5</v>
      </c>
      <c r="N16" s="182" t="str">
        <f t="shared" ca="1" si="2"/>
        <v>Kickers Rodendorf</v>
      </c>
      <c r="O16" s="330"/>
      <c r="P16" s="316"/>
      <c r="Q16" s="586" t="str">
        <f>Sprache!$E$125</f>
        <v>Turnierende (Endrunde 2):</v>
      </c>
      <c r="R16" s="589">
        <f ca="1">'Endrunde 2'!$K$23</f>
        <v>0.72222222222222232</v>
      </c>
      <c r="S16" s="584"/>
      <c r="T16" s="169"/>
      <c r="V16" s="394">
        <v>5</v>
      </c>
      <c r="W16" s="557">
        <v>6</v>
      </c>
      <c r="X16" s="558">
        <v>6</v>
      </c>
      <c r="Y16" s="558">
        <v>6</v>
      </c>
      <c r="Z16" s="558">
        <v>6</v>
      </c>
      <c r="AA16" s="558">
        <v>6</v>
      </c>
      <c r="AB16" s="559">
        <v>6</v>
      </c>
      <c r="AC16" s="557">
        <v>6</v>
      </c>
      <c r="AD16" s="558">
        <v>6</v>
      </c>
      <c r="AE16" s="558">
        <v>6</v>
      </c>
      <c r="AF16" s="558">
        <v>6</v>
      </c>
      <c r="AG16" s="558">
        <v>6</v>
      </c>
      <c r="AH16" s="559">
        <v>6</v>
      </c>
      <c r="AI16" s="557">
        <v>6</v>
      </c>
      <c r="AJ16" s="558">
        <v>6</v>
      </c>
      <c r="AK16" s="558">
        <v>6</v>
      </c>
      <c r="AL16" s="558">
        <v>6</v>
      </c>
      <c r="AM16" s="558">
        <v>6</v>
      </c>
      <c r="AN16" s="559">
        <v>6</v>
      </c>
      <c r="AO16" s="557">
        <v>6</v>
      </c>
      <c r="AP16" s="558">
        <v>6</v>
      </c>
      <c r="AQ16" s="558">
        <v>6</v>
      </c>
      <c r="AR16" s="558">
        <v>6</v>
      </c>
      <c r="AS16" s="558">
        <v>6</v>
      </c>
      <c r="AT16" s="559">
        <v>6</v>
      </c>
      <c r="AU16" s="557">
        <v>6</v>
      </c>
      <c r="AV16" s="558">
        <v>6</v>
      </c>
      <c r="AW16" s="558">
        <v>6</v>
      </c>
      <c r="AX16" s="558">
        <v>6</v>
      </c>
      <c r="AY16" s="558">
        <v>6</v>
      </c>
      <c r="AZ16" s="559">
        <v>6</v>
      </c>
      <c r="BA16" s="557">
        <v>6</v>
      </c>
      <c r="BB16" s="558">
        <v>6</v>
      </c>
      <c r="BC16" s="558">
        <v>6</v>
      </c>
      <c r="BD16" s="558">
        <v>6</v>
      </c>
      <c r="BE16" s="558">
        <v>6</v>
      </c>
      <c r="BF16" s="559">
        <v>6</v>
      </c>
      <c r="BG16" s="466"/>
    </row>
    <row r="17" spans="1:59" ht="15.95" customHeight="1" thickBot="1" x14ac:dyDescent="0.3">
      <c r="A17" s="69"/>
      <c r="B17" s="739" t="s">
        <v>216</v>
      </c>
      <c r="C17" s="741"/>
      <c r="D17" s="569">
        <v>12</v>
      </c>
      <c r="E17" s="528">
        <f t="array" aca="1" ref="E17" ca="1">IF($D17&gt;Calc1!$B$14,"",ROW(12:12)-SUM((($L$6:$L16="")+($N$6:$N16="")&gt;0)*1))</f>
        <v>12</v>
      </c>
      <c r="F17" s="175">
        <f ca="1">IF(OR($U$15,$D17&gt;Calc1!$B$14),"",$R$5+QUOTIENT(($E17-1),$U$11)*($R$7+$R$9)/1440+SUM($O$6:$O16)/1440)</f>
        <v>0.4236111111111111</v>
      </c>
      <c r="G17" s="177">
        <f ca="1">IF(OR($U$15,$D17&gt;Calc1!$B$14),"",MOD($E17-1,$U$11)+1)</f>
        <v>4</v>
      </c>
      <c r="H17" s="299" t="str">
        <f t="shared" ca="1" si="0"/>
        <v>D</v>
      </c>
      <c r="I17" s="321" t="str">
        <f ca="1"/>
        <v>D5</v>
      </c>
      <c r="J17" s="322" t="s">
        <v>5</v>
      </c>
      <c r="K17" s="323" t="str">
        <f ca="1"/>
        <v>D1</v>
      </c>
      <c r="L17" s="180" t="str">
        <f t="shared" ca="1" si="1"/>
        <v>SV Oberredenburg</v>
      </c>
      <c r="M17" s="181" t="s">
        <v>5</v>
      </c>
      <c r="N17" s="182" t="str">
        <f t="shared" ca="1" si="2"/>
        <v>TSG Saalberg eV</v>
      </c>
      <c r="O17" s="330"/>
      <c r="P17" s="552"/>
      <c r="Q17" s="586" t="str">
        <f>Sprache!$E$128</f>
        <v>Turnierende (Endrunde 2a):</v>
      </c>
      <c r="R17" s="589">
        <f ca="1">'Endrunde 2a'!$K$29</f>
        <v>0.71180555555555569</v>
      </c>
      <c r="S17" s="584"/>
      <c r="T17" s="553"/>
      <c r="U17" s="464" t="str">
        <f>Calc1!$F$13&amp;"  "&amp;Calc2!$F$13&amp;"  "&amp;Calc3!$F$13&amp;"  "&amp;Calc4!$F$13</f>
        <v>5  5  5  5</v>
      </c>
      <c r="V17" s="395">
        <v>6</v>
      </c>
      <c r="W17" s="560">
        <v>6</v>
      </c>
      <c r="X17" s="561">
        <v>6</v>
      </c>
      <c r="Y17" s="561">
        <v>6</v>
      </c>
      <c r="Z17" s="561">
        <v>6</v>
      </c>
      <c r="AA17" s="561">
        <v>6</v>
      </c>
      <c r="AB17" s="562">
        <v>6</v>
      </c>
      <c r="AC17" s="560">
        <v>6</v>
      </c>
      <c r="AD17" s="561">
        <v>6</v>
      </c>
      <c r="AE17" s="561">
        <v>6</v>
      </c>
      <c r="AF17" s="561">
        <v>6</v>
      </c>
      <c r="AG17" s="561">
        <v>6</v>
      </c>
      <c r="AH17" s="562">
        <v>6</v>
      </c>
      <c r="AI17" s="560">
        <v>6</v>
      </c>
      <c r="AJ17" s="561">
        <v>6</v>
      </c>
      <c r="AK17" s="561">
        <v>6</v>
      </c>
      <c r="AL17" s="561">
        <v>6</v>
      </c>
      <c r="AM17" s="561">
        <v>6</v>
      </c>
      <c r="AN17" s="562">
        <v>6</v>
      </c>
      <c r="AO17" s="560">
        <v>6</v>
      </c>
      <c r="AP17" s="561">
        <v>6</v>
      </c>
      <c r="AQ17" s="561">
        <v>6</v>
      </c>
      <c r="AR17" s="561">
        <v>6</v>
      </c>
      <c r="AS17" s="561">
        <v>6</v>
      </c>
      <c r="AT17" s="562">
        <v>6</v>
      </c>
      <c r="AU17" s="560">
        <v>6</v>
      </c>
      <c r="AV17" s="561">
        <v>6</v>
      </c>
      <c r="AW17" s="561">
        <v>6</v>
      </c>
      <c r="AX17" s="561">
        <v>6</v>
      </c>
      <c r="AY17" s="561">
        <v>6</v>
      </c>
      <c r="AZ17" s="562">
        <v>6</v>
      </c>
      <c r="BA17" s="560">
        <v>6</v>
      </c>
      <c r="BB17" s="561">
        <v>6</v>
      </c>
      <c r="BC17" s="561">
        <v>6</v>
      </c>
      <c r="BD17" s="561">
        <v>6</v>
      </c>
      <c r="BE17" s="561">
        <v>6</v>
      </c>
      <c r="BF17" s="562">
        <v>6</v>
      </c>
      <c r="BG17" s="466"/>
    </row>
    <row r="18" spans="1:59" ht="15.95" customHeight="1" thickTop="1" thickBot="1" x14ac:dyDescent="0.3">
      <c r="A18" s="69"/>
      <c r="B18" s="740"/>
      <c r="C18" s="742"/>
      <c r="D18" s="569">
        <v>13</v>
      </c>
      <c r="E18" s="528">
        <f t="array" aca="1" ref="E18" ca="1">IF($D18&gt;Calc1!$B$14,"",ROW(13:13)-SUM((($L$6:$L17="")+($N$6:$N17="")&gt;0)*1))</f>
        <v>13</v>
      </c>
      <c r="F18" s="175">
        <f ca="1">IF(OR($U$15,$D18&gt;Calc1!$B$14),"",$R$5+QUOTIENT(($E18-1),$U$11)*($R$7+$R$9)/1440+SUM($O$6:$O17)/1440)</f>
        <v>0.44791666666666669</v>
      </c>
      <c r="G18" s="177">
        <f ca="1">IF(OR($U$15,$D18&gt;Calc1!$B$14),"",MOD($E18-1,$U$11)+1)</f>
        <v>1</v>
      </c>
      <c r="H18" s="299" t="str">
        <f t="shared" ca="1" si="0"/>
        <v>A</v>
      </c>
      <c r="I18" s="321" t="str">
        <f ca="1"/>
        <v>A2</v>
      </c>
      <c r="J18" s="322" t="s">
        <v>5</v>
      </c>
      <c r="K18" s="323" t="str">
        <f ca="1"/>
        <v>A3</v>
      </c>
      <c r="L18" s="180" t="str">
        <f t="shared" ca="1" si="1"/>
        <v>FC Barcelona</v>
      </c>
      <c r="M18" s="181" t="s">
        <v>5</v>
      </c>
      <c r="N18" s="182" t="str">
        <f t="shared" ca="1" si="2"/>
        <v>Eintracht Frankfurt</v>
      </c>
      <c r="O18" s="330"/>
      <c r="P18" s="552"/>
      <c r="Q18" s="586" t="str">
        <f>Sprache!$E$129</f>
        <v>Turnierende (Endrunde 2b):</v>
      </c>
      <c r="R18" s="589">
        <f ca="1">'Endrunde 2c'!$K$67</f>
        <v>0.78472222222222232</v>
      </c>
      <c r="S18" s="584"/>
      <c r="T18" s="553"/>
      <c r="V18" s="394">
        <v>1</v>
      </c>
      <c r="W18" s="554">
        <v>6</v>
      </c>
      <c r="X18" s="555">
        <v>6</v>
      </c>
      <c r="Y18" s="555">
        <v>6</v>
      </c>
      <c r="Z18" s="555">
        <v>6</v>
      </c>
      <c r="AA18" s="555">
        <v>6</v>
      </c>
      <c r="AB18" s="556">
        <v>6</v>
      </c>
      <c r="AC18" s="554">
        <v>6</v>
      </c>
      <c r="AD18" s="555">
        <v>6</v>
      </c>
      <c r="AE18" s="555">
        <v>6</v>
      </c>
      <c r="AF18" s="555">
        <v>6</v>
      </c>
      <c r="AG18" s="555">
        <v>6</v>
      </c>
      <c r="AH18" s="556">
        <v>6</v>
      </c>
      <c r="AI18" s="554">
        <v>6</v>
      </c>
      <c r="AJ18" s="555">
        <v>6</v>
      </c>
      <c r="AK18" s="555">
        <v>6</v>
      </c>
      <c r="AL18" s="555">
        <v>6</v>
      </c>
      <c r="AM18" s="555">
        <v>6</v>
      </c>
      <c r="AN18" s="556">
        <v>6</v>
      </c>
      <c r="AO18" s="554">
        <v>6</v>
      </c>
      <c r="AP18" s="555">
        <v>6</v>
      </c>
      <c r="AQ18" s="555">
        <v>6</v>
      </c>
      <c r="AR18" s="555">
        <v>6</v>
      </c>
      <c r="AS18" s="555">
        <v>6</v>
      </c>
      <c r="AT18" s="556">
        <v>6</v>
      </c>
      <c r="AU18" s="554">
        <v>6</v>
      </c>
      <c r="AV18" s="555">
        <v>6</v>
      </c>
      <c r="AW18" s="555">
        <v>6</v>
      </c>
      <c r="AX18" s="555">
        <v>6</v>
      </c>
      <c r="AY18" s="555">
        <v>6</v>
      </c>
      <c r="AZ18" s="556">
        <v>6</v>
      </c>
      <c r="BA18" s="554">
        <v>6</v>
      </c>
      <c r="BB18" s="555">
        <v>6</v>
      </c>
      <c r="BC18" s="555">
        <v>6</v>
      </c>
      <c r="BD18" s="555">
        <v>6</v>
      </c>
      <c r="BE18" s="555">
        <v>6</v>
      </c>
      <c r="BF18" s="556">
        <v>6</v>
      </c>
      <c r="BG18" s="465">
        <v>3</v>
      </c>
    </row>
    <row r="19" spans="1:59" ht="15.95" customHeight="1" thickTop="1" x14ac:dyDescent="0.25">
      <c r="A19" s="69"/>
      <c r="B19" s="285"/>
      <c r="C19" s="444"/>
      <c r="D19" s="569">
        <v>14</v>
      </c>
      <c r="E19" s="528">
        <f t="array" aca="1" ref="E19" ca="1">IF($D19&gt;Calc1!$B$14,"",ROW(14:14)-SUM((($L$6:$L18="")+($N$6:$N18="")&gt;0)*1))</f>
        <v>14</v>
      </c>
      <c r="F19" s="175">
        <f ca="1">IF(OR($U$15,$D19&gt;Calc1!$B$14),"",$R$5+QUOTIENT(($E19-1),$U$11)*($R$7+$R$9)/1440+SUM($O$6:$O18)/1440)</f>
        <v>0.44791666666666669</v>
      </c>
      <c r="G19" s="177">
        <f ca="1">IF(OR($U$15,$D19&gt;Calc1!$B$14),"",MOD($E19-1,$U$11)+1)</f>
        <v>2</v>
      </c>
      <c r="H19" s="299" t="str">
        <f t="shared" ca="1" si="0"/>
        <v>B</v>
      </c>
      <c r="I19" s="321" t="str">
        <f ca="1"/>
        <v>B2</v>
      </c>
      <c r="J19" s="322" t="s">
        <v>5</v>
      </c>
      <c r="K19" s="323" t="str">
        <f ca="1"/>
        <v>B3</v>
      </c>
      <c r="L19" s="180" t="str">
        <f t="shared" ca="1" si="1"/>
        <v>Inter Mailand</v>
      </c>
      <c r="M19" s="181" t="s">
        <v>5</v>
      </c>
      <c r="N19" s="182" t="str">
        <f t="shared" ca="1" si="2"/>
        <v>SSV Wildbach</v>
      </c>
      <c r="O19" s="330"/>
      <c r="P19" s="552"/>
      <c r="Q19" s="586" t="str">
        <f>Sprache!$E$126</f>
        <v>Turnierende (Endrunde 3):</v>
      </c>
      <c r="R19" s="589">
        <f ca="1">'Endrunde 3'!$K$18</f>
        <v>0.68750000000000011</v>
      </c>
      <c r="S19" s="584"/>
      <c r="T19" s="553"/>
      <c r="V19" s="394">
        <v>2</v>
      </c>
      <c r="W19" s="557">
        <v>6</v>
      </c>
      <c r="X19" s="558">
        <v>6</v>
      </c>
      <c r="Y19" s="558">
        <v>6</v>
      </c>
      <c r="Z19" s="558">
        <v>6</v>
      </c>
      <c r="AA19" s="558">
        <v>6</v>
      </c>
      <c r="AB19" s="559">
        <v>6</v>
      </c>
      <c r="AC19" s="557">
        <v>6</v>
      </c>
      <c r="AD19" s="558">
        <v>6</v>
      </c>
      <c r="AE19" s="558">
        <v>6</v>
      </c>
      <c r="AF19" s="558">
        <v>6</v>
      </c>
      <c r="AG19" s="558">
        <v>6</v>
      </c>
      <c r="AH19" s="559">
        <v>6</v>
      </c>
      <c r="AI19" s="557">
        <v>6</v>
      </c>
      <c r="AJ19" s="558">
        <v>6</v>
      </c>
      <c r="AK19" s="558">
        <v>6</v>
      </c>
      <c r="AL19" s="558">
        <v>6</v>
      </c>
      <c r="AM19" s="558">
        <v>6</v>
      </c>
      <c r="AN19" s="559">
        <v>6</v>
      </c>
      <c r="AO19" s="557">
        <v>6</v>
      </c>
      <c r="AP19" s="558">
        <v>6</v>
      </c>
      <c r="AQ19" s="558">
        <v>6</v>
      </c>
      <c r="AR19" s="558">
        <v>6</v>
      </c>
      <c r="AS19" s="558">
        <v>6</v>
      </c>
      <c r="AT19" s="559">
        <v>6</v>
      </c>
      <c r="AU19" s="557">
        <v>6</v>
      </c>
      <c r="AV19" s="558">
        <v>6</v>
      </c>
      <c r="AW19" s="558">
        <v>6</v>
      </c>
      <c r="AX19" s="558">
        <v>6</v>
      </c>
      <c r="AY19" s="558">
        <v>6</v>
      </c>
      <c r="AZ19" s="559">
        <v>6</v>
      </c>
      <c r="BA19" s="557">
        <v>6</v>
      </c>
      <c r="BB19" s="558">
        <v>6</v>
      </c>
      <c r="BC19" s="558">
        <v>6</v>
      </c>
      <c r="BD19" s="558">
        <v>6</v>
      </c>
      <c r="BE19" s="558">
        <v>6</v>
      </c>
      <c r="BF19" s="559">
        <v>6</v>
      </c>
      <c r="BG19" s="466"/>
    </row>
    <row r="20" spans="1:59" ht="15.95" customHeight="1" thickBot="1" x14ac:dyDescent="0.3">
      <c r="A20" s="69"/>
      <c r="B20" s="752"/>
      <c r="C20" s="754" t="str">
        <f>Sprache!$E$16&amp;" B"</f>
        <v>Gruppe B</v>
      </c>
      <c r="D20" s="569">
        <v>15</v>
      </c>
      <c r="E20" s="528">
        <f t="array" aca="1" ref="E20" ca="1">IF($D20&gt;Calc1!$B$14,"",ROW(15:15)-SUM((($L$6:$L19="")+($N$6:$N19="")&gt;0)*1))</f>
        <v>15</v>
      </c>
      <c r="F20" s="175">
        <f ca="1">IF(OR($U$15,$D20&gt;Calc1!$B$14),"",$R$5+QUOTIENT(($E20-1),$U$11)*($R$7+$R$9)/1440+SUM($O$6:$O19)/1440)</f>
        <v>0.44791666666666669</v>
      </c>
      <c r="G20" s="177">
        <f ca="1">IF(OR($U$15,$D20&gt;Calc1!$B$14),"",MOD($E20-1,$U$11)+1)</f>
        <v>3</v>
      </c>
      <c r="H20" s="299" t="str">
        <f t="shared" ca="1" si="0"/>
        <v>C</v>
      </c>
      <c r="I20" s="321" t="str">
        <f ca="1"/>
        <v>C2</v>
      </c>
      <c r="J20" s="322" t="s">
        <v>5</v>
      </c>
      <c r="K20" s="323" t="str">
        <f ca="1"/>
        <v>C3</v>
      </c>
      <c r="L20" s="180" t="str">
        <f t="shared" ca="1" si="1"/>
        <v>Real Madrid</v>
      </c>
      <c r="M20" s="181" t="s">
        <v>5</v>
      </c>
      <c r="N20" s="182" t="str">
        <f t="shared" ca="1" si="2"/>
        <v>Borussia Dortmund</v>
      </c>
      <c r="O20" s="330"/>
      <c r="P20" s="552"/>
      <c r="Q20" s="587" t="str">
        <f>Sprache!$E$127</f>
        <v>Turnierende (Endrunde 4):</v>
      </c>
      <c r="R20" s="590">
        <f ca="1">'Endrunde 4'!$J$50</f>
        <v>0.80902777777777779</v>
      </c>
      <c r="S20" s="426"/>
      <c r="T20" s="553"/>
      <c r="V20" s="394">
        <v>3</v>
      </c>
      <c r="W20" s="557">
        <v>6</v>
      </c>
      <c r="X20" s="558">
        <v>6</v>
      </c>
      <c r="Y20" s="558">
        <v>6</v>
      </c>
      <c r="Z20" s="558">
        <v>6</v>
      </c>
      <c r="AA20" s="558">
        <v>6</v>
      </c>
      <c r="AB20" s="559">
        <v>6</v>
      </c>
      <c r="AC20" s="557">
        <v>6</v>
      </c>
      <c r="AD20" s="558">
        <v>6</v>
      </c>
      <c r="AE20" s="558">
        <v>6</v>
      </c>
      <c r="AF20" s="558">
        <v>6</v>
      </c>
      <c r="AG20" s="558">
        <v>6</v>
      </c>
      <c r="AH20" s="559">
        <v>6</v>
      </c>
      <c r="AI20" s="557">
        <v>6</v>
      </c>
      <c r="AJ20" s="558">
        <v>6</v>
      </c>
      <c r="AK20" s="558">
        <v>6</v>
      </c>
      <c r="AL20" s="558">
        <v>6</v>
      </c>
      <c r="AM20" s="558">
        <v>6</v>
      </c>
      <c r="AN20" s="559">
        <v>6</v>
      </c>
      <c r="AO20" s="557">
        <v>6</v>
      </c>
      <c r="AP20" s="558">
        <v>6</v>
      </c>
      <c r="AQ20" s="558">
        <v>6</v>
      </c>
      <c r="AR20" s="558">
        <v>6</v>
      </c>
      <c r="AS20" s="558">
        <v>6</v>
      </c>
      <c r="AT20" s="559">
        <v>6</v>
      </c>
      <c r="AU20" s="557">
        <v>6</v>
      </c>
      <c r="AV20" s="558">
        <v>6</v>
      </c>
      <c r="AW20" s="558">
        <v>6</v>
      </c>
      <c r="AX20" s="558">
        <v>6</v>
      </c>
      <c r="AY20" s="558">
        <v>6</v>
      </c>
      <c r="AZ20" s="559">
        <v>6</v>
      </c>
      <c r="BA20" s="557">
        <v>6</v>
      </c>
      <c r="BB20" s="558">
        <v>6</v>
      </c>
      <c r="BC20" s="558">
        <v>6</v>
      </c>
      <c r="BD20" s="558">
        <v>6</v>
      </c>
      <c r="BE20" s="558">
        <v>6</v>
      </c>
      <c r="BF20" s="559">
        <v>6</v>
      </c>
      <c r="BG20" s="466"/>
    </row>
    <row r="21" spans="1:59" ht="15.95" customHeight="1" thickTop="1" thickBot="1" x14ac:dyDescent="0.3">
      <c r="A21" s="69"/>
      <c r="B21" s="753"/>
      <c r="C21" s="755"/>
      <c r="D21" s="569">
        <v>16</v>
      </c>
      <c r="E21" s="528">
        <f t="array" aca="1" ref="E21" ca="1">IF($D21&gt;Calc1!$B$14,"",ROW(16:16)-SUM((($L$6:$L20="")+($N$6:$N20="")&gt;0)*1))</f>
        <v>16</v>
      </c>
      <c r="F21" s="175">
        <f ca="1">IF(OR($U$15,$D21&gt;Calc1!$B$14),"",$R$5+QUOTIENT(($E21-1),$U$11)*($R$7+$R$9)/1440+SUM($O$6:$O20)/1440)</f>
        <v>0.44791666666666669</v>
      </c>
      <c r="G21" s="177">
        <f ca="1">IF(OR($U$15,$D21&gt;Calc1!$B$14),"",MOD($E21-1,$U$11)+1)</f>
        <v>4</v>
      </c>
      <c r="H21" s="299" t="str">
        <f t="shared" ca="1" si="0"/>
        <v>D</v>
      </c>
      <c r="I21" s="321" t="str">
        <f ca="1"/>
        <v>D2</v>
      </c>
      <c r="J21" s="322" t="s">
        <v>5</v>
      </c>
      <c r="K21" s="323" t="str">
        <f ca="1"/>
        <v>D3</v>
      </c>
      <c r="L21" s="180" t="str">
        <f t="shared" ca="1" si="1"/>
        <v>Paris St. Germain</v>
      </c>
      <c r="M21" s="181" t="s">
        <v>5</v>
      </c>
      <c r="N21" s="182" t="str">
        <f t="shared" ca="1" si="2"/>
        <v>HSV</v>
      </c>
      <c r="O21" s="330"/>
      <c r="P21" s="552"/>
      <c r="T21" s="553"/>
      <c r="V21" s="394">
        <v>4</v>
      </c>
      <c r="W21" s="557">
        <v>6</v>
      </c>
      <c r="X21" s="558">
        <v>6</v>
      </c>
      <c r="Y21" s="558">
        <v>6</v>
      </c>
      <c r="Z21" s="558">
        <v>6</v>
      </c>
      <c r="AA21" s="558">
        <v>6</v>
      </c>
      <c r="AB21" s="559">
        <v>6</v>
      </c>
      <c r="AC21" s="557">
        <v>6</v>
      </c>
      <c r="AD21" s="558">
        <v>6</v>
      </c>
      <c r="AE21" s="558">
        <v>6</v>
      </c>
      <c r="AF21" s="558">
        <v>6</v>
      </c>
      <c r="AG21" s="558">
        <v>6</v>
      </c>
      <c r="AH21" s="559">
        <v>6</v>
      </c>
      <c r="AI21" s="557">
        <v>6</v>
      </c>
      <c r="AJ21" s="558">
        <v>6</v>
      </c>
      <c r="AK21" s="558">
        <v>6</v>
      </c>
      <c r="AL21" s="558">
        <v>6</v>
      </c>
      <c r="AM21" s="558">
        <v>6</v>
      </c>
      <c r="AN21" s="559">
        <v>6</v>
      </c>
      <c r="AO21" s="557">
        <v>6</v>
      </c>
      <c r="AP21" s="558">
        <v>6</v>
      </c>
      <c r="AQ21" s="558">
        <v>6</v>
      </c>
      <c r="AR21" s="558">
        <v>6</v>
      </c>
      <c r="AS21" s="558">
        <v>6</v>
      </c>
      <c r="AT21" s="559">
        <v>6</v>
      </c>
      <c r="AU21" s="557">
        <v>6</v>
      </c>
      <c r="AV21" s="558">
        <v>6</v>
      </c>
      <c r="AW21" s="558">
        <v>6</v>
      </c>
      <c r="AX21" s="558">
        <v>6</v>
      </c>
      <c r="AY21" s="558">
        <v>6</v>
      </c>
      <c r="AZ21" s="559">
        <v>6</v>
      </c>
      <c r="BA21" s="557">
        <v>6</v>
      </c>
      <c r="BB21" s="558">
        <v>6</v>
      </c>
      <c r="BC21" s="558">
        <v>6</v>
      </c>
      <c r="BD21" s="558">
        <v>6</v>
      </c>
      <c r="BE21" s="558">
        <v>6</v>
      </c>
      <c r="BF21" s="559">
        <v>6</v>
      </c>
      <c r="BG21" s="466"/>
    </row>
    <row r="22" spans="1:59" ht="15.95" customHeight="1" thickTop="1" x14ac:dyDescent="0.25">
      <c r="A22" s="69"/>
      <c r="B22" s="745"/>
      <c r="C22" s="747" t="str">
        <f>Sprache!$E$10</f>
        <v>Teilnehmer bzw. Mannschaft</v>
      </c>
      <c r="D22" s="569">
        <v>17</v>
      </c>
      <c r="E22" s="528">
        <f t="array" aca="1" ref="E22" ca="1">IF($D22&gt;Calc1!$B$14,"",ROW(17:17)-SUM((($L$6:$L21="")+($N$6:$N21="")&gt;0)*1))</f>
        <v>17</v>
      </c>
      <c r="F22" s="175">
        <f ca="1">IF(OR($U$15,$D22&gt;Calc1!$B$14),"",$R$5+QUOTIENT(($E22-1),$U$11)*($R$7+$R$9)/1440+SUM($O$6:$O21)/1440)</f>
        <v>0.47222222222222221</v>
      </c>
      <c r="G22" s="177">
        <f ca="1">IF(OR($U$15,$D22&gt;Calc1!$B$14),"",MOD($E22-1,$U$11)+1)</f>
        <v>1</v>
      </c>
      <c r="H22" s="299" t="str">
        <f t="shared" ca="1" si="0"/>
        <v>A</v>
      </c>
      <c r="I22" s="321" t="str">
        <f ca="1"/>
        <v>A1</v>
      </c>
      <c r="J22" s="322" t="s">
        <v>5</v>
      </c>
      <c r="K22" s="323" t="str">
        <f ca="1"/>
        <v>A4</v>
      </c>
      <c r="L22" s="180" t="str">
        <f t="shared" ca="1" si="1"/>
        <v>1. FC Riedwald</v>
      </c>
      <c r="M22" s="181" t="s">
        <v>5</v>
      </c>
      <c r="N22" s="182" t="str">
        <f t="shared" ca="1" si="2"/>
        <v>Maibach 1822 eV</v>
      </c>
      <c r="O22" s="330"/>
      <c r="P22" s="552"/>
      <c r="Q22" s="738" t="str">
        <f ca="1">Sprache!$E$122&amp;$U$10&amp;Sprache!$E$123</f>
        <v>Wegen zeitlicher Konflikte kann nur auf maximal 6 Spielplätzen gleichzeitig gespielt werden.</v>
      </c>
      <c r="R22" s="738"/>
      <c r="S22" s="738"/>
      <c r="T22" s="553"/>
      <c r="V22" s="394">
        <v>5</v>
      </c>
      <c r="W22" s="557">
        <v>6</v>
      </c>
      <c r="X22" s="558">
        <v>6</v>
      </c>
      <c r="Y22" s="558">
        <v>6</v>
      </c>
      <c r="Z22" s="558">
        <v>6</v>
      </c>
      <c r="AA22" s="558">
        <v>6</v>
      </c>
      <c r="AB22" s="559">
        <v>6</v>
      </c>
      <c r="AC22" s="557">
        <v>6</v>
      </c>
      <c r="AD22" s="558">
        <v>6</v>
      </c>
      <c r="AE22" s="558">
        <v>6</v>
      </c>
      <c r="AF22" s="558">
        <v>6</v>
      </c>
      <c r="AG22" s="558">
        <v>6</v>
      </c>
      <c r="AH22" s="559">
        <v>6</v>
      </c>
      <c r="AI22" s="557">
        <v>6</v>
      </c>
      <c r="AJ22" s="558">
        <v>6</v>
      </c>
      <c r="AK22" s="558">
        <v>6</v>
      </c>
      <c r="AL22" s="558">
        <v>6</v>
      </c>
      <c r="AM22" s="558">
        <v>6</v>
      </c>
      <c r="AN22" s="559">
        <v>6</v>
      </c>
      <c r="AO22" s="557">
        <v>6</v>
      </c>
      <c r="AP22" s="558">
        <v>6</v>
      </c>
      <c r="AQ22" s="558">
        <v>6</v>
      </c>
      <c r="AR22" s="558">
        <v>6</v>
      </c>
      <c r="AS22" s="558">
        <v>6</v>
      </c>
      <c r="AT22" s="559">
        <v>6</v>
      </c>
      <c r="AU22" s="557">
        <v>6</v>
      </c>
      <c r="AV22" s="558">
        <v>6</v>
      </c>
      <c r="AW22" s="558">
        <v>6</v>
      </c>
      <c r="AX22" s="558">
        <v>6</v>
      </c>
      <c r="AY22" s="558">
        <v>6</v>
      </c>
      <c r="AZ22" s="559">
        <v>6</v>
      </c>
      <c r="BA22" s="557">
        <v>6</v>
      </c>
      <c r="BB22" s="558">
        <v>6</v>
      </c>
      <c r="BC22" s="558">
        <v>6</v>
      </c>
      <c r="BD22" s="558">
        <v>6</v>
      </c>
      <c r="BE22" s="558">
        <v>6</v>
      </c>
      <c r="BF22" s="559">
        <v>6</v>
      </c>
      <c r="BG22" s="466"/>
    </row>
    <row r="23" spans="1:59" ht="15.95" customHeight="1" thickBot="1" x14ac:dyDescent="0.3">
      <c r="A23" s="69"/>
      <c r="B23" s="746"/>
      <c r="C23" s="748"/>
      <c r="D23" s="569">
        <v>18</v>
      </c>
      <c r="E23" s="528">
        <f t="array" aca="1" ref="E23" ca="1">IF($D23&gt;Calc1!$B$14,"",ROW(18:18)-SUM((($L$6:$L22="")+($N$6:$N22="")&gt;0)*1))</f>
        <v>18</v>
      </c>
      <c r="F23" s="175">
        <f ca="1">IF(OR($U$15,$D23&gt;Calc1!$B$14),"",$R$5+QUOTIENT(($E23-1),$U$11)*($R$7+$R$9)/1440+SUM($O$6:$O22)/1440)</f>
        <v>0.47222222222222221</v>
      </c>
      <c r="G23" s="177">
        <f ca="1">IF(OR($U$15,$D23&gt;Calc1!$B$14),"",MOD($E23-1,$U$11)+1)</f>
        <v>2</v>
      </c>
      <c r="H23" s="299" t="str">
        <f t="shared" ca="1" si="0"/>
        <v>B</v>
      </c>
      <c r="I23" s="321" t="str">
        <f ca="1"/>
        <v>B1</v>
      </c>
      <c r="J23" s="322" t="s">
        <v>5</v>
      </c>
      <c r="K23" s="323" t="str">
        <f ca="1"/>
        <v>B4</v>
      </c>
      <c r="L23" s="180" t="str">
        <f t="shared" ca="1" si="1"/>
        <v>Mainz 05</v>
      </c>
      <c r="M23" s="181" t="s">
        <v>5</v>
      </c>
      <c r="N23" s="182" t="str">
        <f t="shared" ca="1" si="2"/>
        <v>Manchester City</v>
      </c>
      <c r="O23" s="330"/>
      <c r="P23" s="552"/>
      <c r="Q23" s="738"/>
      <c r="R23" s="738"/>
      <c r="S23" s="738"/>
      <c r="T23" s="553"/>
      <c r="V23" s="395">
        <v>6</v>
      </c>
      <c r="W23" s="560">
        <v>6</v>
      </c>
      <c r="X23" s="561">
        <v>6</v>
      </c>
      <c r="Y23" s="561">
        <v>6</v>
      </c>
      <c r="Z23" s="561">
        <v>6</v>
      </c>
      <c r="AA23" s="561">
        <v>6</v>
      </c>
      <c r="AB23" s="562">
        <v>6</v>
      </c>
      <c r="AC23" s="560">
        <v>6</v>
      </c>
      <c r="AD23" s="561">
        <v>6</v>
      </c>
      <c r="AE23" s="561">
        <v>6</v>
      </c>
      <c r="AF23" s="561">
        <v>6</v>
      </c>
      <c r="AG23" s="561">
        <v>6</v>
      </c>
      <c r="AH23" s="562">
        <v>6</v>
      </c>
      <c r="AI23" s="560">
        <v>6</v>
      </c>
      <c r="AJ23" s="561">
        <v>6</v>
      </c>
      <c r="AK23" s="561">
        <v>6</v>
      </c>
      <c r="AL23" s="561">
        <v>6</v>
      </c>
      <c r="AM23" s="561">
        <v>6</v>
      </c>
      <c r="AN23" s="562">
        <v>6</v>
      </c>
      <c r="AO23" s="560">
        <v>6</v>
      </c>
      <c r="AP23" s="561">
        <v>6</v>
      </c>
      <c r="AQ23" s="561">
        <v>6</v>
      </c>
      <c r="AR23" s="561">
        <v>6</v>
      </c>
      <c r="AS23" s="561">
        <v>6</v>
      </c>
      <c r="AT23" s="562">
        <v>6</v>
      </c>
      <c r="AU23" s="560">
        <v>6</v>
      </c>
      <c r="AV23" s="561">
        <v>6</v>
      </c>
      <c r="AW23" s="561">
        <v>6</v>
      </c>
      <c r="AX23" s="561">
        <v>6</v>
      </c>
      <c r="AY23" s="561">
        <v>6</v>
      </c>
      <c r="AZ23" s="562">
        <v>6</v>
      </c>
      <c r="BA23" s="560">
        <v>6</v>
      </c>
      <c r="BB23" s="561">
        <v>6</v>
      </c>
      <c r="BC23" s="561">
        <v>6</v>
      </c>
      <c r="BD23" s="561">
        <v>6</v>
      </c>
      <c r="BE23" s="561">
        <v>6</v>
      </c>
      <c r="BF23" s="562">
        <v>6</v>
      </c>
      <c r="BG23" s="466"/>
    </row>
    <row r="24" spans="1:59" ht="15.95" customHeight="1" thickTop="1" x14ac:dyDescent="0.25">
      <c r="A24" s="69"/>
      <c r="B24" s="749" t="s">
        <v>209</v>
      </c>
      <c r="C24" s="750" t="s">
        <v>264</v>
      </c>
      <c r="D24" s="569">
        <v>19</v>
      </c>
      <c r="E24" s="528">
        <f t="array" aca="1" ref="E24" ca="1">IF($D24&gt;Calc1!$B$14,"",ROW(19:19)-SUM((($L$6:$L23="")+($N$6:$N23="")&gt;0)*1))</f>
        <v>19</v>
      </c>
      <c r="F24" s="175">
        <f ca="1">IF(OR($U$15,$D24&gt;Calc1!$B$14),"",$R$5+QUOTIENT(($E24-1),$U$11)*($R$7+$R$9)/1440+SUM($O$6:$O23)/1440)</f>
        <v>0.47222222222222221</v>
      </c>
      <c r="G24" s="177">
        <f ca="1">IF(OR($U$15,$D24&gt;Calc1!$B$14),"",MOD($E24-1,$U$11)+1)</f>
        <v>3</v>
      </c>
      <c r="H24" s="299" t="str">
        <f t="shared" ca="1" si="0"/>
        <v>C</v>
      </c>
      <c r="I24" s="321" t="str">
        <f ca="1"/>
        <v>C1</v>
      </c>
      <c r="J24" s="322" t="s">
        <v>5</v>
      </c>
      <c r="K24" s="323" t="str">
        <f ca="1"/>
        <v>C4</v>
      </c>
      <c r="L24" s="180" t="str">
        <f t="shared" ca="1" si="1"/>
        <v>Kickers Rodendorf</v>
      </c>
      <c r="M24" s="181" t="s">
        <v>5</v>
      </c>
      <c r="N24" s="182" t="str">
        <f t="shared" ca="1" si="2"/>
        <v>FSV Rauen</v>
      </c>
      <c r="O24" s="330"/>
      <c r="P24" s="552"/>
      <c r="Q24" s="399"/>
      <c r="R24" s="542" t="str">
        <f t="array" aca="1" ref="R24" ca="1">IFERROR(proof!$E$3-SUM(((OFFSET($L$6,0,0,proof!$E$3,1)="")+(OFFSET($N$6,0,0,proof!$E$3,1)="")&gt;0)*1),"")</f>
        <v/>
      </c>
      <c r="S24" s="542" t="str">
        <f t="array" aca="1" ref="S24" ca="1">IFERROR(proof!$E$4-SUM(((OFFSET($L$6,0,0,proof!$E$4,1)="")+(OFFSET($N$6,0,0,proof!$E$4,1)="")&gt;0)*1),"")</f>
        <v/>
      </c>
      <c r="T24" s="553"/>
      <c r="V24" s="394">
        <v>1</v>
      </c>
      <c r="W24" s="554">
        <v>6</v>
      </c>
      <c r="X24" s="555">
        <v>6</v>
      </c>
      <c r="Y24" s="555">
        <v>6</v>
      </c>
      <c r="Z24" s="555">
        <v>6</v>
      </c>
      <c r="AA24" s="555">
        <v>6</v>
      </c>
      <c r="AB24" s="556">
        <v>6</v>
      </c>
      <c r="AC24" s="554">
        <v>6</v>
      </c>
      <c r="AD24" s="555">
        <v>6</v>
      </c>
      <c r="AE24" s="555">
        <v>6</v>
      </c>
      <c r="AF24" s="555">
        <v>6</v>
      </c>
      <c r="AG24" s="555">
        <v>6</v>
      </c>
      <c r="AH24" s="556">
        <v>6</v>
      </c>
      <c r="AI24" s="554">
        <v>6</v>
      </c>
      <c r="AJ24" s="555">
        <v>6</v>
      </c>
      <c r="AK24" s="555">
        <v>6</v>
      </c>
      <c r="AL24" s="555">
        <v>6</v>
      </c>
      <c r="AM24" s="555">
        <v>6</v>
      </c>
      <c r="AN24" s="556">
        <v>6</v>
      </c>
      <c r="AO24" s="554">
        <v>6</v>
      </c>
      <c r="AP24" s="555">
        <v>6</v>
      </c>
      <c r="AQ24" s="555">
        <v>6</v>
      </c>
      <c r="AR24" s="555">
        <v>6</v>
      </c>
      <c r="AS24" s="555">
        <v>6</v>
      </c>
      <c r="AT24" s="556">
        <v>6</v>
      </c>
      <c r="AU24" s="554">
        <v>6</v>
      </c>
      <c r="AV24" s="555">
        <v>6</v>
      </c>
      <c r="AW24" s="555">
        <v>6</v>
      </c>
      <c r="AX24" s="555">
        <v>6</v>
      </c>
      <c r="AY24" s="555">
        <v>6</v>
      </c>
      <c r="AZ24" s="556">
        <v>6</v>
      </c>
      <c r="BA24" s="554">
        <v>6</v>
      </c>
      <c r="BB24" s="555">
        <v>6</v>
      </c>
      <c r="BC24" s="555">
        <v>6</v>
      </c>
      <c r="BD24" s="555">
        <v>6</v>
      </c>
      <c r="BE24" s="555">
        <v>6</v>
      </c>
      <c r="BF24" s="556">
        <v>6</v>
      </c>
      <c r="BG24" s="465">
        <v>4</v>
      </c>
    </row>
    <row r="25" spans="1:59" ht="15.95" customHeight="1" x14ac:dyDescent="0.25">
      <c r="B25" s="743"/>
      <c r="C25" s="744"/>
      <c r="D25" s="569">
        <v>20</v>
      </c>
      <c r="E25" s="528">
        <f t="array" aca="1" ref="E25" ca="1">IF($D25&gt;Calc1!$B$14,"",ROW(20:20)-SUM((($L$6:$L24="")+($N$6:$N24="")&gt;0)*1))</f>
        <v>20</v>
      </c>
      <c r="F25" s="175">
        <f ca="1">IF(OR($U$15,$D25&gt;Calc1!$B$14),"",$R$5+QUOTIENT(($E25-1),$U$11)*($R$7+$R$9)/1440+SUM($O$6:$O24)/1440)</f>
        <v>0.47222222222222221</v>
      </c>
      <c r="G25" s="177">
        <f ca="1">IF(OR($U$15,$D25&gt;Calc1!$B$14),"",MOD($E25-1,$U$11)+1)</f>
        <v>4</v>
      </c>
      <c r="H25" s="299" t="str">
        <f t="shared" ca="1" si="0"/>
        <v>D</v>
      </c>
      <c r="I25" s="321" t="str">
        <f ca="1"/>
        <v>D1</v>
      </c>
      <c r="J25" s="322" t="s">
        <v>5</v>
      </c>
      <c r="K25" s="323" t="str">
        <f ca="1"/>
        <v>D4</v>
      </c>
      <c r="L25" s="180" t="str">
        <f t="shared" ca="1" si="1"/>
        <v>TSG Saalberg eV</v>
      </c>
      <c r="M25" s="181" t="s">
        <v>5</v>
      </c>
      <c r="N25" s="182" t="str">
        <f t="shared" ca="1" si="2"/>
        <v>RB Leipzig</v>
      </c>
      <c r="O25" s="330"/>
      <c r="P25" s="552"/>
      <c r="Q25" s="751" t="str">
        <f ca="1">IF($U$15,"",IF(proof!$G$2="FEHLER",Sprache!$E$132&amp;proof!$E$6,""))</f>
        <v/>
      </c>
      <c r="R25" s="751"/>
      <c r="S25" s="751"/>
      <c r="T25" s="553"/>
      <c r="V25" s="394">
        <v>2</v>
      </c>
      <c r="W25" s="557">
        <v>6</v>
      </c>
      <c r="X25" s="558">
        <v>6</v>
      </c>
      <c r="Y25" s="558">
        <v>6</v>
      </c>
      <c r="Z25" s="558">
        <v>6</v>
      </c>
      <c r="AA25" s="558">
        <v>6</v>
      </c>
      <c r="AB25" s="559">
        <v>6</v>
      </c>
      <c r="AC25" s="557">
        <v>6</v>
      </c>
      <c r="AD25" s="558">
        <v>6</v>
      </c>
      <c r="AE25" s="558">
        <v>6</v>
      </c>
      <c r="AF25" s="558">
        <v>6</v>
      </c>
      <c r="AG25" s="558">
        <v>6</v>
      </c>
      <c r="AH25" s="559">
        <v>6</v>
      </c>
      <c r="AI25" s="557">
        <v>6</v>
      </c>
      <c r="AJ25" s="558">
        <v>6</v>
      </c>
      <c r="AK25" s="558">
        <v>6</v>
      </c>
      <c r="AL25" s="558">
        <v>6</v>
      </c>
      <c r="AM25" s="558">
        <v>6</v>
      </c>
      <c r="AN25" s="559">
        <v>6</v>
      </c>
      <c r="AO25" s="557">
        <v>6</v>
      </c>
      <c r="AP25" s="558">
        <v>6</v>
      </c>
      <c r="AQ25" s="558">
        <v>6</v>
      </c>
      <c r="AR25" s="558">
        <v>6</v>
      </c>
      <c r="AS25" s="558">
        <v>6</v>
      </c>
      <c r="AT25" s="559">
        <v>6</v>
      </c>
      <c r="AU25" s="557">
        <v>6</v>
      </c>
      <c r="AV25" s="558">
        <v>6</v>
      </c>
      <c r="AW25" s="558">
        <v>6</v>
      </c>
      <c r="AX25" s="558">
        <v>6</v>
      </c>
      <c r="AY25" s="558">
        <v>6</v>
      </c>
      <c r="AZ25" s="559">
        <v>6</v>
      </c>
      <c r="BA25" s="557">
        <v>6</v>
      </c>
      <c r="BB25" s="558">
        <v>6</v>
      </c>
      <c r="BC25" s="558">
        <v>6</v>
      </c>
      <c r="BD25" s="558">
        <v>6</v>
      </c>
      <c r="BE25" s="558">
        <v>6</v>
      </c>
      <c r="BF25" s="559">
        <v>6</v>
      </c>
      <c r="BG25" s="466"/>
    </row>
    <row r="26" spans="1:59" ht="15.95" customHeight="1" x14ac:dyDescent="0.25">
      <c r="B26" s="739" t="s">
        <v>211</v>
      </c>
      <c r="C26" s="741" t="s">
        <v>265</v>
      </c>
      <c r="D26" s="569">
        <v>21</v>
      </c>
      <c r="E26" s="528">
        <f t="array" aca="1" ref="E26" ca="1">IF($D26&gt;Calc1!$B$14,"",ROW(21:21)-SUM((($L$6:$L25="")+($N$6:$N25="")&gt;0)*1))</f>
        <v>21</v>
      </c>
      <c r="F26" s="175">
        <f ca="1">IF(OR($U$15,$D26&gt;Calc1!$B$14),"",$R$5+QUOTIENT(($E26-1),$U$11)*($R$7+$R$9)/1440+SUM($O$6:$O25)/1440)</f>
        <v>0.49652777777777779</v>
      </c>
      <c r="G26" s="177">
        <f ca="1">IF(OR($U$15,$D26&gt;Calc1!$B$14),"",MOD($E26-1,$U$11)+1)</f>
        <v>1</v>
      </c>
      <c r="H26" s="299" t="str">
        <f t="shared" ca="1" si="0"/>
        <v>A</v>
      </c>
      <c r="I26" s="321" t="str">
        <f ca="1"/>
        <v>A3</v>
      </c>
      <c r="J26" s="322" t="s">
        <v>5</v>
      </c>
      <c r="K26" s="323" t="str">
        <f ca="1"/>
        <v>A5</v>
      </c>
      <c r="L26" s="180" t="str">
        <f t="shared" ca="1" si="1"/>
        <v>Eintracht Frankfurt</v>
      </c>
      <c r="M26" s="181" t="s">
        <v>5</v>
      </c>
      <c r="N26" s="182" t="str">
        <f t="shared" ca="1" si="2"/>
        <v>VFB Essenheim</v>
      </c>
      <c r="O26" s="330"/>
      <c r="P26" s="552"/>
      <c r="Q26" s="751" t="str">
        <f ca="1">IF($U$15,"",IF(proof!$G$2="FEHLER",Sprache!$E$133&amp;$R$24&amp;Sprache!$E$134&amp;$S$24,""))</f>
        <v/>
      </c>
      <c r="R26" s="751"/>
      <c r="S26" s="751"/>
      <c r="T26" s="553"/>
      <c r="V26" s="394">
        <v>3</v>
      </c>
      <c r="W26" s="557">
        <v>6</v>
      </c>
      <c r="X26" s="558">
        <v>6</v>
      </c>
      <c r="Y26" s="558">
        <v>6</v>
      </c>
      <c r="Z26" s="558">
        <v>6</v>
      </c>
      <c r="AA26" s="558">
        <v>6</v>
      </c>
      <c r="AB26" s="559">
        <v>6</v>
      </c>
      <c r="AC26" s="557">
        <v>6</v>
      </c>
      <c r="AD26" s="558">
        <v>6</v>
      </c>
      <c r="AE26" s="558">
        <v>6</v>
      </c>
      <c r="AF26" s="558">
        <v>6</v>
      </c>
      <c r="AG26" s="558">
        <v>6</v>
      </c>
      <c r="AH26" s="559">
        <v>6</v>
      </c>
      <c r="AI26" s="557">
        <v>6</v>
      </c>
      <c r="AJ26" s="558">
        <v>6</v>
      </c>
      <c r="AK26" s="558">
        <v>6</v>
      </c>
      <c r="AL26" s="558">
        <v>6</v>
      </c>
      <c r="AM26" s="558">
        <v>6</v>
      </c>
      <c r="AN26" s="559">
        <v>6</v>
      </c>
      <c r="AO26" s="557">
        <v>6</v>
      </c>
      <c r="AP26" s="558">
        <v>6</v>
      </c>
      <c r="AQ26" s="558">
        <v>6</v>
      </c>
      <c r="AR26" s="558">
        <v>6</v>
      </c>
      <c r="AS26" s="558">
        <v>6</v>
      </c>
      <c r="AT26" s="559">
        <v>6</v>
      </c>
      <c r="AU26" s="557">
        <v>6</v>
      </c>
      <c r="AV26" s="558">
        <v>6</v>
      </c>
      <c r="AW26" s="558">
        <v>6</v>
      </c>
      <c r="AX26" s="558">
        <v>6</v>
      </c>
      <c r="AY26" s="558">
        <v>6</v>
      </c>
      <c r="AZ26" s="559">
        <v>6</v>
      </c>
      <c r="BA26" s="557">
        <v>6</v>
      </c>
      <c r="BB26" s="558">
        <v>6</v>
      </c>
      <c r="BC26" s="558">
        <v>6</v>
      </c>
      <c r="BD26" s="558">
        <v>6</v>
      </c>
      <c r="BE26" s="558">
        <v>6</v>
      </c>
      <c r="BF26" s="559">
        <v>6</v>
      </c>
      <c r="BG26" s="466"/>
    </row>
    <row r="27" spans="1:59" ht="15.95" customHeight="1" x14ac:dyDescent="0.25">
      <c r="B27" s="743"/>
      <c r="C27" s="744"/>
      <c r="D27" s="569">
        <v>22</v>
      </c>
      <c r="E27" s="528">
        <f t="array" aca="1" ref="E27" ca="1">IF($D27&gt;Calc1!$B$14,"",ROW(22:22)-SUM((($L$6:$L26="")+($N$6:$N26="")&gt;0)*1))</f>
        <v>22</v>
      </c>
      <c r="F27" s="175">
        <f ca="1">IF(OR($U$15,$D27&gt;Calc1!$B$14),"",$R$5+QUOTIENT(($E27-1),$U$11)*($R$7+$R$9)/1440+SUM($O$6:$O26)/1440)</f>
        <v>0.49652777777777779</v>
      </c>
      <c r="G27" s="177">
        <f ca="1">IF(OR($U$15,$D27&gt;Calc1!$B$14),"",MOD($E27-1,$U$11)+1)</f>
        <v>2</v>
      </c>
      <c r="H27" s="299" t="str">
        <f t="shared" ca="1" si="0"/>
        <v>B</v>
      </c>
      <c r="I27" s="321" t="str">
        <f ca="1"/>
        <v>B3</v>
      </c>
      <c r="J27" s="322" t="s">
        <v>5</v>
      </c>
      <c r="K27" s="323" t="str">
        <f ca="1"/>
        <v>B5</v>
      </c>
      <c r="L27" s="180" t="str">
        <f t="shared" ca="1" si="1"/>
        <v>SSV Wildbach</v>
      </c>
      <c r="M27" s="181" t="s">
        <v>5</v>
      </c>
      <c r="N27" s="182" t="str">
        <f t="shared" ca="1" si="2"/>
        <v>FC Grönlingen</v>
      </c>
      <c r="O27" s="330"/>
      <c r="P27" s="552"/>
      <c r="Q27" s="444"/>
      <c r="R27" s="172"/>
      <c r="S27" s="172"/>
      <c r="T27" s="553"/>
      <c r="V27" s="394">
        <v>4</v>
      </c>
      <c r="W27" s="557">
        <v>6</v>
      </c>
      <c r="X27" s="558">
        <v>6</v>
      </c>
      <c r="Y27" s="558">
        <v>6</v>
      </c>
      <c r="Z27" s="558">
        <v>6</v>
      </c>
      <c r="AA27" s="558">
        <v>6</v>
      </c>
      <c r="AB27" s="559">
        <v>6</v>
      </c>
      <c r="AC27" s="557">
        <v>6</v>
      </c>
      <c r="AD27" s="558">
        <v>6</v>
      </c>
      <c r="AE27" s="558">
        <v>6</v>
      </c>
      <c r="AF27" s="558">
        <v>6</v>
      </c>
      <c r="AG27" s="558">
        <v>6</v>
      </c>
      <c r="AH27" s="559">
        <v>6</v>
      </c>
      <c r="AI27" s="557">
        <v>6</v>
      </c>
      <c r="AJ27" s="558">
        <v>6</v>
      </c>
      <c r="AK27" s="558">
        <v>6</v>
      </c>
      <c r="AL27" s="558">
        <v>6</v>
      </c>
      <c r="AM27" s="558">
        <v>6</v>
      </c>
      <c r="AN27" s="559">
        <v>6</v>
      </c>
      <c r="AO27" s="557">
        <v>6</v>
      </c>
      <c r="AP27" s="558">
        <v>6</v>
      </c>
      <c r="AQ27" s="558">
        <v>6</v>
      </c>
      <c r="AR27" s="558">
        <v>6</v>
      </c>
      <c r="AS27" s="558">
        <v>6</v>
      </c>
      <c r="AT27" s="559">
        <v>6</v>
      </c>
      <c r="AU27" s="557">
        <v>6</v>
      </c>
      <c r="AV27" s="558">
        <v>6</v>
      </c>
      <c r="AW27" s="558">
        <v>6</v>
      </c>
      <c r="AX27" s="558">
        <v>6</v>
      </c>
      <c r="AY27" s="558">
        <v>6</v>
      </c>
      <c r="AZ27" s="559">
        <v>6</v>
      </c>
      <c r="BA27" s="557">
        <v>6</v>
      </c>
      <c r="BB27" s="558">
        <v>6</v>
      </c>
      <c r="BC27" s="558">
        <v>6</v>
      </c>
      <c r="BD27" s="558">
        <v>6</v>
      </c>
      <c r="BE27" s="558">
        <v>6</v>
      </c>
      <c r="BF27" s="559">
        <v>6</v>
      </c>
      <c r="BG27" s="466"/>
    </row>
    <row r="28" spans="1:59" ht="15.95" customHeight="1" x14ac:dyDescent="0.25">
      <c r="B28" s="739" t="s">
        <v>207</v>
      </c>
      <c r="C28" s="741" t="s">
        <v>267</v>
      </c>
      <c r="D28" s="569">
        <v>23</v>
      </c>
      <c r="E28" s="528">
        <f t="array" aca="1" ref="E28" ca="1">IF($D28&gt;Calc1!$B$14,"",ROW(23:23)-SUM((($L$6:$L27="")+($N$6:$N27="")&gt;0)*1))</f>
        <v>23</v>
      </c>
      <c r="F28" s="175">
        <f ca="1">IF(OR($U$15,$D28&gt;Calc1!$B$14),"",$R$5+QUOTIENT(($E28-1),$U$11)*($R$7+$R$9)/1440+SUM($O$6:$O27)/1440)</f>
        <v>0.49652777777777779</v>
      </c>
      <c r="G28" s="177">
        <f ca="1">IF(OR($U$15,$D28&gt;Calc1!$B$14),"",MOD($E28-1,$U$11)+1)</f>
        <v>3</v>
      </c>
      <c r="H28" s="299" t="str">
        <f t="shared" ca="1" si="0"/>
        <v>C</v>
      </c>
      <c r="I28" s="321" t="str">
        <f ca="1"/>
        <v>C3</v>
      </c>
      <c r="J28" s="322" t="s">
        <v>5</v>
      </c>
      <c r="K28" s="323" t="str">
        <f ca="1"/>
        <v>C5</v>
      </c>
      <c r="L28" s="180" t="str">
        <f t="shared" ca="1" si="1"/>
        <v>Borussia Dortmund</v>
      </c>
      <c r="M28" s="181" t="s">
        <v>5</v>
      </c>
      <c r="N28" s="182" t="str">
        <f t="shared" ca="1" si="2"/>
        <v>1. FC Nürnberg</v>
      </c>
      <c r="O28" s="330"/>
      <c r="P28" s="552"/>
      <c r="Q28" s="444"/>
      <c r="R28" s="172"/>
      <c r="S28" s="172"/>
      <c r="T28" s="553"/>
      <c r="V28" s="394">
        <v>5</v>
      </c>
      <c r="W28" s="557">
        <v>6</v>
      </c>
      <c r="X28" s="558">
        <v>6</v>
      </c>
      <c r="Y28" s="558">
        <v>6</v>
      </c>
      <c r="Z28" s="558">
        <v>6</v>
      </c>
      <c r="AA28" s="558">
        <v>6</v>
      </c>
      <c r="AB28" s="559">
        <v>6</v>
      </c>
      <c r="AC28" s="557">
        <v>6</v>
      </c>
      <c r="AD28" s="558">
        <v>6</v>
      </c>
      <c r="AE28" s="558">
        <v>6</v>
      </c>
      <c r="AF28" s="558">
        <v>6</v>
      </c>
      <c r="AG28" s="558">
        <v>6</v>
      </c>
      <c r="AH28" s="559">
        <v>6</v>
      </c>
      <c r="AI28" s="557">
        <v>6</v>
      </c>
      <c r="AJ28" s="558">
        <v>6</v>
      </c>
      <c r="AK28" s="558">
        <v>6</v>
      </c>
      <c r="AL28" s="558">
        <v>6</v>
      </c>
      <c r="AM28" s="558">
        <v>6</v>
      </c>
      <c r="AN28" s="559">
        <v>6</v>
      </c>
      <c r="AO28" s="557">
        <v>6</v>
      </c>
      <c r="AP28" s="558">
        <v>6</v>
      </c>
      <c r="AQ28" s="558">
        <v>6</v>
      </c>
      <c r="AR28" s="558">
        <v>6</v>
      </c>
      <c r="AS28" s="558">
        <v>6</v>
      </c>
      <c r="AT28" s="559">
        <v>6</v>
      </c>
      <c r="AU28" s="557">
        <v>6</v>
      </c>
      <c r="AV28" s="558">
        <v>6</v>
      </c>
      <c r="AW28" s="558">
        <v>6</v>
      </c>
      <c r="AX28" s="558">
        <v>6</v>
      </c>
      <c r="AY28" s="558">
        <v>6</v>
      </c>
      <c r="AZ28" s="559">
        <v>6</v>
      </c>
      <c r="BA28" s="557">
        <v>6</v>
      </c>
      <c r="BB28" s="558">
        <v>6</v>
      </c>
      <c r="BC28" s="558">
        <v>6</v>
      </c>
      <c r="BD28" s="558">
        <v>6</v>
      </c>
      <c r="BE28" s="558">
        <v>6</v>
      </c>
      <c r="BF28" s="559">
        <v>6</v>
      </c>
      <c r="BG28" s="466"/>
    </row>
    <row r="29" spans="1:59" ht="15.95" customHeight="1" thickBot="1" x14ac:dyDescent="0.3">
      <c r="B29" s="743"/>
      <c r="C29" s="744"/>
      <c r="D29" s="569">
        <v>24</v>
      </c>
      <c r="E29" s="528">
        <f t="array" aca="1" ref="E29" ca="1">IF($D29&gt;Calc1!$B$14,"",ROW(24:24)-SUM((($L$6:$L28="")+($N$6:$N28="")&gt;0)*1))</f>
        <v>24</v>
      </c>
      <c r="F29" s="175">
        <f ca="1">IF(OR($U$15,$D29&gt;Calc1!$B$14),"",$R$5+QUOTIENT(($E29-1),$U$11)*($R$7+$R$9)/1440+SUM($O$6:$O28)/1440)</f>
        <v>0.49652777777777779</v>
      </c>
      <c r="G29" s="177">
        <f ca="1">IF(OR($U$15,$D29&gt;Calc1!$B$14),"",MOD($E29-1,$U$11)+1)</f>
        <v>4</v>
      </c>
      <c r="H29" s="299" t="str">
        <f t="shared" ca="1" si="0"/>
        <v>D</v>
      </c>
      <c r="I29" s="321" t="str">
        <f ca="1"/>
        <v>D3</v>
      </c>
      <c r="J29" s="322" t="s">
        <v>5</v>
      </c>
      <c r="K29" s="323" t="str">
        <f ca="1"/>
        <v>D5</v>
      </c>
      <c r="L29" s="180" t="str">
        <f t="shared" ca="1" si="1"/>
        <v>HSV</v>
      </c>
      <c r="M29" s="181" t="s">
        <v>5</v>
      </c>
      <c r="N29" s="182" t="str">
        <f t="shared" ca="1" si="2"/>
        <v>SV Oberredenburg</v>
      </c>
      <c r="O29" s="330"/>
      <c r="P29" s="552"/>
      <c r="Q29" s="444"/>
      <c r="R29" s="172"/>
      <c r="S29" s="172"/>
      <c r="T29" s="553"/>
      <c r="V29" s="395">
        <v>6</v>
      </c>
      <c r="W29" s="560">
        <v>6</v>
      </c>
      <c r="X29" s="561">
        <v>6</v>
      </c>
      <c r="Y29" s="561">
        <v>6</v>
      </c>
      <c r="Z29" s="561">
        <v>6</v>
      </c>
      <c r="AA29" s="561">
        <v>6</v>
      </c>
      <c r="AB29" s="562">
        <v>6</v>
      </c>
      <c r="AC29" s="560">
        <v>6</v>
      </c>
      <c r="AD29" s="561">
        <v>6</v>
      </c>
      <c r="AE29" s="561">
        <v>6</v>
      </c>
      <c r="AF29" s="561">
        <v>6</v>
      </c>
      <c r="AG29" s="561">
        <v>6</v>
      </c>
      <c r="AH29" s="562">
        <v>6</v>
      </c>
      <c r="AI29" s="560">
        <v>6</v>
      </c>
      <c r="AJ29" s="561">
        <v>6</v>
      </c>
      <c r="AK29" s="561">
        <v>6</v>
      </c>
      <c r="AL29" s="561">
        <v>6</v>
      </c>
      <c r="AM29" s="561">
        <v>6</v>
      </c>
      <c r="AN29" s="562">
        <v>6</v>
      </c>
      <c r="AO29" s="560">
        <v>6</v>
      </c>
      <c r="AP29" s="561">
        <v>6</v>
      </c>
      <c r="AQ29" s="561">
        <v>6</v>
      </c>
      <c r="AR29" s="561">
        <v>6</v>
      </c>
      <c r="AS29" s="561">
        <v>6</v>
      </c>
      <c r="AT29" s="562">
        <v>6</v>
      </c>
      <c r="AU29" s="560">
        <v>6</v>
      </c>
      <c r="AV29" s="561">
        <v>6</v>
      </c>
      <c r="AW29" s="561">
        <v>6</v>
      </c>
      <c r="AX29" s="561">
        <v>6</v>
      </c>
      <c r="AY29" s="561">
        <v>6</v>
      </c>
      <c r="AZ29" s="562">
        <v>6</v>
      </c>
      <c r="BA29" s="560">
        <v>6</v>
      </c>
      <c r="BB29" s="561">
        <v>6</v>
      </c>
      <c r="BC29" s="561">
        <v>6</v>
      </c>
      <c r="BD29" s="561">
        <v>6</v>
      </c>
      <c r="BE29" s="561">
        <v>6</v>
      </c>
      <c r="BF29" s="562">
        <v>6</v>
      </c>
      <c r="BG29" s="466"/>
    </row>
    <row r="30" spans="1:59" ht="15.95" customHeight="1" thickTop="1" x14ac:dyDescent="0.25">
      <c r="B30" s="739" t="s">
        <v>213</v>
      </c>
      <c r="C30" s="741" t="s">
        <v>266</v>
      </c>
      <c r="D30" s="569">
        <v>25</v>
      </c>
      <c r="E30" s="528">
        <f t="array" aca="1" ref="E30" ca="1">IF($D30&gt;Calc1!$B$14,"",ROW(25:25)-SUM((($L$6:$L29="")+($N$6:$N29="")&gt;0)*1))</f>
        <v>25</v>
      </c>
      <c r="F30" s="175">
        <f ca="1">IF(OR($U$15,$D30&gt;Calc1!$B$14),"",$R$5+QUOTIENT(($E30-1),$U$11)*($R$7+$R$9)/1440+SUM($O$6:$O29)/1440)</f>
        <v>0.52083333333333337</v>
      </c>
      <c r="G30" s="177">
        <f ca="1">IF(OR($U$15,$D30&gt;Calc1!$B$14),"",MOD($E30-1,$U$11)+1)</f>
        <v>1</v>
      </c>
      <c r="H30" s="299" t="str">
        <f t="shared" ca="1" si="0"/>
        <v>A</v>
      </c>
      <c r="I30" s="321" t="str">
        <f ca="1"/>
        <v>A2</v>
      </c>
      <c r="J30" s="322" t="s">
        <v>5</v>
      </c>
      <c r="K30" s="323" t="str">
        <f ca="1"/>
        <v>A4</v>
      </c>
      <c r="L30" s="180" t="str">
        <f t="shared" ca="1" si="1"/>
        <v>FC Barcelona</v>
      </c>
      <c r="M30" s="181" t="s">
        <v>5</v>
      </c>
      <c r="N30" s="182" t="str">
        <f t="shared" ca="1" si="2"/>
        <v>Maibach 1822 eV</v>
      </c>
      <c r="O30" s="330"/>
      <c r="P30" s="552"/>
      <c r="Q30" s="444"/>
      <c r="R30" s="172"/>
      <c r="S30" s="172"/>
      <c r="T30" s="553"/>
      <c r="V30" s="394">
        <v>1</v>
      </c>
      <c r="W30" s="554">
        <v>6</v>
      </c>
      <c r="X30" s="555">
        <v>6</v>
      </c>
      <c r="Y30" s="555">
        <v>6</v>
      </c>
      <c r="Z30" s="555">
        <v>6</v>
      </c>
      <c r="AA30" s="555">
        <v>6</v>
      </c>
      <c r="AB30" s="556">
        <v>6</v>
      </c>
      <c r="AC30" s="554">
        <v>6</v>
      </c>
      <c r="AD30" s="555">
        <v>6</v>
      </c>
      <c r="AE30" s="555">
        <v>6</v>
      </c>
      <c r="AF30" s="555">
        <v>6</v>
      </c>
      <c r="AG30" s="555">
        <v>6</v>
      </c>
      <c r="AH30" s="556">
        <v>6</v>
      </c>
      <c r="AI30" s="554">
        <v>6</v>
      </c>
      <c r="AJ30" s="555">
        <v>6</v>
      </c>
      <c r="AK30" s="555">
        <v>6</v>
      </c>
      <c r="AL30" s="555">
        <v>6</v>
      </c>
      <c r="AM30" s="555">
        <v>6</v>
      </c>
      <c r="AN30" s="556">
        <v>6</v>
      </c>
      <c r="AO30" s="554">
        <v>6</v>
      </c>
      <c r="AP30" s="555">
        <v>6</v>
      </c>
      <c r="AQ30" s="555">
        <v>6</v>
      </c>
      <c r="AR30" s="555">
        <v>6</v>
      </c>
      <c r="AS30" s="555">
        <v>6</v>
      </c>
      <c r="AT30" s="556">
        <v>6</v>
      </c>
      <c r="AU30" s="554">
        <v>6</v>
      </c>
      <c r="AV30" s="555">
        <v>6</v>
      </c>
      <c r="AW30" s="555">
        <v>6</v>
      </c>
      <c r="AX30" s="555">
        <v>6</v>
      </c>
      <c r="AY30" s="555">
        <v>6</v>
      </c>
      <c r="AZ30" s="556">
        <v>6</v>
      </c>
      <c r="BA30" s="554">
        <v>6</v>
      </c>
      <c r="BB30" s="555">
        <v>6</v>
      </c>
      <c r="BC30" s="555">
        <v>6</v>
      </c>
      <c r="BD30" s="555">
        <v>6</v>
      </c>
      <c r="BE30" s="555">
        <v>6</v>
      </c>
      <c r="BF30" s="556">
        <v>6</v>
      </c>
      <c r="BG30" s="465">
        <v>5</v>
      </c>
    </row>
    <row r="31" spans="1:59" ht="15.95" customHeight="1" x14ac:dyDescent="0.25">
      <c r="B31" s="743"/>
      <c r="C31" s="744"/>
      <c r="D31" s="569">
        <v>26</v>
      </c>
      <c r="E31" s="528">
        <f t="array" aca="1" ref="E31" ca="1">IF($D31&gt;Calc1!$B$14,"",ROW(26:26)-SUM((($L$6:$L30="")+($N$6:$N30="")&gt;0)*1))</f>
        <v>26</v>
      </c>
      <c r="F31" s="175">
        <f ca="1">IF(OR($U$15,$D31&gt;Calc1!$B$14),"",$R$5+QUOTIENT(($E31-1),$U$11)*($R$7+$R$9)/1440+SUM($O$6:$O30)/1440)</f>
        <v>0.52083333333333337</v>
      </c>
      <c r="G31" s="177">
        <f ca="1">IF(OR($U$15,$D31&gt;Calc1!$B$14),"",MOD($E31-1,$U$11)+1)</f>
        <v>2</v>
      </c>
      <c r="H31" s="299" t="str">
        <f t="shared" ca="1" si="0"/>
        <v>B</v>
      </c>
      <c r="I31" s="321" t="str">
        <f ca="1"/>
        <v>B2</v>
      </c>
      <c r="J31" s="322" t="s">
        <v>5</v>
      </c>
      <c r="K31" s="323" t="str">
        <f ca="1"/>
        <v>B4</v>
      </c>
      <c r="L31" s="180" t="str">
        <f t="shared" ca="1" si="1"/>
        <v>Inter Mailand</v>
      </c>
      <c r="M31" s="181" t="s">
        <v>5</v>
      </c>
      <c r="N31" s="182" t="str">
        <f t="shared" ca="1" si="2"/>
        <v>Manchester City</v>
      </c>
      <c r="O31" s="330"/>
      <c r="P31" s="552"/>
      <c r="Q31" s="444"/>
      <c r="R31" s="172"/>
      <c r="S31" s="172"/>
      <c r="T31" s="553"/>
      <c r="V31" s="394">
        <v>2</v>
      </c>
      <c r="W31" s="557">
        <v>6</v>
      </c>
      <c r="X31" s="558">
        <v>6</v>
      </c>
      <c r="Y31" s="558">
        <v>6</v>
      </c>
      <c r="Z31" s="558">
        <v>6</v>
      </c>
      <c r="AA31" s="558">
        <v>6</v>
      </c>
      <c r="AB31" s="559">
        <v>6</v>
      </c>
      <c r="AC31" s="557">
        <v>6</v>
      </c>
      <c r="AD31" s="558">
        <v>6</v>
      </c>
      <c r="AE31" s="558">
        <v>6</v>
      </c>
      <c r="AF31" s="558">
        <v>6</v>
      </c>
      <c r="AG31" s="558">
        <v>6</v>
      </c>
      <c r="AH31" s="559">
        <v>6</v>
      </c>
      <c r="AI31" s="557">
        <v>6</v>
      </c>
      <c r="AJ31" s="558">
        <v>6</v>
      </c>
      <c r="AK31" s="558">
        <v>6</v>
      </c>
      <c r="AL31" s="558">
        <v>6</v>
      </c>
      <c r="AM31" s="558">
        <v>6</v>
      </c>
      <c r="AN31" s="559">
        <v>6</v>
      </c>
      <c r="AO31" s="557">
        <v>6</v>
      </c>
      <c r="AP31" s="558">
        <v>6</v>
      </c>
      <c r="AQ31" s="558">
        <v>6</v>
      </c>
      <c r="AR31" s="558">
        <v>6</v>
      </c>
      <c r="AS31" s="558">
        <v>6</v>
      </c>
      <c r="AT31" s="559">
        <v>6</v>
      </c>
      <c r="AU31" s="557">
        <v>6</v>
      </c>
      <c r="AV31" s="558">
        <v>6</v>
      </c>
      <c r="AW31" s="558">
        <v>6</v>
      </c>
      <c r="AX31" s="558">
        <v>6</v>
      </c>
      <c r="AY31" s="558">
        <v>6</v>
      </c>
      <c r="AZ31" s="559">
        <v>6</v>
      </c>
      <c r="BA31" s="557">
        <v>6</v>
      </c>
      <c r="BB31" s="558">
        <v>6</v>
      </c>
      <c r="BC31" s="558">
        <v>6</v>
      </c>
      <c r="BD31" s="558">
        <v>6</v>
      </c>
      <c r="BE31" s="558">
        <v>6</v>
      </c>
      <c r="BF31" s="559">
        <v>6</v>
      </c>
      <c r="BG31" s="466"/>
    </row>
    <row r="32" spans="1:59" ht="15.95" customHeight="1" x14ac:dyDescent="0.25">
      <c r="B32" s="739" t="s">
        <v>215</v>
      </c>
      <c r="C32" s="741" t="s">
        <v>268</v>
      </c>
      <c r="D32" s="569">
        <v>27</v>
      </c>
      <c r="E32" s="528">
        <f t="array" aca="1" ref="E32" ca="1">IF($D32&gt;Calc1!$B$14,"",ROW(27:27)-SUM((($L$6:$L31="")+($N$6:$N31="")&gt;0)*1))</f>
        <v>27</v>
      </c>
      <c r="F32" s="175">
        <f ca="1">IF(OR($U$15,$D32&gt;Calc1!$B$14),"",$R$5+QUOTIENT(($E32-1),$U$11)*($R$7+$R$9)/1440+SUM($O$6:$O31)/1440)</f>
        <v>0.52083333333333337</v>
      </c>
      <c r="G32" s="177">
        <f ca="1">IF(OR($U$15,$D32&gt;Calc1!$B$14),"",MOD($E32-1,$U$11)+1)</f>
        <v>3</v>
      </c>
      <c r="H32" s="299" t="str">
        <f t="shared" ca="1" si="0"/>
        <v>C</v>
      </c>
      <c r="I32" s="321" t="str">
        <f ca="1"/>
        <v>C2</v>
      </c>
      <c r="J32" s="322" t="s">
        <v>5</v>
      </c>
      <c r="K32" s="323" t="str">
        <f ca="1"/>
        <v>C4</v>
      </c>
      <c r="L32" s="180" t="str">
        <f t="shared" ca="1" si="1"/>
        <v>Real Madrid</v>
      </c>
      <c r="M32" s="181" t="s">
        <v>5</v>
      </c>
      <c r="N32" s="182" t="str">
        <f t="shared" ca="1" si="2"/>
        <v>FSV Rauen</v>
      </c>
      <c r="O32" s="330"/>
      <c r="P32" s="552"/>
      <c r="Q32" s="447"/>
      <c r="R32" s="172"/>
      <c r="S32" s="172"/>
      <c r="T32" s="553"/>
      <c r="V32" s="394">
        <v>3</v>
      </c>
      <c r="W32" s="557">
        <v>6</v>
      </c>
      <c r="X32" s="558">
        <v>6</v>
      </c>
      <c r="Y32" s="558">
        <v>6</v>
      </c>
      <c r="Z32" s="558">
        <v>6</v>
      </c>
      <c r="AA32" s="558">
        <v>6</v>
      </c>
      <c r="AB32" s="559">
        <v>6</v>
      </c>
      <c r="AC32" s="557">
        <v>6</v>
      </c>
      <c r="AD32" s="558">
        <v>6</v>
      </c>
      <c r="AE32" s="558">
        <v>6</v>
      </c>
      <c r="AF32" s="558">
        <v>6</v>
      </c>
      <c r="AG32" s="558">
        <v>6</v>
      </c>
      <c r="AH32" s="559">
        <v>6</v>
      </c>
      <c r="AI32" s="557">
        <v>6</v>
      </c>
      <c r="AJ32" s="558">
        <v>6</v>
      </c>
      <c r="AK32" s="558">
        <v>6</v>
      </c>
      <c r="AL32" s="558">
        <v>6</v>
      </c>
      <c r="AM32" s="558">
        <v>6</v>
      </c>
      <c r="AN32" s="559">
        <v>6</v>
      </c>
      <c r="AO32" s="557">
        <v>6</v>
      </c>
      <c r="AP32" s="558">
        <v>6</v>
      </c>
      <c r="AQ32" s="558">
        <v>6</v>
      </c>
      <c r="AR32" s="558">
        <v>6</v>
      </c>
      <c r="AS32" s="558">
        <v>6</v>
      </c>
      <c r="AT32" s="559">
        <v>6</v>
      </c>
      <c r="AU32" s="557">
        <v>6</v>
      </c>
      <c r="AV32" s="558">
        <v>6</v>
      </c>
      <c r="AW32" s="558">
        <v>6</v>
      </c>
      <c r="AX32" s="558">
        <v>6</v>
      </c>
      <c r="AY32" s="558">
        <v>6</v>
      </c>
      <c r="AZ32" s="559">
        <v>6</v>
      </c>
      <c r="BA32" s="557">
        <v>6</v>
      </c>
      <c r="BB32" s="558">
        <v>6</v>
      </c>
      <c r="BC32" s="558">
        <v>6</v>
      </c>
      <c r="BD32" s="558">
        <v>6</v>
      </c>
      <c r="BE32" s="558">
        <v>6</v>
      </c>
      <c r="BF32" s="559">
        <v>6</v>
      </c>
      <c r="BG32" s="466"/>
    </row>
    <row r="33" spans="2:59" ht="15.95" customHeight="1" x14ac:dyDescent="0.25">
      <c r="B33" s="743"/>
      <c r="C33" s="744"/>
      <c r="D33" s="569">
        <v>28</v>
      </c>
      <c r="E33" s="528">
        <f t="array" aca="1" ref="E33" ca="1">IF($D33&gt;Calc1!$B$14,"",ROW(28:28)-SUM((($L$6:$L32="")+($N$6:$N32="")&gt;0)*1))</f>
        <v>28</v>
      </c>
      <c r="F33" s="175">
        <f ca="1">IF(OR($U$15,$D33&gt;Calc1!$B$14),"",$R$5+QUOTIENT(($E33-1),$U$11)*($R$7+$R$9)/1440+SUM($O$6:$O32)/1440)</f>
        <v>0.52083333333333337</v>
      </c>
      <c r="G33" s="177">
        <f ca="1">IF(OR($U$15,$D33&gt;Calc1!$B$14),"",MOD($E33-1,$U$11)+1)</f>
        <v>4</v>
      </c>
      <c r="H33" s="299" t="str">
        <f t="shared" ca="1" si="0"/>
        <v>D</v>
      </c>
      <c r="I33" s="321" t="str">
        <f ca="1"/>
        <v>D2</v>
      </c>
      <c r="J33" s="322" t="s">
        <v>5</v>
      </c>
      <c r="K33" s="323" t="str">
        <f ca="1"/>
        <v>D4</v>
      </c>
      <c r="L33" s="180" t="str">
        <f t="shared" ca="1" si="1"/>
        <v>Paris St. Germain</v>
      </c>
      <c r="M33" s="181" t="s">
        <v>5</v>
      </c>
      <c r="N33" s="182" t="str">
        <f t="shared" ca="1" si="2"/>
        <v>RB Leipzig</v>
      </c>
      <c r="O33" s="330"/>
      <c r="P33" s="552"/>
      <c r="Q33" s="444"/>
      <c r="R33" s="172"/>
      <c r="S33" s="172"/>
      <c r="T33" s="553"/>
      <c r="V33" s="394">
        <v>4</v>
      </c>
      <c r="W33" s="557">
        <v>6</v>
      </c>
      <c r="X33" s="558">
        <v>6</v>
      </c>
      <c r="Y33" s="558">
        <v>6</v>
      </c>
      <c r="Z33" s="558">
        <v>6</v>
      </c>
      <c r="AA33" s="558">
        <v>6</v>
      </c>
      <c r="AB33" s="559">
        <v>6</v>
      </c>
      <c r="AC33" s="557">
        <v>6</v>
      </c>
      <c r="AD33" s="558">
        <v>6</v>
      </c>
      <c r="AE33" s="558">
        <v>6</v>
      </c>
      <c r="AF33" s="558">
        <v>6</v>
      </c>
      <c r="AG33" s="558">
        <v>6</v>
      </c>
      <c r="AH33" s="559">
        <v>6</v>
      </c>
      <c r="AI33" s="557">
        <v>6</v>
      </c>
      <c r="AJ33" s="558">
        <v>6</v>
      </c>
      <c r="AK33" s="558">
        <v>6</v>
      </c>
      <c r="AL33" s="558">
        <v>6</v>
      </c>
      <c r="AM33" s="558">
        <v>6</v>
      </c>
      <c r="AN33" s="559">
        <v>6</v>
      </c>
      <c r="AO33" s="557">
        <v>6</v>
      </c>
      <c r="AP33" s="558">
        <v>6</v>
      </c>
      <c r="AQ33" s="558">
        <v>6</v>
      </c>
      <c r="AR33" s="558">
        <v>6</v>
      </c>
      <c r="AS33" s="558">
        <v>6</v>
      </c>
      <c r="AT33" s="559">
        <v>6</v>
      </c>
      <c r="AU33" s="557">
        <v>6</v>
      </c>
      <c r="AV33" s="558">
        <v>6</v>
      </c>
      <c r="AW33" s="558">
        <v>6</v>
      </c>
      <c r="AX33" s="558">
        <v>6</v>
      </c>
      <c r="AY33" s="558">
        <v>6</v>
      </c>
      <c r="AZ33" s="559">
        <v>6</v>
      </c>
      <c r="BA33" s="557">
        <v>6</v>
      </c>
      <c r="BB33" s="558">
        <v>6</v>
      </c>
      <c r="BC33" s="558">
        <v>6</v>
      </c>
      <c r="BD33" s="558">
        <v>6</v>
      </c>
      <c r="BE33" s="558">
        <v>6</v>
      </c>
      <c r="BF33" s="559">
        <v>6</v>
      </c>
      <c r="BG33" s="466"/>
    </row>
    <row r="34" spans="2:59" ht="15.95" customHeight="1" x14ac:dyDescent="0.25">
      <c r="B34" s="739" t="s">
        <v>217</v>
      </c>
      <c r="C34" s="741"/>
      <c r="D34" s="569">
        <v>29</v>
      </c>
      <c r="E34" s="528">
        <f t="array" aca="1" ref="E34" ca="1">IF($D34&gt;Calc1!$B$14,"",ROW(29:29)-SUM((($L$6:$L33="")+($N$6:$N33="")&gt;0)*1))</f>
        <v>29</v>
      </c>
      <c r="F34" s="175">
        <f ca="1">IF(OR($U$15,$D34&gt;Calc1!$B$14),"",$R$5+QUOTIENT(($E34-1),$U$11)*($R$7+$R$9)/1440+SUM($O$6:$O33)/1440)</f>
        <v>0.54513888888888884</v>
      </c>
      <c r="G34" s="177">
        <f ca="1">IF(OR($U$15,$D34&gt;Calc1!$B$14),"",MOD($E34-1,$U$11)+1)</f>
        <v>1</v>
      </c>
      <c r="H34" s="299" t="str">
        <f t="shared" ca="1" si="0"/>
        <v>A</v>
      </c>
      <c r="I34" s="321" t="str">
        <f ca="1"/>
        <v>A3</v>
      </c>
      <c r="J34" s="322" t="s">
        <v>5</v>
      </c>
      <c r="K34" s="323" t="str">
        <f ca="1"/>
        <v>A1</v>
      </c>
      <c r="L34" s="180" t="str">
        <f t="shared" ca="1" si="1"/>
        <v>Eintracht Frankfurt</v>
      </c>
      <c r="M34" s="181" t="s">
        <v>5</v>
      </c>
      <c r="N34" s="182" t="str">
        <f t="shared" ca="1" si="2"/>
        <v>1. FC Riedwald</v>
      </c>
      <c r="O34" s="331"/>
      <c r="P34" s="552"/>
      <c r="Q34" s="444"/>
      <c r="R34" s="172"/>
      <c r="S34" s="172"/>
      <c r="T34" s="553"/>
      <c r="V34" s="394">
        <v>5</v>
      </c>
      <c r="W34" s="557">
        <v>6</v>
      </c>
      <c r="X34" s="558">
        <v>6</v>
      </c>
      <c r="Y34" s="558">
        <v>6</v>
      </c>
      <c r="Z34" s="558">
        <v>6</v>
      </c>
      <c r="AA34" s="558">
        <v>6</v>
      </c>
      <c r="AB34" s="559">
        <v>6</v>
      </c>
      <c r="AC34" s="557">
        <v>6</v>
      </c>
      <c r="AD34" s="558">
        <v>6</v>
      </c>
      <c r="AE34" s="558">
        <v>6</v>
      </c>
      <c r="AF34" s="558">
        <v>6</v>
      </c>
      <c r="AG34" s="558">
        <v>6</v>
      </c>
      <c r="AH34" s="559">
        <v>6</v>
      </c>
      <c r="AI34" s="557">
        <v>6</v>
      </c>
      <c r="AJ34" s="558">
        <v>6</v>
      </c>
      <c r="AK34" s="558">
        <v>6</v>
      </c>
      <c r="AL34" s="558">
        <v>6</v>
      </c>
      <c r="AM34" s="558">
        <v>6</v>
      </c>
      <c r="AN34" s="559">
        <v>6</v>
      </c>
      <c r="AO34" s="557">
        <v>6</v>
      </c>
      <c r="AP34" s="558">
        <v>6</v>
      </c>
      <c r="AQ34" s="558">
        <v>6</v>
      </c>
      <c r="AR34" s="558">
        <v>6</v>
      </c>
      <c r="AS34" s="558">
        <v>6</v>
      </c>
      <c r="AT34" s="559">
        <v>6</v>
      </c>
      <c r="AU34" s="557">
        <v>6</v>
      </c>
      <c r="AV34" s="558">
        <v>6</v>
      </c>
      <c r="AW34" s="558">
        <v>6</v>
      </c>
      <c r="AX34" s="558">
        <v>6</v>
      </c>
      <c r="AY34" s="558">
        <v>6</v>
      </c>
      <c r="AZ34" s="559">
        <v>6</v>
      </c>
      <c r="BA34" s="557">
        <v>6</v>
      </c>
      <c r="BB34" s="558">
        <v>6</v>
      </c>
      <c r="BC34" s="558">
        <v>6</v>
      </c>
      <c r="BD34" s="558">
        <v>6</v>
      </c>
      <c r="BE34" s="558">
        <v>6</v>
      </c>
      <c r="BF34" s="559">
        <v>6</v>
      </c>
      <c r="BG34" s="466"/>
    </row>
    <row r="35" spans="2:59" ht="15.95" customHeight="1" thickBot="1" x14ac:dyDescent="0.3">
      <c r="B35" s="740"/>
      <c r="C35" s="742"/>
      <c r="D35" s="569">
        <v>30</v>
      </c>
      <c r="E35" s="528">
        <f t="array" aca="1" ref="E35" ca="1">IF($D35&gt;Calc1!$B$14,"",ROW(30:30)-SUM((($L$6:$L34="")+($N$6:$N34="")&gt;0)*1))</f>
        <v>30</v>
      </c>
      <c r="F35" s="175">
        <f ca="1">IF(OR($U$15,$D35&gt;Calc1!$B$14),"",$R$5+QUOTIENT(($E35-1),$U$11)*($R$7+$R$9)/1440+SUM($O$6:$O34)/1440)</f>
        <v>0.54513888888888884</v>
      </c>
      <c r="G35" s="177">
        <f ca="1">IF(OR($U$15,$D35&gt;Calc1!$B$14),"",MOD($E35-1,$U$11)+1)</f>
        <v>2</v>
      </c>
      <c r="H35" s="299" t="str">
        <f t="shared" ca="1" si="0"/>
        <v>B</v>
      </c>
      <c r="I35" s="321" t="str">
        <f ca="1"/>
        <v>B3</v>
      </c>
      <c r="J35" s="322" t="s">
        <v>5</v>
      </c>
      <c r="K35" s="323" t="str">
        <f ca="1"/>
        <v>B1</v>
      </c>
      <c r="L35" s="180" t="str">
        <f t="shared" ca="1" si="1"/>
        <v>SSV Wildbach</v>
      </c>
      <c r="M35" s="181" t="s">
        <v>5</v>
      </c>
      <c r="N35" s="182" t="str">
        <f t="shared" ca="1" si="2"/>
        <v>Mainz 05</v>
      </c>
      <c r="O35" s="331"/>
      <c r="P35" s="552"/>
      <c r="Q35" s="444"/>
      <c r="R35" s="172"/>
      <c r="S35" s="172"/>
      <c r="T35" s="553"/>
      <c r="V35" s="395">
        <v>6</v>
      </c>
      <c r="W35" s="560">
        <v>6</v>
      </c>
      <c r="X35" s="561">
        <v>6</v>
      </c>
      <c r="Y35" s="561">
        <v>6</v>
      </c>
      <c r="Z35" s="561">
        <v>6</v>
      </c>
      <c r="AA35" s="561">
        <v>6</v>
      </c>
      <c r="AB35" s="562">
        <v>6</v>
      </c>
      <c r="AC35" s="560">
        <v>6</v>
      </c>
      <c r="AD35" s="561">
        <v>6</v>
      </c>
      <c r="AE35" s="561">
        <v>6</v>
      </c>
      <c r="AF35" s="561">
        <v>6</v>
      </c>
      <c r="AG35" s="561">
        <v>6</v>
      </c>
      <c r="AH35" s="562">
        <v>6</v>
      </c>
      <c r="AI35" s="560">
        <v>6</v>
      </c>
      <c r="AJ35" s="561">
        <v>6</v>
      </c>
      <c r="AK35" s="561">
        <v>6</v>
      </c>
      <c r="AL35" s="561">
        <v>6</v>
      </c>
      <c r="AM35" s="561">
        <v>6</v>
      </c>
      <c r="AN35" s="562">
        <v>6</v>
      </c>
      <c r="AO35" s="560">
        <v>6</v>
      </c>
      <c r="AP35" s="561">
        <v>6</v>
      </c>
      <c r="AQ35" s="561">
        <v>6</v>
      </c>
      <c r="AR35" s="561">
        <v>6</v>
      </c>
      <c r="AS35" s="561">
        <v>6</v>
      </c>
      <c r="AT35" s="562">
        <v>6</v>
      </c>
      <c r="AU35" s="560">
        <v>6</v>
      </c>
      <c r="AV35" s="561">
        <v>6</v>
      </c>
      <c r="AW35" s="561">
        <v>6</v>
      </c>
      <c r="AX35" s="561">
        <v>6</v>
      </c>
      <c r="AY35" s="561">
        <v>6</v>
      </c>
      <c r="AZ35" s="562">
        <v>6</v>
      </c>
      <c r="BA35" s="560">
        <v>6</v>
      </c>
      <c r="BB35" s="561">
        <v>6</v>
      </c>
      <c r="BC35" s="561">
        <v>6</v>
      </c>
      <c r="BD35" s="561">
        <v>6</v>
      </c>
      <c r="BE35" s="561">
        <v>6</v>
      </c>
      <c r="BF35" s="562">
        <v>6</v>
      </c>
      <c r="BG35" s="466"/>
    </row>
    <row r="36" spans="2:59" ht="18" customHeight="1" thickTop="1" x14ac:dyDescent="0.25">
      <c r="C36" s="445"/>
      <c r="D36" s="569">
        <v>31</v>
      </c>
      <c r="E36" s="528">
        <f t="array" aca="1" ref="E36" ca="1">IF($D36&gt;Calc1!$B$14,"",ROW(31:31)-SUM((($L$6:$L35="")+($N$6:$N35="")&gt;0)*1))</f>
        <v>31</v>
      </c>
      <c r="F36" s="175">
        <f ca="1">IF(OR($U$15,$D36&gt;Calc1!$B$14),"",$R$5+QUOTIENT(($E36-1),$U$11)*($R$7+$R$9)/1440+SUM($O$6:$O35)/1440)</f>
        <v>0.54513888888888884</v>
      </c>
      <c r="G36" s="177">
        <f ca="1">IF(OR($U$15,$D36&gt;Calc1!$B$14),"",MOD($E36-1,$U$11)+1)</f>
        <v>3</v>
      </c>
      <c r="H36" s="299" t="str">
        <f t="shared" ca="1" si="0"/>
        <v>C</v>
      </c>
      <c r="I36" s="321" t="str">
        <f ca="1"/>
        <v>C3</v>
      </c>
      <c r="J36" s="322" t="s">
        <v>5</v>
      </c>
      <c r="K36" s="323" t="str">
        <f ca="1"/>
        <v>C1</v>
      </c>
      <c r="L36" s="180" t="str">
        <f t="shared" ca="1" si="1"/>
        <v>Borussia Dortmund</v>
      </c>
      <c r="M36" s="181" t="s">
        <v>5</v>
      </c>
      <c r="N36" s="182" t="str">
        <f t="shared" ca="1" si="2"/>
        <v>Kickers Rodendorf</v>
      </c>
      <c r="O36" s="331"/>
      <c r="P36" s="171"/>
      <c r="Q36" s="444"/>
      <c r="R36" s="172"/>
      <c r="S36" s="172"/>
      <c r="T36" s="317"/>
      <c r="V36" s="394">
        <v>1</v>
      </c>
      <c r="W36" s="554">
        <v>6</v>
      </c>
      <c r="X36" s="555">
        <v>6</v>
      </c>
      <c r="Y36" s="555">
        <v>6</v>
      </c>
      <c r="Z36" s="555">
        <v>6</v>
      </c>
      <c r="AA36" s="555">
        <v>6</v>
      </c>
      <c r="AB36" s="556">
        <v>6</v>
      </c>
      <c r="AC36" s="554">
        <v>6</v>
      </c>
      <c r="AD36" s="555">
        <v>6</v>
      </c>
      <c r="AE36" s="555">
        <v>6</v>
      </c>
      <c r="AF36" s="555">
        <v>6</v>
      </c>
      <c r="AG36" s="555">
        <v>6</v>
      </c>
      <c r="AH36" s="556">
        <v>6</v>
      </c>
      <c r="AI36" s="554">
        <v>6</v>
      </c>
      <c r="AJ36" s="555">
        <v>6</v>
      </c>
      <c r="AK36" s="555">
        <v>6</v>
      </c>
      <c r="AL36" s="555">
        <v>6</v>
      </c>
      <c r="AM36" s="555">
        <v>6</v>
      </c>
      <c r="AN36" s="556">
        <v>6</v>
      </c>
      <c r="AO36" s="554">
        <v>6</v>
      </c>
      <c r="AP36" s="555">
        <v>6</v>
      </c>
      <c r="AQ36" s="555">
        <v>6</v>
      </c>
      <c r="AR36" s="555">
        <v>6</v>
      </c>
      <c r="AS36" s="555">
        <v>6</v>
      </c>
      <c r="AT36" s="556">
        <v>6</v>
      </c>
      <c r="AU36" s="554">
        <v>6</v>
      </c>
      <c r="AV36" s="555">
        <v>6</v>
      </c>
      <c r="AW36" s="555">
        <v>6</v>
      </c>
      <c r="AX36" s="555">
        <v>6</v>
      </c>
      <c r="AY36" s="555">
        <v>6</v>
      </c>
      <c r="AZ36" s="556">
        <v>6</v>
      </c>
      <c r="BA36" s="554">
        <v>6</v>
      </c>
      <c r="BB36" s="555">
        <v>6</v>
      </c>
      <c r="BC36" s="555">
        <v>6</v>
      </c>
      <c r="BD36" s="555">
        <v>6</v>
      </c>
      <c r="BE36" s="555">
        <v>6</v>
      </c>
      <c r="BF36" s="556">
        <v>6</v>
      </c>
      <c r="BG36" s="465">
        <v>6</v>
      </c>
    </row>
    <row r="37" spans="2:59" ht="17.25" customHeight="1" x14ac:dyDescent="0.25">
      <c r="B37" s="752"/>
      <c r="C37" s="754" t="str">
        <f>Sprache!$E$16&amp;" C"</f>
        <v>Gruppe C</v>
      </c>
      <c r="D37" s="569">
        <v>32</v>
      </c>
      <c r="E37" s="528">
        <f t="array" aca="1" ref="E37" ca="1">IF($D37&gt;Calc1!$B$14,"",ROW(32:32)-SUM((($L$6:$L36="")+($N$6:$N36="")&gt;0)*1))</f>
        <v>32</v>
      </c>
      <c r="F37" s="175">
        <f ca="1">IF(OR($U$15,$D37&gt;Calc1!$B$14),"",$R$5+QUOTIENT(($E37-1),$U$11)*($R$7+$R$9)/1440+SUM($O$6:$O36)/1440)</f>
        <v>0.54513888888888884</v>
      </c>
      <c r="G37" s="177">
        <f ca="1">IF(OR($U$15,$D37&gt;Calc1!$B$14),"",MOD($E37-1,$U$11)+1)</f>
        <v>4</v>
      </c>
      <c r="H37" s="299" t="str">
        <f t="shared" ca="1" si="0"/>
        <v>D</v>
      </c>
      <c r="I37" s="321" t="str">
        <f ca="1"/>
        <v>D3</v>
      </c>
      <c r="J37" s="322" t="s">
        <v>5</v>
      </c>
      <c r="K37" s="323" t="str">
        <f ca="1"/>
        <v>D1</v>
      </c>
      <c r="L37" s="180" t="str">
        <f t="shared" ca="1" si="1"/>
        <v>HSV</v>
      </c>
      <c r="M37" s="181" t="s">
        <v>5</v>
      </c>
      <c r="N37" s="182" t="str">
        <f t="shared" ca="1" si="2"/>
        <v>TSG Saalberg eV</v>
      </c>
      <c r="O37" s="331"/>
      <c r="P37" s="171"/>
      <c r="Q37" s="444"/>
      <c r="R37" s="172"/>
      <c r="S37" s="172"/>
      <c r="T37" s="317"/>
      <c r="V37" s="394">
        <v>2</v>
      </c>
      <c r="W37" s="557">
        <v>6</v>
      </c>
      <c r="X37" s="558">
        <v>6</v>
      </c>
      <c r="Y37" s="558">
        <v>6</v>
      </c>
      <c r="Z37" s="558">
        <v>6</v>
      </c>
      <c r="AA37" s="558">
        <v>6</v>
      </c>
      <c r="AB37" s="559">
        <v>6</v>
      </c>
      <c r="AC37" s="557">
        <v>6</v>
      </c>
      <c r="AD37" s="558">
        <v>6</v>
      </c>
      <c r="AE37" s="558">
        <v>6</v>
      </c>
      <c r="AF37" s="558">
        <v>6</v>
      </c>
      <c r="AG37" s="558">
        <v>6</v>
      </c>
      <c r="AH37" s="559">
        <v>6</v>
      </c>
      <c r="AI37" s="557">
        <v>6</v>
      </c>
      <c r="AJ37" s="558">
        <v>6</v>
      </c>
      <c r="AK37" s="558">
        <v>6</v>
      </c>
      <c r="AL37" s="558">
        <v>6</v>
      </c>
      <c r="AM37" s="558">
        <v>6</v>
      </c>
      <c r="AN37" s="559">
        <v>6</v>
      </c>
      <c r="AO37" s="557">
        <v>6</v>
      </c>
      <c r="AP37" s="558">
        <v>6</v>
      </c>
      <c r="AQ37" s="558">
        <v>6</v>
      </c>
      <c r="AR37" s="558">
        <v>6</v>
      </c>
      <c r="AS37" s="558">
        <v>6</v>
      </c>
      <c r="AT37" s="559">
        <v>6</v>
      </c>
      <c r="AU37" s="557">
        <v>6</v>
      </c>
      <c r="AV37" s="558">
        <v>6</v>
      </c>
      <c r="AW37" s="558">
        <v>6</v>
      </c>
      <c r="AX37" s="558">
        <v>6</v>
      </c>
      <c r="AY37" s="558">
        <v>6</v>
      </c>
      <c r="AZ37" s="559">
        <v>6</v>
      </c>
      <c r="BA37" s="557">
        <v>6</v>
      </c>
      <c r="BB37" s="558">
        <v>6</v>
      </c>
      <c r="BC37" s="558">
        <v>6</v>
      </c>
      <c r="BD37" s="558">
        <v>6</v>
      </c>
      <c r="BE37" s="558">
        <v>6</v>
      </c>
      <c r="BF37" s="559">
        <v>6</v>
      </c>
    </row>
    <row r="38" spans="2:59" ht="18" customHeight="1" thickBot="1" x14ac:dyDescent="0.3">
      <c r="B38" s="753"/>
      <c r="C38" s="755"/>
      <c r="D38" s="569">
        <v>33</v>
      </c>
      <c r="E38" s="528">
        <f t="array" aca="1" ref="E38" ca="1">IF($D38&gt;Calc1!$B$14,"",ROW(33:33)-SUM((($L$6:$L37="")+($N$6:$N37="")&gt;0)*1))</f>
        <v>33</v>
      </c>
      <c r="F38" s="175">
        <f ca="1">IF(OR($U$15,$D38&gt;Calc1!$B$14),"",$R$5+QUOTIENT(($E38-1),$U$11)*($R$7+$R$9)/1440+SUM($O$6:$O37)/1440)</f>
        <v>0.56944444444444442</v>
      </c>
      <c r="G38" s="177">
        <f ca="1">IF(OR($U$15,$D38&gt;Calc1!$B$14),"",MOD($E38-1,$U$11)+1)</f>
        <v>1</v>
      </c>
      <c r="H38" s="299" t="str">
        <f t="shared" ca="1" si="0"/>
        <v>A</v>
      </c>
      <c r="I38" s="321" t="str">
        <f ca="1"/>
        <v>A4</v>
      </c>
      <c r="J38" s="322" t="s">
        <v>5</v>
      </c>
      <c r="K38" s="323" t="str">
        <f ca="1"/>
        <v>A5</v>
      </c>
      <c r="L38" s="180" t="str">
        <f t="shared" ca="1" si="1"/>
        <v>Maibach 1822 eV</v>
      </c>
      <c r="M38" s="181" t="s">
        <v>5</v>
      </c>
      <c r="N38" s="182" t="str">
        <f t="shared" ca="1" si="2"/>
        <v>VFB Essenheim</v>
      </c>
      <c r="O38" s="331"/>
      <c r="P38" s="171"/>
      <c r="Q38" s="444"/>
      <c r="R38" s="172"/>
      <c r="S38" s="172"/>
      <c r="T38" s="172"/>
      <c r="V38" s="394">
        <v>3</v>
      </c>
      <c r="W38" s="557">
        <v>6</v>
      </c>
      <c r="X38" s="558">
        <v>6</v>
      </c>
      <c r="Y38" s="558">
        <v>6</v>
      </c>
      <c r="Z38" s="558">
        <v>6</v>
      </c>
      <c r="AA38" s="558">
        <v>6</v>
      </c>
      <c r="AB38" s="559">
        <v>6</v>
      </c>
      <c r="AC38" s="557">
        <v>6</v>
      </c>
      <c r="AD38" s="558">
        <v>6</v>
      </c>
      <c r="AE38" s="558">
        <v>6</v>
      </c>
      <c r="AF38" s="558">
        <v>6</v>
      </c>
      <c r="AG38" s="558">
        <v>6</v>
      </c>
      <c r="AH38" s="559">
        <v>6</v>
      </c>
      <c r="AI38" s="557">
        <v>6</v>
      </c>
      <c r="AJ38" s="558">
        <v>6</v>
      </c>
      <c r="AK38" s="558">
        <v>6</v>
      </c>
      <c r="AL38" s="558">
        <v>6</v>
      </c>
      <c r="AM38" s="558">
        <v>6</v>
      </c>
      <c r="AN38" s="559">
        <v>6</v>
      </c>
      <c r="AO38" s="557">
        <v>6</v>
      </c>
      <c r="AP38" s="558">
        <v>6</v>
      </c>
      <c r="AQ38" s="558">
        <v>6</v>
      </c>
      <c r="AR38" s="558">
        <v>6</v>
      </c>
      <c r="AS38" s="558">
        <v>6</v>
      </c>
      <c r="AT38" s="559">
        <v>6</v>
      </c>
      <c r="AU38" s="557">
        <v>6</v>
      </c>
      <c r="AV38" s="558">
        <v>6</v>
      </c>
      <c r="AW38" s="558">
        <v>6</v>
      </c>
      <c r="AX38" s="558">
        <v>6</v>
      </c>
      <c r="AY38" s="558">
        <v>6</v>
      </c>
      <c r="AZ38" s="559">
        <v>6</v>
      </c>
      <c r="BA38" s="557">
        <v>6</v>
      </c>
      <c r="BB38" s="558">
        <v>6</v>
      </c>
      <c r="BC38" s="558">
        <v>6</v>
      </c>
      <c r="BD38" s="558">
        <v>6</v>
      </c>
      <c r="BE38" s="558">
        <v>6</v>
      </c>
      <c r="BF38" s="559">
        <v>6</v>
      </c>
    </row>
    <row r="39" spans="2:59" ht="18" customHeight="1" thickTop="1" x14ac:dyDescent="0.25">
      <c r="B39" s="745"/>
      <c r="C39" s="747" t="str">
        <f>Sprache!$E$10</f>
        <v>Teilnehmer bzw. Mannschaft</v>
      </c>
      <c r="D39" s="569">
        <v>34</v>
      </c>
      <c r="E39" s="528">
        <f t="array" aca="1" ref="E39" ca="1">IF($D39&gt;Calc1!$B$14,"",ROW(34:34)-SUM((($L$6:$L38="")+($N$6:$N38="")&gt;0)*1))</f>
        <v>34</v>
      </c>
      <c r="F39" s="175">
        <f ca="1">IF(OR($U$15,$D39&gt;Calc1!$B$14),"",$R$5+QUOTIENT(($E39-1),$U$11)*($R$7+$R$9)/1440+SUM($O$6:$O38)/1440)</f>
        <v>0.56944444444444442</v>
      </c>
      <c r="G39" s="177">
        <f ca="1">IF(OR($U$15,$D39&gt;Calc1!$B$14),"",MOD($E39-1,$U$11)+1)</f>
        <v>2</v>
      </c>
      <c r="H39" s="299" t="str">
        <f t="shared" ca="1" si="0"/>
        <v>B</v>
      </c>
      <c r="I39" s="321" t="str">
        <f ca="1"/>
        <v>B4</v>
      </c>
      <c r="J39" s="322" t="s">
        <v>5</v>
      </c>
      <c r="K39" s="323" t="str">
        <f ca="1"/>
        <v>B5</v>
      </c>
      <c r="L39" s="180" t="str">
        <f t="shared" ca="1" si="1"/>
        <v>Manchester City</v>
      </c>
      <c r="M39" s="181" t="s">
        <v>5</v>
      </c>
      <c r="N39" s="182" t="str">
        <f t="shared" ca="1" si="2"/>
        <v>FC Grönlingen</v>
      </c>
      <c r="O39" s="331"/>
      <c r="P39" s="171"/>
      <c r="Q39" s="444"/>
      <c r="R39" s="172"/>
      <c r="S39" s="172"/>
      <c r="T39" s="172"/>
      <c r="V39" s="394">
        <v>4</v>
      </c>
      <c r="W39" s="557">
        <v>6</v>
      </c>
      <c r="X39" s="558">
        <v>6</v>
      </c>
      <c r="Y39" s="558">
        <v>6</v>
      </c>
      <c r="Z39" s="558">
        <v>6</v>
      </c>
      <c r="AA39" s="558">
        <v>6</v>
      </c>
      <c r="AB39" s="559">
        <v>6</v>
      </c>
      <c r="AC39" s="557">
        <v>6</v>
      </c>
      <c r="AD39" s="558">
        <v>6</v>
      </c>
      <c r="AE39" s="558">
        <v>6</v>
      </c>
      <c r="AF39" s="558">
        <v>6</v>
      </c>
      <c r="AG39" s="558">
        <v>6</v>
      </c>
      <c r="AH39" s="559">
        <v>6</v>
      </c>
      <c r="AI39" s="557">
        <v>6</v>
      </c>
      <c r="AJ39" s="558">
        <v>6</v>
      </c>
      <c r="AK39" s="558">
        <v>6</v>
      </c>
      <c r="AL39" s="558">
        <v>6</v>
      </c>
      <c r="AM39" s="558">
        <v>6</v>
      </c>
      <c r="AN39" s="559">
        <v>6</v>
      </c>
      <c r="AO39" s="557">
        <v>6</v>
      </c>
      <c r="AP39" s="558">
        <v>6</v>
      </c>
      <c r="AQ39" s="558">
        <v>6</v>
      </c>
      <c r="AR39" s="558">
        <v>6</v>
      </c>
      <c r="AS39" s="558">
        <v>6</v>
      </c>
      <c r="AT39" s="559">
        <v>6</v>
      </c>
      <c r="AU39" s="557">
        <v>6</v>
      </c>
      <c r="AV39" s="558">
        <v>6</v>
      </c>
      <c r="AW39" s="558">
        <v>6</v>
      </c>
      <c r="AX39" s="558">
        <v>6</v>
      </c>
      <c r="AY39" s="558">
        <v>6</v>
      </c>
      <c r="AZ39" s="559">
        <v>6</v>
      </c>
      <c r="BA39" s="557">
        <v>6</v>
      </c>
      <c r="BB39" s="558">
        <v>6</v>
      </c>
      <c r="BC39" s="558">
        <v>6</v>
      </c>
      <c r="BD39" s="558">
        <v>6</v>
      </c>
      <c r="BE39" s="558">
        <v>6</v>
      </c>
      <c r="BF39" s="559">
        <v>6</v>
      </c>
    </row>
    <row r="40" spans="2:59" ht="17.25" customHeight="1" x14ac:dyDescent="0.25">
      <c r="B40" s="746"/>
      <c r="C40" s="748"/>
      <c r="D40" s="569">
        <v>35</v>
      </c>
      <c r="E40" s="528">
        <f t="array" aca="1" ref="E40" ca="1">IF($D40&gt;Calc1!$B$14,"",ROW(35:35)-SUM((($L$6:$L39="")+($N$6:$N39="")&gt;0)*1))</f>
        <v>35</v>
      </c>
      <c r="F40" s="175">
        <f ca="1">IF(OR($U$15,$D40&gt;Calc1!$B$14),"",$R$5+QUOTIENT(($E40-1),$U$11)*($R$7+$R$9)/1440+SUM($O$6:$O39)/1440)</f>
        <v>0.56944444444444442</v>
      </c>
      <c r="G40" s="177">
        <f ca="1">IF(OR($U$15,$D40&gt;Calc1!$B$14),"",MOD($E40-1,$U$11)+1)</f>
        <v>3</v>
      </c>
      <c r="H40" s="299" t="str">
        <f t="shared" ca="1" si="0"/>
        <v>C</v>
      </c>
      <c r="I40" s="321" t="str">
        <f ca="1"/>
        <v>C4</v>
      </c>
      <c r="J40" s="322" t="s">
        <v>5</v>
      </c>
      <c r="K40" s="323" t="str">
        <f ca="1"/>
        <v>C5</v>
      </c>
      <c r="L40" s="180" t="str">
        <f t="shared" ca="1" si="1"/>
        <v>FSV Rauen</v>
      </c>
      <c r="M40" s="181" t="s">
        <v>5</v>
      </c>
      <c r="N40" s="182" t="str">
        <f t="shared" ca="1" si="2"/>
        <v>1. FC Nürnberg</v>
      </c>
      <c r="O40" s="331"/>
      <c r="P40" s="171"/>
      <c r="Q40" s="444"/>
      <c r="R40" s="172"/>
      <c r="S40" s="172"/>
      <c r="T40" s="172"/>
      <c r="V40" s="394">
        <v>5</v>
      </c>
      <c r="W40" s="557">
        <v>6</v>
      </c>
      <c r="X40" s="558">
        <v>6</v>
      </c>
      <c r="Y40" s="558">
        <v>6</v>
      </c>
      <c r="Z40" s="558">
        <v>6</v>
      </c>
      <c r="AA40" s="558">
        <v>6</v>
      </c>
      <c r="AB40" s="559">
        <v>6</v>
      </c>
      <c r="AC40" s="557">
        <v>6</v>
      </c>
      <c r="AD40" s="558">
        <v>6</v>
      </c>
      <c r="AE40" s="558">
        <v>6</v>
      </c>
      <c r="AF40" s="558">
        <v>6</v>
      </c>
      <c r="AG40" s="558">
        <v>6</v>
      </c>
      <c r="AH40" s="559">
        <v>6</v>
      </c>
      <c r="AI40" s="557">
        <v>6</v>
      </c>
      <c r="AJ40" s="558">
        <v>6</v>
      </c>
      <c r="AK40" s="558">
        <v>6</v>
      </c>
      <c r="AL40" s="558">
        <v>6</v>
      </c>
      <c r="AM40" s="558">
        <v>6</v>
      </c>
      <c r="AN40" s="559">
        <v>6</v>
      </c>
      <c r="AO40" s="557">
        <v>6</v>
      </c>
      <c r="AP40" s="558">
        <v>6</v>
      </c>
      <c r="AQ40" s="558">
        <v>6</v>
      </c>
      <c r="AR40" s="558">
        <v>6</v>
      </c>
      <c r="AS40" s="558">
        <v>6</v>
      </c>
      <c r="AT40" s="559">
        <v>6</v>
      </c>
      <c r="AU40" s="557">
        <v>6</v>
      </c>
      <c r="AV40" s="558">
        <v>6</v>
      </c>
      <c r="AW40" s="558">
        <v>6</v>
      </c>
      <c r="AX40" s="558">
        <v>6</v>
      </c>
      <c r="AY40" s="558">
        <v>6</v>
      </c>
      <c r="AZ40" s="559">
        <v>6</v>
      </c>
      <c r="BA40" s="557">
        <v>6</v>
      </c>
      <c r="BB40" s="558">
        <v>6</v>
      </c>
      <c r="BC40" s="558">
        <v>6</v>
      </c>
      <c r="BD40" s="558">
        <v>6</v>
      </c>
      <c r="BE40" s="558">
        <v>6</v>
      </c>
      <c r="BF40" s="559">
        <v>6</v>
      </c>
    </row>
    <row r="41" spans="2:59" ht="17.25" customHeight="1" thickBot="1" x14ac:dyDescent="0.3">
      <c r="B41" s="749" t="s">
        <v>288</v>
      </c>
      <c r="C41" s="750" t="s">
        <v>281</v>
      </c>
      <c r="D41" s="569">
        <v>36</v>
      </c>
      <c r="E41" s="528">
        <f t="array" aca="1" ref="E41" ca="1">IF($D41&gt;Calc1!$B$14,"",ROW(36:36)-SUM((($L$6:$L40="")+($N$6:$N40="")&gt;0)*1))</f>
        <v>36</v>
      </c>
      <c r="F41" s="175">
        <f ca="1">IF(OR($U$15,$D41&gt;Calc1!$B$14),"",$R$5+QUOTIENT(($E41-1),$U$11)*($R$7+$R$9)/1440+SUM($O$6:$O40)/1440)</f>
        <v>0.56944444444444442</v>
      </c>
      <c r="G41" s="177">
        <f ca="1">IF(OR($U$15,$D41&gt;Calc1!$B$14),"",MOD($E41-1,$U$11)+1)</f>
        <v>4</v>
      </c>
      <c r="H41" s="299" t="str">
        <f t="shared" ca="1" si="0"/>
        <v>D</v>
      </c>
      <c r="I41" s="321" t="str">
        <f ca="1"/>
        <v>D4</v>
      </c>
      <c r="J41" s="322" t="s">
        <v>5</v>
      </c>
      <c r="K41" s="323" t="str">
        <f ca="1"/>
        <v>D5</v>
      </c>
      <c r="L41" s="180" t="str">
        <f t="shared" ca="1" si="1"/>
        <v>RB Leipzig</v>
      </c>
      <c r="M41" s="181" t="s">
        <v>5</v>
      </c>
      <c r="N41" s="182" t="str">
        <f t="shared" ca="1" si="2"/>
        <v>SV Oberredenburg</v>
      </c>
      <c r="O41" s="331"/>
      <c r="P41" s="171"/>
      <c r="Q41" s="444"/>
      <c r="R41" s="172"/>
      <c r="S41" s="172"/>
      <c r="T41" s="172"/>
      <c r="V41" s="395">
        <v>6</v>
      </c>
      <c r="W41" s="560">
        <v>6</v>
      </c>
      <c r="X41" s="561">
        <v>6</v>
      </c>
      <c r="Y41" s="561">
        <v>6</v>
      </c>
      <c r="Z41" s="561">
        <v>6</v>
      </c>
      <c r="AA41" s="561">
        <v>6</v>
      </c>
      <c r="AB41" s="562">
        <v>6</v>
      </c>
      <c r="AC41" s="560">
        <v>6</v>
      </c>
      <c r="AD41" s="561">
        <v>6</v>
      </c>
      <c r="AE41" s="561">
        <v>6</v>
      </c>
      <c r="AF41" s="561">
        <v>6</v>
      </c>
      <c r="AG41" s="561">
        <v>6</v>
      </c>
      <c r="AH41" s="562">
        <v>6</v>
      </c>
      <c r="AI41" s="560">
        <v>6</v>
      </c>
      <c r="AJ41" s="561">
        <v>6</v>
      </c>
      <c r="AK41" s="561">
        <v>6</v>
      </c>
      <c r="AL41" s="561">
        <v>6</v>
      </c>
      <c r="AM41" s="561">
        <v>6</v>
      </c>
      <c r="AN41" s="562">
        <v>6</v>
      </c>
      <c r="AO41" s="560">
        <v>6</v>
      </c>
      <c r="AP41" s="561">
        <v>6</v>
      </c>
      <c r="AQ41" s="561">
        <v>6</v>
      </c>
      <c r="AR41" s="561">
        <v>6</v>
      </c>
      <c r="AS41" s="561">
        <v>6</v>
      </c>
      <c r="AT41" s="562">
        <v>6</v>
      </c>
      <c r="AU41" s="560">
        <v>6</v>
      </c>
      <c r="AV41" s="561">
        <v>6</v>
      </c>
      <c r="AW41" s="561">
        <v>6</v>
      </c>
      <c r="AX41" s="561">
        <v>6</v>
      </c>
      <c r="AY41" s="561">
        <v>6</v>
      </c>
      <c r="AZ41" s="562">
        <v>6</v>
      </c>
      <c r="BA41" s="560">
        <v>6</v>
      </c>
      <c r="BB41" s="561">
        <v>6</v>
      </c>
      <c r="BC41" s="561">
        <v>6</v>
      </c>
      <c r="BD41" s="561">
        <v>6</v>
      </c>
      <c r="BE41" s="561">
        <v>6</v>
      </c>
      <c r="BF41" s="562">
        <v>6</v>
      </c>
    </row>
    <row r="42" spans="2:59" ht="17.25" customHeight="1" thickTop="1" x14ac:dyDescent="0.25">
      <c r="B42" s="743"/>
      <c r="C42" s="744"/>
      <c r="D42" s="569">
        <v>37</v>
      </c>
      <c r="E42" s="528">
        <f t="array" aca="1" ref="E42" ca="1">IF($D42&gt;Calc1!$B$14,"",ROW(37:37)-SUM((($L$6:$L41="")+($N$6:$N41="")&gt;0)*1))</f>
        <v>37</v>
      </c>
      <c r="F42" s="175">
        <f ca="1">IF(OR($U$15,$D42&gt;Calc1!$B$14),"",$R$5+QUOTIENT(($E42-1),$U$11)*($R$7+$R$9)/1440+SUM($O$6:$O41)/1440)</f>
        <v>0.59375</v>
      </c>
      <c r="G42" s="177">
        <f ca="1">IF(OR($U$15,$D42&gt;Calc1!$B$14),"",MOD($E42-1,$U$11)+1)</f>
        <v>1</v>
      </c>
      <c r="H42" s="299" t="str">
        <f t="shared" ca="1" si="0"/>
        <v>A</v>
      </c>
      <c r="I42" s="321" t="str">
        <f ca="1"/>
        <v>A1</v>
      </c>
      <c r="J42" s="322" t="s">
        <v>5</v>
      </c>
      <c r="K42" s="323" t="str">
        <f ca="1"/>
        <v>A2</v>
      </c>
      <c r="L42" s="180" t="str">
        <f t="shared" ca="1" si="1"/>
        <v>1. FC Riedwald</v>
      </c>
      <c r="M42" s="181" t="s">
        <v>5</v>
      </c>
      <c r="N42" s="182" t="str">
        <f t="shared" ca="1" si="2"/>
        <v>FC Barcelona</v>
      </c>
      <c r="O42" s="331"/>
      <c r="P42" s="171"/>
      <c r="Q42" s="444"/>
      <c r="R42" s="172"/>
      <c r="S42" s="172"/>
      <c r="T42" s="172"/>
    </row>
    <row r="43" spans="2:59" ht="17.25" x14ac:dyDescent="0.25">
      <c r="B43" s="739" t="s">
        <v>287</v>
      </c>
      <c r="C43" s="741" t="s">
        <v>282</v>
      </c>
      <c r="D43" s="569">
        <v>38</v>
      </c>
      <c r="E43" s="528">
        <f t="array" aca="1" ref="E43" ca="1">IF($D43&gt;Calc1!$B$14,"",ROW(38:38)-SUM((($L$6:$L42="")+($N$6:$N42="")&gt;0)*1))</f>
        <v>38</v>
      </c>
      <c r="F43" s="175">
        <f ca="1">IF(OR($U$15,$D43&gt;Calc1!$B$14),"",$R$5+QUOTIENT(($E43-1),$U$11)*($R$7+$R$9)/1440+SUM($O$6:$O42)/1440)</f>
        <v>0.59375</v>
      </c>
      <c r="G43" s="177">
        <f ca="1">IF(OR($U$15,$D43&gt;Calc1!$B$14),"",MOD($E43-1,$U$11)+1)</f>
        <v>2</v>
      </c>
      <c r="H43" s="299" t="str">
        <f t="shared" ca="1" si="0"/>
        <v>B</v>
      </c>
      <c r="I43" s="321" t="str">
        <f ca="1"/>
        <v>B1</v>
      </c>
      <c r="J43" s="322" t="s">
        <v>5</v>
      </c>
      <c r="K43" s="323" t="str">
        <f ca="1"/>
        <v>B2</v>
      </c>
      <c r="L43" s="180" t="str">
        <f t="shared" ca="1" si="1"/>
        <v>Mainz 05</v>
      </c>
      <c r="M43" s="181" t="s">
        <v>5</v>
      </c>
      <c r="N43" s="182" t="str">
        <f t="shared" ca="1" si="2"/>
        <v>Inter Mailand</v>
      </c>
      <c r="O43" s="331"/>
      <c r="P43" s="171"/>
      <c r="Q43" s="448"/>
      <c r="R43" s="172"/>
      <c r="S43" s="172"/>
      <c r="T43" s="172"/>
    </row>
    <row r="44" spans="2:59" ht="17.25" customHeight="1" x14ac:dyDescent="0.25">
      <c r="B44" s="743"/>
      <c r="C44" s="744"/>
      <c r="D44" s="569">
        <v>39</v>
      </c>
      <c r="E44" s="528">
        <f t="array" aca="1" ref="E44" ca="1">IF($D44&gt;Calc1!$B$14,"",ROW(39:39)-SUM((($L$6:$L43="")+($N$6:$N43="")&gt;0)*1))</f>
        <v>39</v>
      </c>
      <c r="F44" s="175">
        <f ca="1">IF(OR($U$15,$D44&gt;Calc1!$B$14),"",$R$5+QUOTIENT(($E44-1),$U$11)*($R$7+$R$9)/1440+SUM($O$6:$O43)/1440)</f>
        <v>0.59375</v>
      </c>
      <c r="G44" s="177">
        <f ca="1">IF(OR($U$15,$D44&gt;Calc1!$B$14),"",MOD($E44-1,$U$11)+1)</f>
        <v>3</v>
      </c>
      <c r="H44" s="299" t="str">
        <f t="shared" ca="1" si="0"/>
        <v>C</v>
      </c>
      <c r="I44" s="321" t="str">
        <f ca="1"/>
        <v>C1</v>
      </c>
      <c r="J44" s="322" t="s">
        <v>5</v>
      </c>
      <c r="K44" s="323" t="str">
        <f ca="1"/>
        <v>C2</v>
      </c>
      <c r="L44" s="180" t="str">
        <f t="shared" ca="1" si="1"/>
        <v>Kickers Rodendorf</v>
      </c>
      <c r="M44" s="181" t="s">
        <v>5</v>
      </c>
      <c r="N44" s="182" t="str">
        <f t="shared" ca="1" si="2"/>
        <v>Real Madrid</v>
      </c>
      <c r="O44" s="331"/>
      <c r="P44" s="171"/>
      <c r="Q44" s="444"/>
      <c r="R44" s="172"/>
      <c r="S44" s="172"/>
      <c r="T44" s="172"/>
    </row>
    <row r="45" spans="2:59" ht="17.25" customHeight="1" thickBot="1" x14ac:dyDescent="0.3">
      <c r="B45" s="739" t="s">
        <v>286</v>
      </c>
      <c r="C45" s="741" t="s">
        <v>283</v>
      </c>
      <c r="D45" s="569">
        <v>40</v>
      </c>
      <c r="E45" s="528">
        <f t="array" aca="1" ref="E45" ca="1">IF($D45&gt;Calc1!$B$14,"",ROW(40:40)-SUM((($L$6:$L44="")+($N$6:$N44="")&gt;0)*1))</f>
        <v>40</v>
      </c>
      <c r="F45" s="175">
        <f ca="1">IF(OR($U$15,$D45&gt;Calc1!$B$14),"",$R$5+QUOTIENT(($E45-1),$U$11)*($R$7+$R$9)/1440+SUM($O$6:$O44)/1440)</f>
        <v>0.59375</v>
      </c>
      <c r="G45" s="177">
        <f ca="1">IF(OR($U$15,$D45&gt;Calc1!$B$14),"",MOD($E45-1,$U$11)+1)</f>
        <v>4</v>
      </c>
      <c r="H45" s="299" t="str">
        <f t="shared" ca="1" si="0"/>
        <v>D</v>
      </c>
      <c r="I45" s="321" t="str">
        <f ca="1"/>
        <v>D1</v>
      </c>
      <c r="J45" s="322" t="s">
        <v>5</v>
      </c>
      <c r="K45" s="323" t="str">
        <f ca="1"/>
        <v>D2</v>
      </c>
      <c r="L45" s="180" t="str">
        <f t="shared" ca="1" si="1"/>
        <v>TSG Saalberg eV</v>
      </c>
      <c r="M45" s="181" t="s">
        <v>5</v>
      </c>
      <c r="N45" s="182" t="str">
        <f t="shared" ca="1" si="2"/>
        <v>Paris St. Germain</v>
      </c>
      <c r="O45" s="331"/>
      <c r="P45" s="171"/>
      <c r="Q45" s="444"/>
      <c r="R45" s="172"/>
      <c r="S45" s="172"/>
      <c r="T45" s="172"/>
      <c r="W45" s="167">
        <v>1</v>
      </c>
      <c r="X45" s="167"/>
      <c r="Y45" s="167"/>
      <c r="Z45" s="167"/>
      <c r="AA45" s="167"/>
      <c r="AB45" s="167"/>
      <c r="AC45" s="167">
        <v>2</v>
      </c>
      <c r="AD45" s="167"/>
      <c r="AE45" s="167"/>
      <c r="AF45" s="167"/>
      <c r="AG45" s="167"/>
      <c r="AH45" s="167"/>
      <c r="AI45" s="167">
        <v>3</v>
      </c>
      <c r="AJ45" s="167"/>
      <c r="AK45" s="167"/>
      <c r="AL45" s="167"/>
      <c r="AM45" s="167"/>
      <c r="AN45" s="167"/>
      <c r="AO45" s="167">
        <v>4</v>
      </c>
      <c r="AP45" s="167"/>
      <c r="AQ45" s="167"/>
      <c r="AR45" s="167"/>
      <c r="AS45" s="167"/>
      <c r="AT45" s="167"/>
      <c r="AU45" s="167">
        <v>5</v>
      </c>
      <c r="AV45" s="167"/>
      <c r="AW45" s="167"/>
      <c r="AX45" s="167"/>
      <c r="AY45" s="167"/>
      <c r="AZ45" s="167"/>
      <c r="BA45" s="167">
        <v>6</v>
      </c>
    </row>
    <row r="46" spans="2:59" ht="17.25" customHeight="1" thickTop="1" thickBot="1" x14ac:dyDescent="0.3">
      <c r="B46" s="743"/>
      <c r="C46" s="744"/>
      <c r="D46" s="569">
        <v>41</v>
      </c>
      <c r="E46" s="528" t="str">
        <f t="array" ref="E46">IF($D46&gt;Calc1!$B$14,"",ROW(41:41)-SUM((($L$6:$L45="")+($N$6:$N45="")&gt;0)*1))</f>
        <v/>
      </c>
      <c r="F46" s="175" t="str">
        <f>IF(OR($U$15,$D46&gt;Calc1!$B$14),"",$R$5+QUOTIENT(($E46-1),$U$11)*($R$7+$R$9)/1440+SUM($O$6:$O45)/1440)</f>
        <v/>
      </c>
      <c r="G46" s="177" t="str">
        <f>IF(OR($U$15,$D46&gt;Calc1!$B$14),"",MOD($E46-1,$U$11)+1)</f>
        <v/>
      </c>
      <c r="H46" s="299" t="str">
        <f t="shared" ca="1" si="0"/>
        <v/>
      </c>
      <c r="I46" s="321" t="str">
        <f ca="1"/>
        <v/>
      </c>
      <c r="J46" s="322" t="s">
        <v>5</v>
      </c>
      <c r="K46" s="323" t="str">
        <f ca="1"/>
        <v/>
      </c>
      <c r="L46" s="180" t="str">
        <f t="shared" ca="1" si="1"/>
        <v/>
      </c>
      <c r="M46" s="181" t="s">
        <v>5</v>
      </c>
      <c r="N46" s="182" t="str">
        <f t="shared" ca="1" si="2"/>
        <v/>
      </c>
      <c r="O46" s="331"/>
      <c r="P46" s="171"/>
      <c r="Q46" s="444"/>
      <c r="R46" s="172"/>
      <c r="S46" s="172"/>
      <c r="T46" s="172"/>
      <c r="V46" s="391"/>
      <c r="W46" s="392">
        <v>1</v>
      </c>
      <c r="X46" s="392">
        <v>2</v>
      </c>
      <c r="Y46" s="392">
        <v>3</v>
      </c>
      <c r="Z46" s="392">
        <v>4</v>
      </c>
      <c r="AA46" s="392">
        <v>5</v>
      </c>
      <c r="AB46" s="393">
        <v>6</v>
      </c>
      <c r="AC46" s="392">
        <v>1</v>
      </c>
      <c r="AD46" s="392">
        <v>2</v>
      </c>
      <c r="AE46" s="392">
        <v>3</v>
      </c>
      <c r="AF46" s="392">
        <v>4</v>
      </c>
      <c r="AG46" s="392">
        <v>5</v>
      </c>
      <c r="AH46" s="393">
        <v>6</v>
      </c>
      <c r="AI46" s="392">
        <v>1</v>
      </c>
      <c r="AJ46" s="392">
        <v>2</v>
      </c>
      <c r="AK46" s="392">
        <v>3</v>
      </c>
      <c r="AL46" s="392">
        <v>4</v>
      </c>
      <c r="AM46" s="392">
        <v>5</v>
      </c>
      <c r="AN46" s="393">
        <v>6</v>
      </c>
      <c r="AO46" s="392">
        <v>1</v>
      </c>
      <c r="AP46" s="392">
        <v>2</v>
      </c>
      <c r="AQ46" s="392">
        <v>3</v>
      </c>
      <c r="AR46" s="392">
        <v>4</v>
      </c>
      <c r="AS46" s="392">
        <v>5</v>
      </c>
      <c r="AT46" s="393">
        <v>6</v>
      </c>
      <c r="AU46" s="392">
        <v>1</v>
      </c>
      <c r="AV46" s="392">
        <v>2</v>
      </c>
      <c r="AW46" s="392">
        <v>3</v>
      </c>
      <c r="AX46" s="392">
        <v>4</v>
      </c>
      <c r="AY46" s="392">
        <v>5</v>
      </c>
      <c r="AZ46" s="393">
        <v>6</v>
      </c>
      <c r="BA46" s="392">
        <v>1</v>
      </c>
      <c r="BB46" s="392">
        <v>2</v>
      </c>
      <c r="BC46" s="392">
        <v>3</v>
      </c>
      <c r="BD46" s="392">
        <v>4</v>
      </c>
      <c r="BE46" s="392">
        <v>5</v>
      </c>
      <c r="BF46" s="393">
        <v>6</v>
      </c>
    </row>
    <row r="47" spans="2:59" ht="17.25" customHeight="1" x14ac:dyDescent="0.25">
      <c r="B47" s="739" t="s">
        <v>289</v>
      </c>
      <c r="C47" s="741" t="s">
        <v>284</v>
      </c>
      <c r="D47" s="569">
        <v>42</v>
      </c>
      <c r="E47" s="528" t="str">
        <f t="array" ref="E47">IF($D47&gt;Calc1!$B$14,"",ROW(42:42)-SUM((($L$6:$L46="")+($N$6:$N46="")&gt;0)*1))</f>
        <v/>
      </c>
      <c r="F47" s="175" t="str">
        <f>IF(OR($U$15,$D47&gt;Calc1!$B$14),"",$R$5+QUOTIENT(($E47-1),$U$11)*($R$7+$R$9)/1440+SUM($O$6:$O46)/1440)</f>
        <v/>
      </c>
      <c r="G47" s="177" t="str">
        <f>IF(OR($U$15,$D47&gt;Calc1!$B$14),"",MOD($E47-1,$U$11)+1)</f>
        <v/>
      </c>
      <c r="H47" s="299" t="str">
        <f t="shared" ca="1" si="0"/>
        <v/>
      </c>
      <c r="I47" s="321" t="str">
        <f ca="1"/>
        <v/>
      </c>
      <c r="J47" s="322" t="s">
        <v>5</v>
      </c>
      <c r="K47" s="323" t="str">
        <f ca="1"/>
        <v/>
      </c>
      <c r="L47" s="180" t="str">
        <f t="shared" ca="1" si="1"/>
        <v/>
      </c>
      <c r="M47" s="181" t="s">
        <v>5</v>
      </c>
      <c r="N47" s="182" t="str">
        <f t="shared" ca="1" si="2"/>
        <v/>
      </c>
      <c r="O47" s="331"/>
      <c r="P47" s="171"/>
      <c r="Q47" s="444"/>
      <c r="R47" s="172"/>
      <c r="S47" s="172"/>
      <c r="T47" s="172"/>
      <c r="V47" s="394">
        <v>1</v>
      </c>
      <c r="W47" s="554">
        <v>8</v>
      </c>
      <c r="X47" s="555">
        <v>8</v>
      </c>
      <c r="Y47" s="555">
        <v>8</v>
      </c>
      <c r="Z47" s="555">
        <v>8</v>
      </c>
      <c r="AA47" s="555">
        <v>8</v>
      </c>
      <c r="AB47" s="556">
        <v>8</v>
      </c>
      <c r="AC47" s="554">
        <v>8</v>
      </c>
      <c r="AD47" s="555">
        <v>8</v>
      </c>
      <c r="AE47" s="555">
        <v>8</v>
      </c>
      <c r="AF47" s="555">
        <v>8</v>
      </c>
      <c r="AG47" s="555">
        <v>8</v>
      </c>
      <c r="AH47" s="556">
        <v>8</v>
      </c>
      <c r="AI47" s="554">
        <v>8</v>
      </c>
      <c r="AJ47" s="555">
        <v>8</v>
      </c>
      <c r="AK47" s="555">
        <v>8</v>
      </c>
      <c r="AL47" s="555">
        <v>8</v>
      </c>
      <c r="AM47" s="555">
        <v>8</v>
      </c>
      <c r="AN47" s="556">
        <v>8</v>
      </c>
      <c r="AO47" s="554">
        <v>8</v>
      </c>
      <c r="AP47" s="555">
        <v>8</v>
      </c>
      <c r="AQ47" s="555">
        <v>8</v>
      </c>
      <c r="AR47" s="555">
        <v>8</v>
      </c>
      <c r="AS47" s="555">
        <v>8</v>
      </c>
      <c r="AT47" s="556">
        <v>8</v>
      </c>
      <c r="AU47" s="554">
        <v>8</v>
      </c>
      <c r="AV47" s="555">
        <v>8</v>
      </c>
      <c r="AW47" s="555">
        <v>8</v>
      </c>
      <c r="AX47" s="555">
        <v>8</v>
      </c>
      <c r="AY47" s="555">
        <v>8</v>
      </c>
      <c r="AZ47" s="556">
        <v>8</v>
      </c>
      <c r="BA47" s="554">
        <v>8</v>
      </c>
      <c r="BB47" s="555">
        <v>8</v>
      </c>
      <c r="BC47" s="555">
        <v>8</v>
      </c>
      <c r="BD47" s="555">
        <v>8</v>
      </c>
      <c r="BE47" s="555">
        <v>8</v>
      </c>
      <c r="BF47" s="556">
        <v>8</v>
      </c>
      <c r="BG47" s="465">
        <v>1</v>
      </c>
    </row>
    <row r="48" spans="2:59" ht="17.25" customHeight="1" x14ac:dyDescent="0.25">
      <c r="B48" s="743"/>
      <c r="C48" s="744"/>
      <c r="D48" s="569">
        <v>43</v>
      </c>
      <c r="E48" s="528" t="str">
        <f t="array" ref="E48">IF($D48&gt;Calc1!$B$14,"",ROW(43:43)-SUM((($L$6:$L47="")+($N$6:$N47="")&gt;0)*1))</f>
        <v/>
      </c>
      <c r="F48" s="175" t="str">
        <f>IF(OR($U$15,$D48&gt;Calc1!$B$14),"",$R$5+QUOTIENT(($E48-1),$U$11)*($R$7+$R$9)/1440+SUM($O$6:$O47)/1440)</f>
        <v/>
      </c>
      <c r="G48" s="177" t="str">
        <f>IF(OR($U$15,$D48&gt;Calc1!$B$14),"",MOD($E48-1,$U$11)+1)</f>
        <v/>
      </c>
      <c r="H48" s="299" t="str">
        <f t="shared" ca="1" si="0"/>
        <v/>
      </c>
      <c r="I48" s="321" t="str">
        <f ca="1"/>
        <v/>
      </c>
      <c r="J48" s="322" t="s">
        <v>5</v>
      </c>
      <c r="K48" s="323" t="str">
        <f ca="1"/>
        <v/>
      </c>
      <c r="L48" s="180" t="str">
        <f t="shared" ca="1" si="1"/>
        <v/>
      </c>
      <c r="M48" s="181" t="s">
        <v>5</v>
      </c>
      <c r="N48" s="182" t="str">
        <f t="shared" ca="1" si="2"/>
        <v/>
      </c>
      <c r="O48" s="331"/>
      <c r="P48" s="171"/>
      <c r="Q48" s="444"/>
      <c r="R48" s="172"/>
      <c r="S48" s="172"/>
      <c r="T48" s="172"/>
      <c r="V48" s="394">
        <v>2</v>
      </c>
      <c r="W48" s="557">
        <v>8</v>
      </c>
      <c r="X48" s="558">
        <v>8</v>
      </c>
      <c r="Y48" s="558">
        <v>8</v>
      </c>
      <c r="Z48" s="558">
        <v>8</v>
      </c>
      <c r="AA48" s="558">
        <v>8</v>
      </c>
      <c r="AB48" s="559">
        <v>8</v>
      </c>
      <c r="AC48" s="557">
        <v>8</v>
      </c>
      <c r="AD48" s="558">
        <v>8</v>
      </c>
      <c r="AE48" s="558">
        <v>8</v>
      </c>
      <c r="AF48" s="558">
        <v>8</v>
      </c>
      <c r="AG48" s="558">
        <v>8</v>
      </c>
      <c r="AH48" s="559">
        <v>8</v>
      </c>
      <c r="AI48" s="557">
        <v>8</v>
      </c>
      <c r="AJ48" s="558">
        <v>8</v>
      </c>
      <c r="AK48" s="558">
        <v>8</v>
      </c>
      <c r="AL48" s="558">
        <v>8</v>
      </c>
      <c r="AM48" s="558">
        <v>8</v>
      </c>
      <c r="AN48" s="559">
        <v>8</v>
      </c>
      <c r="AO48" s="557">
        <v>8</v>
      </c>
      <c r="AP48" s="558">
        <v>8</v>
      </c>
      <c r="AQ48" s="558">
        <v>8</v>
      </c>
      <c r="AR48" s="558">
        <v>8</v>
      </c>
      <c r="AS48" s="558">
        <v>8</v>
      </c>
      <c r="AT48" s="559">
        <v>8</v>
      </c>
      <c r="AU48" s="557">
        <v>8</v>
      </c>
      <c r="AV48" s="558">
        <v>8</v>
      </c>
      <c r="AW48" s="558">
        <v>8</v>
      </c>
      <c r="AX48" s="558">
        <v>8</v>
      </c>
      <c r="AY48" s="558">
        <v>8</v>
      </c>
      <c r="AZ48" s="559">
        <v>8</v>
      </c>
      <c r="BA48" s="557">
        <v>8</v>
      </c>
      <c r="BB48" s="558">
        <v>8</v>
      </c>
      <c r="BC48" s="558">
        <v>8</v>
      </c>
      <c r="BD48" s="558">
        <v>8</v>
      </c>
      <c r="BE48" s="558">
        <v>8</v>
      </c>
      <c r="BF48" s="559">
        <v>8</v>
      </c>
      <c r="BG48" s="466"/>
    </row>
    <row r="49" spans="2:59" ht="17.25" customHeight="1" x14ac:dyDescent="0.25">
      <c r="B49" s="739" t="s">
        <v>290</v>
      </c>
      <c r="C49" s="741" t="s">
        <v>285</v>
      </c>
      <c r="D49" s="569">
        <v>44</v>
      </c>
      <c r="E49" s="528" t="str">
        <f t="array" ref="E49">IF($D49&gt;Calc1!$B$14,"",ROW(44:44)-SUM((($L$6:$L48="")+($N$6:$N48="")&gt;0)*1))</f>
        <v/>
      </c>
      <c r="F49" s="175" t="str">
        <f>IF(OR($U$15,$D49&gt;Calc1!$B$14),"",$R$5+QUOTIENT(($E49-1),$U$11)*($R$7+$R$9)/1440+SUM($O$6:$O48)/1440)</f>
        <v/>
      </c>
      <c r="G49" s="177" t="str">
        <f>IF(OR($U$15,$D49&gt;Calc1!$B$14),"",MOD($E49-1,$U$11)+1)</f>
        <v/>
      </c>
      <c r="H49" s="299" t="str">
        <f t="shared" ca="1" si="0"/>
        <v/>
      </c>
      <c r="I49" s="321" t="str">
        <f ca="1"/>
        <v/>
      </c>
      <c r="J49" s="322" t="s">
        <v>5</v>
      </c>
      <c r="K49" s="323" t="str">
        <f ca="1"/>
        <v/>
      </c>
      <c r="L49" s="180" t="str">
        <f t="shared" ca="1" si="1"/>
        <v/>
      </c>
      <c r="M49" s="181" t="s">
        <v>5</v>
      </c>
      <c r="N49" s="182" t="str">
        <f t="shared" ca="1" si="2"/>
        <v/>
      </c>
      <c r="O49" s="331"/>
      <c r="P49" s="171"/>
      <c r="Q49" s="444"/>
      <c r="R49" s="172"/>
      <c r="S49" s="172"/>
      <c r="T49" s="172"/>
      <c r="V49" s="394">
        <v>3</v>
      </c>
      <c r="W49" s="557">
        <v>8</v>
      </c>
      <c r="X49" s="558">
        <v>8</v>
      </c>
      <c r="Y49" s="558">
        <v>8</v>
      </c>
      <c r="Z49" s="558">
        <v>8</v>
      </c>
      <c r="AA49" s="558">
        <v>8</v>
      </c>
      <c r="AB49" s="559">
        <v>8</v>
      </c>
      <c r="AC49" s="557">
        <v>8</v>
      </c>
      <c r="AD49" s="558">
        <v>8</v>
      </c>
      <c r="AE49" s="558">
        <v>8</v>
      </c>
      <c r="AF49" s="558">
        <v>8</v>
      </c>
      <c r="AG49" s="558">
        <v>8</v>
      </c>
      <c r="AH49" s="559">
        <v>8</v>
      </c>
      <c r="AI49" s="557">
        <v>8</v>
      </c>
      <c r="AJ49" s="558">
        <v>8</v>
      </c>
      <c r="AK49" s="558">
        <v>8</v>
      </c>
      <c r="AL49" s="558">
        <v>8</v>
      </c>
      <c r="AM49" s="558">
        <v>8</v>
      </c>
      <c r="AN49" s="559">
        <v>8</v>
      </c>
      <c r="AO49" s="557">
        <v>8</v>
      </c>
      <c r="AP49" s="558">
        <v>8</v>
      </c>
      <c r="AQ49" s="558">
        <v>8</v>
      </c>
      <c r="AR49" s="558">
        <v>8</v>
      </c>
      <c r="AS49" s="558">
        <v>8</v>
      </c>
      <c r="AT49" s="559">
        <v>8</v>
      </c>
      <c r="AU49" s="557">
        <v>8</v>
      </c>
      <c r="AV49" s="558">
        <v>8</v>
      </c>
      <c r="AW49" s="558">
        <v>8</v>
      </c>
      <c r="AX49" s="558">
        <v>8</v>
      </c>
      <c r="AY49" s="558">
        <v>8</v>
      </c>
      <c r="AZ49" s="559">
        <v>8</v>
      </c>
      <c r="BA49" s="557">
        <v>8</v>
      </c>
      <c r="BB49" s="558">
        <v>8</v>
      </c>
      <c r="BC49" s="558">
        <v>8</v>
      </c>
      <c r="BD49" s="558">
        <v>8</v>
      </c>
      <c r="BE49" s="558">
        <v>8</v>
      </c>
      <c r="BF49" s="559">
        <v>8</v>
      </c>
      <c r="BG49" s="466"/>
    </row>
    <row r="50" spans="2:59" ht="18" customHeight="1" x14ac:dyDescent="0.25">
      <c r="B50" s="743"/>
      <c r="C50" s="744"/>
      <c r="D50" s="569">
        <v>45</v>
      </c>
      <c r="E50" s="528" t="str">
        <f t="array" ref="E50">IF($D50&gt;Calc1!$B$14,"",ROW(45:45)-SUM((($L$6:$L49="")+($N$6:$N49="")&gt;0)*1))</f>
        <v/>
      </c>
      <c r="F50" s="175" t="str">
        <f>IF(OR($U$15,$D50&gt;Calc1!$B$14),"",$R$5+QUOTIENT(($E50-1),$U$11)*($R$7+$R$9)/1440+SUM($O$6:$O49)/1440)</f>
        <v/>
      </c>
      <c r="G50" s="177" t="str">
        <f>IF(OR($U$15,$D50&gt;Calc1!$B$14),"",MOD($E50-1,$U$11)+1)</f>
        <v/>
      </c>
      <c r="H50" s="299" t="str">
        <f t="shared" ca="1" si="0"/>
        <v/>
      </c>
      <c r="I50" s="321" t="str">
        <f ca="1"/>
        <v/>
      </c>
      <c r="J50" s="322" t="s">
        <v>5</v>
      </c>
      <c r="K50" s="323" t="str">
        <f ca="1"/>
        <v/>
      </c>
      <c r="L50" s="180" t="str">
        <f t="shared" ca="1" si="1"/>
        <v/>
      </c>
      <c r="M50" s="181" t="s">
        <v>5</v>
      </c>
      <c r="N50" s="182" t="str">
        <f t="shared" ca="1" si="2"/>
        <v/>
      </c>
      <c r="O50" s="331"/>
      <c r="P50" s="171"/>
      <c r="Q50" s="444"/>
      <c r="R50" s="172"/>
      <c r="S50" s="172"/>
      <c r="T50" s="172"/>
      <c r="V50" s="394">
        <v>4</v>
      </c>
      <c r="W50" s="557">
        <v>8</v>
      </c>
      <c r="X50" s="558">
        <v>8</v>
      </c>
      <c r="Y50" s="558">
        <v>8</v>
      </c>
      <c r="Z50" s="558">
        <v>8</v>
      </c>
      <c r="AA50" s="558">
        <v>8</v>
      </c>
      <c r="AB50" s="559">
        <v>8</v>
      </c>
      <c r="AC50" s="557">
        <v>8</v>
      </c>
      <c r="AD50" s="558">
        <v>8</v>
      </c>
      <c r="AE50" s="558">
        <v>8</v>
      </c>
      <c r="AF50" s="558">
        <v>8</v>
      </c>
      <c r="AG50" s="558">
        <v>8</v>
      </c>
      <c r="AH50" s="559">
        <v>8</v>
      </c>
      <c r="AI50" s="557">
        <v>8</v>
      </c>
      <c r="AJ50" s="558">
        <v>8</v>
      </c>
      <c r="AK50" s="558">
        <v>8</v>
      </c>
      <c r="AL50" s="558">
        <v>8</v>
      </c>
      <c r="AM50" s="558">
        <v>8</v>
      </c>
      <c r="AN50" s="559">
        <v>8</v>
      </c>
      <c r="AO50" s="557">
        <v>8</v>
      </c>
      <c r="AP50" s="558">
        <v>8</v>
      </c>
      <c r="AQ50" s="558">
        <v>8</v>
      </c>
      <c r="AR50" s="558">
        <v>8</v>
      </c>
      <c r="AS50" s="558">
        <v>8</v>
      </c>
      <c r="AT50" s="559">
        <v>8</v>
      </c>
      <c r="AU50" s="557">
        <v>8</v>
      </c>
      <c r="AV50" s="558">
        <v>8</v>
      </c>
      <c r="AW50" s="558">
        <v>8</v>
      </c>
      <c r="AX50" s="558">
        <v>8</v>
      </c>
      <c r="AY50" s="558">
        <v>8</v>
      </c>
      <c r="AZ50" s="559">
        <v>8</v>
      </c>
      <c r="BA50" s="557">
        <v>8</v>
      </c>
      <c r="BB50" s="558">
        <v>8</v>
      </c>
      <c r="BC50" s="558">
        <v>8</v>
      </c>
      <c r="BD50" s="558">
        <v>8</v>
      </c>
      <c r="BE50" s="558">
        <v>8</v>
      </c>
      <c r="BF50" s="559">
        <v>8</v>
      </c>
      <c r="BG50" s="466"/>
    </row>
    <row r="51" spans="2:59" ht="16.5" customHeight="1" x14ac:dyDescent="0.25">
      <c r="B51" s="739" t="s">
        <v>291</v>
      </c>
      <c r="C51" s="741"/>
      <c r="D51" s="569">
        <v>46</v>
      </c>
      <c r="E51" s="528" t="str">
        <f t="array" ref="E51">IF($D51&gt;Calc1!$B$14,"",ROW(46:46)-SUM((($L$6:$L50="")+($N$6:$N50="")&gt;0)*1))</f>
        <v/>
      </c>
      <c r="F51" s="175" t="str">
        <f>IF(OR($U$15,$D51&gt;Calc1!$B$14),"",$R$5+QUOTIENT(($E51-1),$U$11)*($R$7+$R$9)/1440+SUM($O$6:$O50)/1440)</f>
        <v/>
      </c>
      <c r="G51" s="177" t="str">
        <f>IF(OR($U$15,$D51&gt;Calc1!$B$14),"",MOD($E51-1,$U$11)+1)</f>
        <v/>
      </c>
      <c r="H51" s="299" t="str">
        <f t="shared" ca="1" si="0"/>
        <v/>
      </c>
      <c r="I51" s="321" t="str">
        <f ca="1"/>
        <v/>
      </c>
      <c r="J51" s="322" t="s">
        <v>5</v>
      </c>
      <c r="K51" s="323" t="str">
        <f ca="1"/>
        <v/>
      </c>
      <c r="L51" s="180" t="str">
        <f t="shared" ca="1" si="1"/>
        <v/>
      </c>
      <c r="M51" s="181" t="s">
        <v>5</v>
      </c>
      <c r="N51" s="182" t="str">
        <f t="shared" ca="1" si="2"/>
        <v/>
      </c>
      <c r="O51" s="331"/>
      <c r="P51" s="171"/>
      <c r="Q51" s="444"/>
      <c r="R51" s="172"/>
      <c r="S51" s="172"/>
      <c r="T51" s="172"/>
      <c r="V51" s="394">
        <v>5</v>
      </c>
      <c r="W51" s="557">
        <v>8</v>
      </c>
      <c r="X51" s="558">
        <v>8</v>
      </c>
      <c r="Y51" s="558">
        <v>8</v>
      </c>
      <c r="Z51" s="558">
        <v>8</v>
      </c>
      <c r="AA51" s="558">
        <v>8</v>
      </c>
      <c r="AB51" s="559">
        <v>8</v>
      </c>
      <c r="AC51" s="557">
        <v>8</v>
      </c>
      <c r="AD51" s="558">
        <v>8</v>
      </c>
      <c r="AE51" s="558">
        <v>8</v>
      </c>
      <c r="AF51" s="558">
        <v>8</v>
      </c>
      <c r="AG51" s="558">
        <v>8</v>
      </c>
      <c r="AH51" s="559">
        <v>8</v>
      </c>
      <c r="AI51" s="557">
        <v>8</v>
      </c>
      <c r="AJ51" s="558">
        <v>8</v>
      </c>
      <c r="AK51" s="558">
        <v>8</v>
      </c>
      <c r="AL51" s="558">
        <v>8</v>
      </c>
      <c r="AM51" s="558">
        <v>8</v>
      </c>
      <c r="AN51" s="559">
        <v>8</v>
      </c>
      <c r="AO51" s="557">
        <v>8</v>
      </c>
      <c r="AP51" s="558">
        <v>8</v>
      </c>
      <c r="AQ51" s="558">
        <v>8</v>
      </c>
      <c r="AR51" s="558">
        <v>8</v>
      </c>
      <c r="AS51" s="558">
        <v>8</v>
      </c>
      <c r="AT51" s="559">
        <v>8</v>
      </c>
      <c r="AU51" s="557">
        <v>8</v>
      </c>
      <c r="AV51" s="558">
        <v>8</v>
      </c>
      <c r="AW51" s="558">
        <v>8</v>
      </c>
      <c r="AX51" s="558">
        <v>8</v>
      </c>
      <c r="AY51" s="558">
        <v>8</v>
      </c>
      <c r="AZ51" s="559">
        <v>8</v>
      </c>
      <c r="BA51" s="557">
        <v>8</v>
      </c>
      <c r="BB51" s="558">
        <v>8</v>
      </c>
      <c r="BC51" s="558">
        <v>8</v>
      </c>
      <c r="BD51" s="558">
        <v>8</v>
      </c>
      <c r="BE51" s="558">
        <v>8</v>
      </c>
      <c r="BF51" s="559">
        <v>8</v>
      </c>
      <c r="BG51" s="466"/>
    </row>
    <row r="52" spans="2:59" ht="16.5" customHeight="1" thickBot="1" x14ac:dyDescent="0.3">
      <c r="B52" s="740"/>
      <c r="C52" s="742"/>
      <c r="D52" s="569">
        <v>47</v>
      </c>
      <c r="E52" s="528" t="str">
        <f t="array" ref="E52">IF($D52&gt;Calc1!$B$14,"",ROW(47:47)-SUM((($L$6:$L51="")+($N$6:$N51="")&gt;0)*1))</f>
        <v/>
      </c>
      <c r="F52" s="175" t="str">
        <f>IF(OR($U$15,$D52&gt;Calc1!$B$14),"",$R$5+QUOTIENT(($E52-1),$U$11)*($R$7+$R$9)/1440+SUM($O$6:$O51)/1440)</f>
        <v/>
      </c>
      <c r="G52" s="177" t="str">
        <f>IF(OR($U$15,$D52&gt;Calc1!$B$14),"",MOD($E52-1,$U$11)+1)</f>
        <v/>
      </c>
      <c r="H52" s="299" t="str">
        <f t="shared" ca="1" si="0"/>
        <v/>
      </c>
      <c r="I52" s="321" t="str">
        <f ca="1"/>
        <v/>
      </c>
      <c r="J52" s="322" t="s">
        <v>5</v>
      </c>
      <c r="K52" s="323" t="str">
        <f ca="1"/>
        <v/>
      </c>
      <c r="L52" s="180" t="str">
        <f t="shared" ca="1" si="1"/>
        <v/>
      </c>
      <c r="M52" s="181" t="s">
        <v>5</v>
      </c>
      <c r="N52" s="182" t="str">
        <f t="shared" ca="1" si="2"/>
        <v/>
      </c>
      <c r="O52" s="331"/>
      <c r="P52" s="171"/>
      <c r="Q52" s="444"/>
      <c r="R52" s="172"/>
      <c r="S52" s="172"/>
      <c r="T52" s="172"/>
      <c r="V52" s="395">
        <v>6</v>
      </c>
      <c r="W52" s="560">
        <v>8</v>
      </c>
      <c r="X52" s="561">
        <v>8</v>
      </c>
      <c r="Y52" s="561">
        <v>8</v>
      </c>
      <c r="Z52" s="561">
        <v>8</v>
      </c>
      <c r="AA52" s="561">
        <v>8</v>
      </c>
      <c r="AB52" s="562">
        <v>8</v>
      </c>
      <c r="AC52" s="560">
        <v>8</v>
      </c>
      <c r="AD52" s="561">
        <v>8</v>
      </c>
      <c r="AE52" s="561">
        <v>8</v>
      </c>
      <c r="AF52" s="561">
        <v>8</v>
      </c>
      <c r="AG52" s="561">
        <v>8</v>
      </c>
      <c r="AH52" s="562">
        <v>8</v>
      </c>
      <c r="AI52" s="560">
        <v>8</v>
      </c>
      <c r="AJ52" s="561">
        <v>8</v>
      </c>
      <c r="AK52" s="561">
        <v>8</v>
      </c>
      <c r="AL52" s="561">
        <v>8</v>
      </c>
      <c r="AM52" s="561">
        <v>8</v>
      </c>
      <c r="AN52" s="562">
        <v>8</v>
      </c>
      <c r="AO52" s="560">
        <v>8</v>
      </c>
      <c r="AP52" s="561">
        <v>8</v>
      </c>
      <c r="AQ52" s="561">
        <v>8</v>
      </c>
      <c r="AR52" s="561">
        <v>8</v>
      </c>
      <c r="AS52" s="561">
        <v>8</v>
      </c>
      <c r="AT52" s="562">
        <v>8</v>
      </c>
      <c r="AU52" s="560">
        <v>8</v>
      </c>
      <c r="AV52" s="561">
        <v>8</v>
      </c>
      <c r="AW52" s="561">
        <v>8</v>
      </c>
      <c r="AX52" s="561">
        <v>8</v>
      </c>
      <c r="AY52" s="561">
        <v>8</v>
      </c>
      <c r="AZ52" s="562">
        <v>8</v>
      </c>
      <c r="BA52" s="560">
        <v>8</v>
      </c>
      <c r="BB52" s="561">
        <v>8</v>
      </c>
      <c r="BC52" s="561">
        <v>8</v>
      </c>
      <c r="BD52" s="561">
        <v>8</v>
      </c>
      <c r="BE52" s="561">
        <v>8</v>
      </c>
      <c r="BF52" s="562">
        <v>8</v>
      </c>
      <c r="BG52" s="466"/>
    </row>
    <row r="53" spans="2:59" ht="16.5" customHeight="1" thickTop="1" x14ac:dyDescent="0.25">
      <c r="D53" s="569">
        <v>48</v>
      </c>
      <c r="E53" s="528" t="str">
        <f t="array" ref="E53">IF($D53&gt;Calc1!$B$14,"",ROW(48:48)-SUM((($L$6:$L52="")+($N$6:$N52="")&gt;0)*1))</f>
        <v/>
      </c>
      <c r="F53" s="175" t="str">
        <f>IF(OR($U$15,$D53&gt;Calc1!$B$14),"",$R$5+QUOTIENT(($E53-1),$U$11)*($R$7+$R$9)/1440+SUM($O$6:$O52)/1440)</f>
        <v/>
      </c>
      <c r="G53" s="177" t="str">
        <f>IF(OR($U$15,$D53&gt;Calc1!$B$14),"",MOD($E53-1,$U$11)+1)</f>
        <v/>
      </c>
      <c r="H53" s="299" t="str">
        <f t="shared" ca="1" si="0"/>
        <v/>
      </c>
      <c r="I53" s="321" t="str">
        <f ca="1"/>
        <v/>
      </c>
      <c r="J53" s="322" t="s">
        <v>5</v>
      </c>
      <c r="K53" s="323" t="str">
        <f ca="1"/>
        <v/>
      </c>
      <c r="L53" s="180" t="str">
        <f t="shared" ca="1" si="1"/>
        <v/>
      </c>
      <c r="M53" s="181" t="s">
        <v>5</v>
      </c>
      <c r="N53" s="182" t="str">
        <f t="shared" ca="1" si="2"/>
        <v/>
      </c>
      <c r="O53" s="331"/>
      <c r="P53" s="171"/>
      <c r="Q53" s="444"/>
      <c r="R53" s="172"/>
      <c r="S53" s="172"/>
      <c r="T53" s="172"/>
      <c r="V53" s="394">
        <v>1</v>
      </c>
      <c r="W53" s="554">
        <v>8</v>
      </c>
      <c r="X53" s="555">
        <v>8</v>
      </c>
      <c r="Y53" s="555">
        <v>8</v>
      </c>
      <c r="Z53" s="555">
        <v>8</v>
      </c>
      <c r="AA53" s="555">
        <v>8</v>
      </c>
      <c r="AB53" s="556">
        <v>8</v>
      </c>
      <c r="AC53" s="554">
        <v>8</v>
      </c>
      <c r="AD53" s="555">
        <v>8</v>
      </c>
      <c r="AE53" s="555">
        <v>8</v>
      </c>
      <c r="AF53" s="555">
        <v>8</v>
      </c>
      <c r="AG53" s="555">
        <v>8</v>
      </c>
      <c r="AH53" s="556">
        <v>8</v>
      </c>
      <c r="AI53" s="554">
        <v>8</v>
      </c>
      <c r="AJ53" s="555">
        <v>8</v>
      </c>
      <c r="AK53" s="555">
        <v>8</v>
      </c>
      <c r="AL53" s="555">
        <v>8</v>
      </c>
      <c r="AM53" s="555">
        <v>8</v>
      </c>
      <c r="AN53" s="556">
        <v>8</v>
      </c>
      <c r="AO53" s="554">
        <v>8</v>
      </c>
      <c r="AP53" s="555">
        <v>8</v>
      </c>
      <c r="AQ53" s="555">
        <v>8</v>
      </c>
      <c r="AR53" s="555">
        <v>8</v>
      </c>
      <c r="AS53" s="555">
        <v>8</v>
      </c>
      <c r="AT53" s="556">
        <v>8</v>
      </c>
      <c r="AU53" s="554">
        <v>8</v>
      </c>
      <c r="AV53" s="555">
        <v>8</v>
      </c>
      <c r="AW53" s="555">
        <v>8</v>
      </c>
      <c r="AX53" s="555">
        <v>8</v>
      </c>
      <c r="AY53" s="555">
        <v>8</v>
      </c>
      <c r="AZ53" s="556">
        <v>8</v>
      </c>
      <c r="BA53" s="554">
        <v>8</v>
      </c>
      <c r="BB53" s="555">
        <v>8</v>
      </c>
      <c r="BC53" s="555">
        <v>8</v>
      </c>
      <c r="BD53" s="555">
        <v>8</v>
      </c>
      <c r="BE53" s="555">
        <v>8</v>
      </c>
      <c r="BF53" s="556">
        <v>8</v>
      </c>
      <c r="BG53" s="465">
        <v>2</v>
      </c>
    </row>
    <row r="54" spans="2:59" ht="17.25" x14ac:dyDescent="0.25">
      <c r="B54" s="752"/>
      <c r="C54" s="754" t="str">
        <f>Sprache!$E$16&amp;" D"</f>
        <v>Gruppe D</v>
      </c>
      <c r="D54" s="569">
        <v>49</v>
      </c>
      <c r="E54" s="528" t="str">
        <f t="array" ref="E54">IF($D54&gt;Calc1!$B$14,"",ROW(49:49)-SUM((($L$6:$L53="")+($N$6:$N53="")&gt;0)*1))</f>
        <v/>
      </c>
      <c r="F54" s="175" t="str">
        <f>IF(OR($U$15,$D54&gt;Calc1!$B$14),"",$R$5+QUOTIENT(($E54-1),$U$11)*($R$7+$R$9)/1440+SUM($O$6:$O53)/1440)</f>
        <v/>
      </c>
      <c r="G54" s="177" t="str">
        <f>IF(OR($U$15,$D54&gt;Calc1!$B$14),"",MOD($E54-1,$U$11)+1)</f>
        <v/>
      </c>
      <c r="H54" s="299" t="str">
        <f t="shared" ca="1" si="0"/>
        <v/>
      </c>
      <c r="I54" s="321" t="str">
        <f ca="1"/>
        <v/>
      </c>
      <c r="J54" s="322" t="s">
        <v>5</v>
      </c>
      <c r="K54" s="323" t="str">
        <f ca="1"/>
        <v/>
      </c>
      <c r="L54" s="180" t="str">
        <f t="shared" ca="1" si="1"/>
        <v/>
      </c>
      <c r="M54" s="181" t="s">
        <v>5</v>
      </c>
      <c r="N54" s="182" t="str">
        <f t="shared" ca="1" si="2"/>
        <v/>
      </c>
      <c r="O54" s="331"/>
      <c r="P54" s="171"/>
      <c r="Q54" s="172"/>
      <c r="R54" s="172"/>
      <c r="S54" s="172"/>
      <c r="T54" s="172"/>
      <c r="V54" s="394">
        <v>2</v>
      </c>
      <c r="W54" s="557">
        <v>8</v>
      </c>
      <c r="X54" s="558">
        <v>8</v>
      </c>
      <c r="Y54" s="558">
        <v>8</v>
      </c>
      <c r="Z54" s="558">
        <v>8</v>
      </c>
      <c r="AA54" s="558">
        <v>8</v>
      </c>
      <c r="AB54" s="559">
        <v>8</v>
      </c>
      <c r="AC54" s="557">
        <v>8</v>
      </c>
      <c r="AD54" s="558">
        <v>8</v>
      </c>
      <c r="AE54" s="558">
        <v>8</v>
      </c>
      <c r="AF54" s="558">
        <v>8</v>
      </c>
      <c r="AG54" s="558">
        <v>8</v>
      </c>
      <c r="AH54" s="559">
        <v>8</v>
      </c>
      <c r="AI54" s="557">
        <v>8</v>
      </c>
      <c r="AJ54" s="558">
        <v>8</v>
      </c>
      <c r="AK54" s="558">
        <v>8</v>
      </c>
      <c r="AL54" s="558">
        <v>8</v>
      </c>
      <c r="AM54" s="558">
        <v>8</v>
      </c>
      <c r="AN54" s="559">
        <v>8</v>
      </c>
      <c r="AO54" s="557">
        <v>8</v>
      </c>
      <c r="AP54" s="558">
        <v>8</v>
      </c>
      <c r="AQ54" s="558">
        <v>8</v>
      </c>
      <c r="AR54" s="558">
        <v>8</v>
      </c>
      <c r="AS54" s="558">
        <v>8</v>
      </c>
      <c r="AT54" s="559">
        <v>8</v>
      </c>
      <c r="AU54" s="557">
        <v>8</v>
      </c>
      <c r="AV54" s="558">
        <v>8</v>
      </c>
      <c r="AW54" s="558">
        <v>8</v>
      </c>
      <c r="AX54" s="558">
        <v>8</v>
      </c>
      <c r="AY54" s="558">
        <v>8</v>
      </c>
      <c r="AZ54" s="559">
        <v>8</v>
      </c>
      <c r="BA54" s="557">
        <v>8</v>
      </c>
      <c r="BB54" s="558">
        <v>8</v>
      </c>
      <c r="BC54" s="558">
        <v>8</v>
      </c>
      <c r="BD54" s="558">
        <v>8</v>
      </c>
      <c r="BE54" s="558">
        <v>8</v>
      </c>
      <c r="BF54" s="559">
        <v>8</v>
      </c>
      <c r="BG54" s="466"/>
    </row>
    <row r="55" spans="2:59" ht="18" thickBot="1" x14ac:dyDescent="0.3">
      <c r="B55" s="753"/>
      <c r="C55" s="755"/>
      <c r="D55" s="569">
        <v>50</v>
      </c>
      <c r="E55" s="528" t="str">
        <f t="array" ref="E55">IF($D55&gt;Calc1!$B$14,"",ROW(50:50)-SUM((($L$6:$L54="")+($N$6:$N54="")&gt;0)*1))</f>
        <v/>
      </c>
      <c r="F55" s="175" t="str">
        <f>IF(OR($U$15,$D55&gt;Calc1!$B$14),"",$R$5+QUOTIENT(($E55-1),$U$11)*($R$7+$R$9)/1440+SUM($O$6:$O54)/1440)</f>
        <v/>
      </c>
      <c r="G55" s="177" t="str">
        <f>IF(OR($U$15,$D55&gt;Calc1!$B$14),"",MOD($E55-1,$U$11)+1)</f>
        <v/>
      </c>
      <c r="H55" s="299" t="str">
        <f t="shared" ca="1" si="0"/>
        <v/>
      </c>
      <c r="I55" s="321" t="str">
        <f ca="1"/>
        <v/>
      </c>
      <c r="J55" s="322" t="s">
        <v>5</v>
      </c>
      <c r="K55" s="323" t="str">
        <f ca="1"/>
        <v/>
      </c>
      <c r="L55" s="180" t="str">
        <f t="shared" ca="1" si="1"/>
        <v/>
      </c>
      <c r="M55" s="181" t="s">
        <v>5</v>
      </c>
      <c r="N55" s="182" t="str">
        <f t="shared" ca="1" si="2"/>
        <v/>
      </c>
      <c r="O55" s="331"/>
      <c r="P55" s="171"/>
      <c r="Q55" s="172"/>
      <c r="R55" s="172"/>
      <c r="S55" s="172"/>
      <c r="T55" s="172"/>
      <c r="V55" s="394">
        <v>3</v>
      </c>
      <c r="W55" s="557">
        <v>8</v>
      </c>
      <c r="X55" s="558">
        <v>8</v>
      </c>
      <c r="Y55" s="558">
        <v>8</v>
      </c>
      <c r="Z55" s="558">
        <v>8</v>
      </c>
      <c r="AA55" s="558">
        <v>8</v>
      </c>
      <c r="AB55" s="559">
        <v>8</v>
      </c>
      <c r="AC55" s="557">
        <v>8</v>
      </c>
      <c r="AD55" s="558">
        <v>8</v>
      </c>
      <c r="AE55" s="558">
        <v>8</v>
      </c>
      <c r="AF55" s="558">
        <v>8</v>
      </c>
      <c r="AG55" s="558">
        <v>8</v>
      </c>
      <c r="AH55" s="559">
        <v>8</v>
      </c>
      <c r="AI55" s="557">
        <v>8</v>
      </c>
      <c r="AJ55" s="558">
        <v>8</v>
      </c>
      <c r="AK55" s="558">
        <v>8</v>
      </c>
      <c r="AL55" s="558">
        <v>8</v>
      </c>
      <c r="AM55" s="558">
        <v>8</v>
      </c>
      <c r="AN55" s="559">
        <v>8</v>
      </c>
      <c r="AO55" s="557">
        <v>8</v>
      </c>
      <c r="AP55" s="558">
        <v>8</v>
      </c>
      <c r="AQ55" s="558">
        <v>8</v>
      </c>
      <c r="AR55" s="558">
        <v>8</v>
      </c>
      <c r="AS55" s="558">
        <v>8</v>
      </c>
      <c r="AT55" s="559">
        <v>8</v>
      </c>
      <c r="AU55" s="557">
        <v>8</v>
      </c>
      <c r="AV55" s="558">
        <v>8</v>
      </c>
      <c r="AW55" s="558">
        <v>8</v>
      </c>
      <c r="AX55" s="558">
        <v>8</v>
      </c>
      <c r="AY55" s="558">
        <v>8</v>
      </c>
      <c r="AZ55" s="559">
        <v>8</v>
      </c>
      <c r="BA55" s="557">
        <v>8</v>
      </c>
      <c r="BB55" s="558">
        <v>8</v>
      </c>
      <c r="BC55" s="558">
        <v>8</v>
      </c>
      <c r="BD55" s="558">
        <v>8</v>
      </c>
      <c r="BE55" s="558">
        <v>8</v>
      </c>
      <c r="BF55" s="559">
        <v>8</v>
      </c>
      <c r="BG55" s="466"/>
    </row>
    <row r="56" spans="2:59" ht="18" thickTop="1" x14ac:dyDescent="0.25">
      <c r="B56" s="745"/>
      <c r="C56" s="747" t="str">
        <f>Sprache!$E$10</f>
        <v>Teilnehmer bzw. Mannschaft</v>
      </c>
      <c r="D56" s="569">
        <v>51</v>
      </c>
      <c r="E56" s="528" t="str">
        <f t="array" ref="E56">IF($D56&gt;Calc1!$B$14,"",ROW(51:51)-SUM((($L$6:$L55="")+($N$6:$N55="")&gt;0)*1))</f>
        <v/>
      </c>
      <c r="F56" s="175" t="str">
        <f>IF(OR($U$15,$D56&gt;Calc1!$B$14),"",$R$5+QUOTIENT(($E56-1),$U$11)*($R$7+$R$9)/1440+SUM($O$6:$O55)/1440)</f>
        <v/>
      </c>
      <c r="G56" s="177" t="str">
        <f>IF(OR($U$15,$D56&gt;Calc1!$B$14),"",MOD($E56-1,$U$11)+1)</f>
        <v/>
      </c>
      <c r="H56" s="299" t="str">
        <f t="shared" ca="1" si="0"/>
        <v/>
      </c>
      <c r="I56" s="321" t="str">
        <f ca="1"/>
        <v/>
      </c>
      <c r="J56" s="322" t="s">
        <v>5</v>
      </c>
      <c r="K56" s="323" t="str">
        <f ca="1"/>
        <v/>
      </c>
      <c r="L56" s="180" t="str">
        <f t="shared" ca="1" si="1"/>
        <v/>
      </c>
      <c r="M56" s="181" t="s">
        <v>5</v>
      </c>
      <c r="N56" s="182" t="str">
        <f t="shared" ca="1" si="2"/>
        <v/>
      </c>
      <c r="O56" s="331"/>
      <c r="P56" s="171"/>
      <c r="Q56" s="172"/>
      <c r="R56" s="172"/>
      <c r="S56" s="172"/>
      <c r="T56" s="172"/>
      <c r="V56" s="394">
        <v>4</v>
      </c>
      <c r="W56" s="557">
        <v>8</v>
      </c>
      <c r="X56" s="558">
        <v>8</v>
      </c>
      <c r="Y56" s="558">
        <v>8</v>
      </c>
      <c r="Z56" s="558">
        <v>8</v>
      </c>
      <c r="AA56" s="558">
        <v>8</v>
      </c>
      <c r="AB56" s="559">
        <v>8</v>
      </c>
      <c r="AC56" s="557">
        <v>8</v>
      </c>
      <c r="AD56" s="558">
        <v>8</v>
      </c>
      <c r="AE56" s="558">
        <v>8</v>
      </c>
      <c r="AF56" s="558">
        <v>8</v>
      </c>
      <c r="AG56" s="558">
        <v>8</v>
      </c>
      <c r="AH56" s="559">
        <v>8</v>
      </c>
      <c r="AI56" s="557">
        <v>8</v>
      </c>
      <c r="AJ56" s="558">
        <v>8</v>
      </c>
      <c r="AK56" s="558">
        <v>8</v>
      </c>
      <c r="AL56" s="558">
        <v>8</v>
      </c>
      <c r="AM56" s="558">
        <v>8</v>
      </c>
      <c r="AN56" s="559">
        <v>8</v>
      </c>
      <c r="AO56" s="557">
        <v>8</v>
      </c>
      <c r="AP56" s="558">
        <v>8</v>
      </c>
      <c r="AQ56" s="558">
        <v>8</v>
      </c>
      <c r="AR56" s="558">
        <v>8</v>
      </c>
      <c r="AS56" s="558">
        <v>8</v>
      </c>
      <c r="AT56" s="559">
        <v>8</v>
      </c>
      <c r="AU56" s="557">
        <v>8</v>
      </c>
      <c r="AV56" s="558">
        <v>8</v>
      </c>
      <c r="AW56" s="558">
        <v>8</v>
      </c>
      <c r="AX56" s="558">
        <v>8</v>
      </c>
      <c r="AY56" s="558">
        <v>8</v>
      </c>
      <c r="AZ56" s="559">
        <v>8</v>
      </c>
      <c r="BA56" s="557">
        <v>8</v>
      </c>
      <c r="BB56" s="558">
        <v>8</v>
      </c>
      <c r="BC56" s="558">
        <v>8</v>
      </c>
      <c r="BD56" s="558">
        <v>8</v>
      </c>
      <c r="BE56" s="558">
        <v>8</v>
      </c>
      <c r="BF56" s="559">
        <v>8</v>
      </c>
      <c r="BG56" s="466"/>
    </row>
    <row r="57" spans="2:59" ht="17.25" x14ac:dyDescent="0.25">
      <c r="B57" s="746"/>
      <c r="C57" s="748"/>
      <c r="D57" s="569">
        <v>52</v>
      </c>
      <c r="E57" s="528" t="str">
        <f t="array" ref="E57">IF($D57&gt;Calc1!$B$14,"",ROW(52:52)-SUM((($L$6:$L56="")+($N$6:$N56="")&gt;0)*1))</f>
        <v/>
      </c>
      <c r="F57" s="175" t="str">
        <f>IF(OR($U$15,$D57&gt;Calc1!$B$14),"",$R$5+QUOTIENT(($E57-1),$U$11)*($R$7+$R$9)/1440+SUM($O$6:$O56)/1440)</f>
        <v/>
      </c>
      <c r="G57" s="177" t="str">
        <f>IF(OR($U$15,$D57&gt;Calc1!$B$14),"",MOD($E57-1,$U$11)+1)</f>
        <v/>
      </c>
      <c r="H57" s="299" t="str">
        <f t="shared" ca="1" si="0"/>
        <v/>
      </c>
      <c r="I57" s="321" t="str">
        <f ca="1"/>
        <v/>
      </c>
      <c r="J57" s="322" t="s">
        <v>5</v>
      </c>
      <c r="K57" s="323" t="str">
        <f ca="1"/>
        <v/>
      </c>
      <c r="L57" s="180" t="str">
        <f t="shared" ca="1" si="1"/>
        <v/>
      </c>
      <c r="M57" s="181" t="s">
        <v>5</v>
      </c>
      <c r="N57" s="182" t="str">
        <f t="shared" ca="1" si="2"/>
        <v/>
      </c>
      <c r="O57" s="331"/>
      <c r="P57" s="171"/>
      <c r="Q57" s="172"/>
      <c r="R57" s="172"/>
      <c r="S57" s="172"/>
      <c r="T57" s="172"/>
      <c r="V57" s="394">
        <v>5</v>
      </c>
      <c r="W57" s="557">
        <v>8</v>
      </c>
      <c r="X57" s="558">
        <v>8</v>
      </c>
      <c r="Y57" s="558">
        <v>8</v>
      </c>
      <c r="Z57" s="558">
        <v>8</v>
      </c>
      <c r="AA57" s="558">
        <v>8</v>
      </c>
      <c r="AB57" s="559">
        <v>8</v>
      </c>
      <c r="AC57" s="557">
        <v>8</v>
      </c>
      <c r="AD57" s="558">
        <v>8</v>
      </c>
      <c r="AE57" s="558">
        <v>8</v>
      </c>
      <c r="AF57" s="558">
        <v>8</v>
      </c>
      <c r="AG57" s="558">
        <v>8</v>
      </c>
      <c r="AH57" s="559">
        <v>8</v>
      </c>
      <c r="AI57" s="557">
        <v>8</v>
      </c>
      <c r="AJ57" s="558">
        <v>8</v>
      </c>
      <c r="AK57" s="558">
        <v>8</v>
      </c>
      <c r="AL57" s="558">
        <v>8</v>
      </c>
      <c r="AM57" s="558">
        <v>8</v>
      </c>
      <c r="AN57" s="559">
        <v>8</v>
      </c>
      <c r="AO57" s="557">
        <v>8</v>
      </c>
      <c r="AP57" s="558">
        <v>8</v>
      </c>
      <c r="AQ57" s="558">
        <v>8</v>
      </c>
      <c r="AR57" s="558">
        <v>8</v>
      </c>
      <c r="AS57" s="558">
        <v>8</v>
      </c>
      <c r="AT57" s="559">
        <v>8</v>
      </c>
      <c r="AU57" s="557">
        <v>8</v>
      </c>
      <c r="AV57" s="558">
        <v>8</v>
      </c>
      <c r="AW57" s="558">
        <v>8</v>
      </c>
      <c r="AX57" s="558">
        <v>8</v>
      </c>
      <c r="AY57" s="558">
        <v>8</v>
      </c>
      <c r="AZ57" s="559">
        <v>8</v>
      </c>
      <c r="BA57" s="557">
        <v>8</v>
      </c>
      <c r="BB57" s="558">
        <v>8</v>
      </c>
      <c r="BC57" s="558">
        <v>8</v>
      </c>
      <c r="BD57" s="558">
        <v>8</v>
      </c>
      <c r="BE57" s="558">
        <v>8</v>
      </c>
      <c r="BF57" s="559">
        <v>8</v>
      </c>
      <c r="BG57" s="466"/>
    </row>
    <row r="58" spans="2:59" ht="18" customHeight="1" thickBot="1" x14ac:dyDescent="0.3">
      <c r="B58" s="749" t="s">
        <v>325</v>
      </c>
      <c r="C58" s="741" t="s">
        <v>331</v>
      </c>
      <c r="D58" s="569">
        <v>53</v>
      </c>
      <c r="E58" s="528" t="str">
        <f t="array" ref="E58">IF($D58&gt;Calc1!$B$14,"",ROW(53:53)-SUM((($L$6:$L57="")+($N$6:$N57="")&gt;0)*1))</f>
        <v/>
      </c>
      <c r="F58" s="175" t="str">
        <f>IF(OR($U$15,$D58&gt;Calc1!$B$14),"",$R$5+QUOTIENT(($E58-1),$U$11)*($R$7+$R$9)/1440+SUM($O$6:$O57)/1440)</f>
        <v/>
      </c>
      <c r="G58" s="177" t="str">
        <f>IF(OR($U$15,$D58&gt;Calc1!$B$14),"",MOD($E58-1,$U$11)+1)</f>
        <v/>
      </c>
      <c r="H58" s="299" t="str">
        <f t="shared" ca="1" si="0"/>
        <v/>
      </c>
      <c r="I58" s="321" t="str">
        <f ca="1"/>
        <v/>
      </c>
      <c r="J58" s="322" t="s">
        <v>5</v>
      </c>
      <c r="K58" s="323" t="str">
        <f ca="1"/>
        <v/>
      </c>
      <c r="L58" s="180" t="str">
        <f t="shared" ca="1" si="1"/>
        <v/>
      </c>
      <c r="M58" s="181" t="s">
        <v>5</v>
      </c>
      <c r="N58" s="182" t="str">
        <f t="shared" ca="1" si="2"/>
        <v/>
      </c>
      <c r="O58" s="331"/>
      <c r="P58" s="171"/>
      <c r="Q58" s="172"/>
      <c r="R58" s="172"/>
      <c r="S58" s="172"/>
      <c r="T58" s="172"/>
      <c r="V58" s="395">
        <v>6</v>
      </c>
      <c r="W58" s="560">
        <v>8</v>
      </c>
      <c r="X58" s="561">
        <v>8</v>
      </c>
      <c r="Y58" s="561">
        <v>8</v>
      </c>
      <c r="Z58" s="561">
        <v>8</v>
      </c>
      <c r="AA58" s="561">
        <v>8</v>
      </c>
      <c r="AB58" s="562">
        <v>8</v>
      </c>
      <c r="AC58" s="560">
        <v>8</v>
      </c>
      <c r="AD58" s="561">
        <v>8</v>
      </c>
      <c r="AE58" s="561">
        <v>8</v>
      </c>
      <c r="AF58" s="561">
        <v>8</v>
      </c>
      <c r="AG58" s="561">
        <v>8</v>
      </c>
      <c r="AH58" s="562">
        <v>8</v>
      </c>
      <c r="AI58" s="560">
        <v>8</v>
      </c>
      <c r="AJ58" s="561">
        <v>8</v>
      </c>
      <c r="AK58" s="561">
        <v>8</v>
      </c>
      <c r="AL58" s="561">
        <v>8</v>
      </c>
      <c r="AM58" s="561">
        <v>8</v>
      </c>
      <c r="AN58" s="562">
        <v>8</v>
      </c>
      <c r="AO58" s="560">
        <v>8</v>
      </c>
      <c r="AP58" s="561">
        <v>8</v>
      </c>
      <c r="AQ58" s="561">
        <v>8</v>
      </c>
      <c r="AR58" s="561">
        <v>8</v>
      </c>
      <c r="AS58" s="561">
        <v>8</v>
      </c>
      <c r="AT58" s="562">
        <v>8</v>
      </c>
      <c r="AU58" s="560">
        <v>8</v>
      </c>
      <c r="AV58" s="561">
        <v>8</v>
      </c>
      <c r="AW58" s="561">
        <v>8</v>
      </c>
      <c r="AX58" s="561">
        <v>8</v>
      </c>
      <c r="AY58" s="561">
        <v>8</v>
      </c>
      <c r="AZ58" s="562">
        <v>8</v>
      </c>
      <c r="BA58" s="560">
        <v>8</v>
      </c>
      <c r="BB58" s="561">
        <v>8</v>
      </c>
      <c r="BC58" s="561">
        <v>8</v>
      </c>
      <c r="BD58" s="561">
        <v>8</v>
      </c>
      <c r="BE58" s="561">
        <v>8</v>
      </c>
      <c r="BF58" s="562">
        <v>8</v>
      </c>
      <c r="BG58" s="466"/>
    </row>
    <row r="59" spans="2:59" ht="18" customHeight="1" thickTop="1" x14ac:dyDescent="0.25">
      <c r="B59" s="743"/>
      <c r="C59" s="744"/>
      <c r="D59" s="569">
        <v>54</v>
      </c>
      <c r="E59" s="528" t="str">
        <f t="array" ref="E59">IF($D59&gt;Calc1!$B$14,"",ROW(54:54)-SUM((($L$6:$L58="")+($N$6:$N58="")&gt;0)*1))</f>
        <v/>
      </c>
      <c r="F59" s="175" t="str">
        <f>IF(OR($U$15,$D59&gt;Calc1!$B$14),"",$R$5+QUOTIENT(($E59-1),$U$11)*($R$7+$R$9)/1440+SUM($O$6:$O58)/1440)</f>
        <v/>
      </c>
      <c r="G59" s="177" t="str">
        <f>IF(OR($U$15,$D59&gt;Calc1!$B$14),"",MOD($E59-1,$U$11)+1)</f>
        <v/>
      </c>
      <c r="H59" s="299" t="str">
        <f t="shared" ca="1" si="0"/>
        <v/>
      </c>
      <c r="I59" s="321" t="str">
        <f ca="1"/>
        <v/>
      </c>
      <c r="J59" s="322" t="s">
        <v>5</v>
      </c>
      <c r="K59" s="323" t="str">
        <f ca="1"/>
        <v/>
      </c>
      <c r="L59" s="52" t="str">
        <f t="shared" ca="1" si="1"/>
        <v/>
      </c>
      <c r="M59" s="50" t="s">
        <v>5</v>
      </c>
      <c r="N59" s="51" t="str">
        <f t="shared" ca="1" si="2"/>
        <v/>
      </c>
      <c r="O59" s="331"/>
      <c r="P59" s="171"/>
      <c r="Q59" s="172"/>
      <c r="R59" s="172"/>
      <c r="S59" s="172"/>
      <c r="T59" s="172"/>
      <c r="V59" s="394">
        <v>1</v>
      </c>
      <c r="W59" s="554">
        <v>8</v>
      </c>
      <c r="X59" s="555">
        <v>8</v>
      </c>
      <c r="Y59" s="555">
        <v>8</v>
      </c>
      <c r="Z59" s="555">
        <v>8</v>
      </c>
      <c r="AA59" s="555">
        <v>8</v>
      </c>
      <c r="AB59" s="556">
        <v>8</v>
      </c>
      <c r="AC59" s="554">
        <v>8</v>
      </c>
      <c r="AD59" s="555">
        <v>8</v>
      </c>
      <c r="AE59" s="555">
        <v>8</v>
      </c>
      <c r="AF59" s="555">
        <v>8</v>
      </c>
      <c r="AG59" s="555">
        <v>8</v>
      </c>
      <c r="AH59" s="556">
        <v>8</v>
      </c>
      <c r="AI59" s="554">
        <v>8</v>
      </c>
      <c r="AJ59" s="555">
        <v>8</v>
      </c>
      <c r="AK59" s="555">
        <v>8</v>
      </c>
      <c r="AL59" s="555">
        <v>8</v>
      </c>
      <c r="AM59" s="555">
        <v>8</v>
      </c>
      <c r="AN59" s="556">
        <v>8</v>
      </c>
      <c r="AO59" s="554">
        <v>8</v>
      </c>
      <c r="AP59" s="555">
        <v>8</v>
      </c>
      <c r="AQ59" s="555">
        <v>8</v>
      </c>
      <c r="AR59" s="555">
        <v>8</v>
      </c>
      <c r="AS59" s="555">
        <v>8</v>
      </c>
      <c r="AT59" s="556">
        <v>8</v>
      </c>
      <c r="AU59" s="554">
        <v>8</v>
      </c>
      <c r="AV59" s="555">
        <v>8</v>
      </c>
      <c r="AW59" s="555">
        <v>8</v>
      </c>
      <c r="AX59" s="555">
        <v>8</v>
      </c>
      <c r="AY59" s="555">
        <v>8</v>
      </c>
      <c r="AZ59" s="556">
        <v>8</v>
      </c>
      <c r="BA59" s="554">
        <v>8</v>
      </c>
      <c r="BB59" s="555">
        <v>8</v>
      </c>
      <c r="BC59" s="555">
        <v>8</v>
      </c>
      <c r="BD59" s="555">
        <v>8</v>
      </c>
      <c r="BE59" s="555">
        <v>8</v>
      </c>
      <c r="BF59" s="556">
        <v>8</v>
      </c>
      <c r="BG59" s="465">
        <v>3</v>
      </c>
    </row>
    <row r="60" spans="2:59" ht="17.25" x14ac:dyDescent="0.25">
      <c r="B60" s="739" t="s">
        <v>326</v>
      </c>
      <c r="C60" s="741" t="s">
        <v>332</v>
      </c>
      <c r="D60" s="569">
        <v>55</v>
      </c>
      <c r="E60" s="528" t="str">
        <f t="array" ref="E60">IF($D60&gt;Calc1!$B$14,"",ROW(55:55)-SUM((($L$6:$L59="")+($N$6:$N59="")&gt;0)*1))</f>
        <v/>
      </c>
      <c r="F60" s="175" t="str">
        <f>IF(OR($U$15,$D60&gt;Calc1!$B$14),"",$R$5+QUOTIENT(($E60-1),$U$11)*($R$7+$R$9)/1440+SUM($O$6:$O59)/1440)</f>
        <v/>
      </c>
      <c r="G60" s="177" t="str">
        <f>IF(OR($U$15,$D60&gt;Calc1!$B$14),"",MOD($E60-1,$U$11)+1)</f>
        <v/>
      </c>
      <c r="H60" s="299" t="str">
        <f t="shared" ca="1" si="0"/>
        <v/>
      </c>
      <c r="I60" s="321" t="str">
        <f ca="1"/>
        <v/>
      </c>
      <c r="J60" s="322" t="s">
        <v>5</v>
      </c>
      <c r="K60" s="323" t="str">
        <f ca="1"/>
        <v/>
      </c>
      <c r="L60" s="180" t="str">
        <f t="shared" ca="1" si="1"/>
        <v/>
      </c>
      <c r="M60" s="181" t="s">
        <v>5</v>
      </c>
      <c r="N60" s="182" t="str">
        <f t="shared" ca="1" si="2"/>
        <v/>
      </c>
      <c r="O60" s="331"/>
      <c r="P60" s="171"/>
      <c r="Q60" s="172"/>
      <c r="R60" s="172"/>
      <c r="S60" s="172"/>
      <c r="T60" s="172"/>
      <c r="V60" s="394">
        <v>2</v>
      </c>
      <c r="W60" s="557">
        <v>8</v>
      </c>
      <c r="X60" s="558">
        <v>8</v>
      </c>
      <c r="Y60" s="558">
        <v>8</v>
      </c>
      <c r="Z60" s="558">
        <v>8</v>
      </c>
      <c r="AA60" s="558">
        <v>8</v>
      </c>
      <c r="AB60" s="559">
        <v>8</v>
      </c>
      <c r="AC60" s="557">
        <v>8</v>
      </c>
      <c r="AD60" s="558">
        <v>8</v>
      </c>
      <c r="AE60" s="558">
        <v>8</v>
      </c>
      <c r="AF60" s="558">
        <v>8</v>
      </c>
      <c r="AG60" s="558">
        <v>8</v>
      </c>
      <c r="AH60" s="559">
        <v>8</v>
      </c>
      <c r="AI60" s="557">
        <v>8</v>
      </c>
      <c r="AJ60" s="558">
        <v>8</v>
      </c>
      <c r="AK60" s="558">
        <v>8</v>
      </c>
      <c r="AL60" s="558">
        <v>8</v>
      </c>
      <c r="AM60" s="558">
        <v>8</v>
      </c>
      <c r="AN60" s="559">
        <v>8</v>
      </c>
      <c r="AO60" s="557">
        <v>8</v>
      </c>
      <c r="AP60" s="558">
        <v>8</v>
      </c>
      <c r="AQ60" s="558">
        <v>8</v>
      </c>
      <c r="AR60" s="558">
        <v>8</v>
      </c>
      <c r="AS60" s="558">
        <v>8</v>
      </c>
      <c r="AT60" s="559">
        <v>8</v>
      </c>
      <c r="AU60" s="557">
        <v>8</v>
      </c>
      <c r="AV60" s="558">
        <v>8</v>
      </c>
      <c r="AW60" s="558">
        <v>8</v>
      </c>
      <c r="AX60" s="558">
        <v>8</v>
      </c>
      <c r="AY60" s="558">
        <v>8</v>
      </c>
      <c r="AZ60" s="559">
        <v>8</v>
      </c>
      <c r="BA60" s="557">
        <v>8</v>
      </c>
      <c r="BB60" s="558">
        <v>8</v>
      </c>
      <c r="BC60" s="558">
        <v>8</v>
      </c>
      <c r="BD60" s="558">
        <v>8</v>
      </c>
      <c r="BE60" s="558">
        <v>8</v>
      </c>
      <c r="BF60" s="559">
        <v>8</v>
      </c>
      <c r="BG60" s="466"/>
    </row>
    <row r="61" spans="2:59" ht="17.25" x14ac:dyDescent="0.25">
      <c r="B61" s="743"/>
      <c r="C61" s="744"/>
      <c r="D61" s="569">
        <v>56</v>
      </c>
      <c r="E61" s="528" t="str">
        <f t="array" ref="E61">IF($D61&gt;Calc1!$B$14,"",ROW(56:56)-SUM((($L$6:$L60="")+($N$6:$N60="")&gt;0)*1))</f>
        <v/>
      </c>
      <c r="F61" s="175" t="str">
        <f>IF(OR($U$15,$D61&gt;Calc1!$B$14),"",$R$5+QUOTIENT(($E61-1),$U$11)*($R$7+$R$9)/1440+SUM($O$6:$O60)/1440)</f>
        <v/>
      </c>
      <c r="G61" s="177" t="str">
        <f>IF(OR($U$15,$D61&gt;Calc1!$B$14),"",MOD($E61-1,$U$11)+1)</f>
        <v/>
      </c>
      <c r="H61" s="299" t="str">
        <f t="shared" ca="1" si="0"/>
        <v/>
      </c>
      <c r="I61" s="321" t="str">
        <f ca="1"/>
        <v/>
      </c>
      <c r="J61" s="322" t="s">
        <v>5</v>
      </c>
      <c r="K61" s="323" t="str">
        <f ca="1"/>
        <v/>
      </c>
      <c r="L61" s="180" t="str">
        <f t="shared" ca="1" si="1"/>
        <v/>
      </c>
      <c r="M61" s="181" t="s">
        <v>5</v>
      </c>
      <c r="N61" s="182" t="str">
        <f t="shared" ca="1" si="2"/>
        <v/>
      </c>
      <c r="O61" s="331"/>
      <c r="P61" s="171"/>
      <c r="Q61" s="172"/>
      <c r="R61" s="172"/>
      <c r="S61" s="172"/>
      <c r="T61" s="172"/>
      <c r="V61" s="394">
        <v>3</v>
      </c>
      <c r="W61" s="557">
        <v>8</v>
      </c>
      <c r="X61" s="558">
        <v>8</v>
      </c>
      <c r="Y61" s="558">
        <v>8</v>
      </c>
      <c r="Z61" s="558">
        <v>8</v>
      </c>
      <c r="AA61" s="558">
        <v>8</v>
      </c>
      <c r="AB61" s="559">
        <v>8</v>
      </c>
      <c r="AC61" s="557">
        <v>8</v>
      </c>
      <c r="AD61" s="558">
        <v>8</v>
      </c>
      <c r="AE61" s="558">
        <v>8</v>
      </c>
      <c r="AF61" s="558">
        <v>8</v>
      </c>
      <c r="AG61" s="558">
        <v>8</v>
      </c>
      <c r="AH61" s="559">
        <v>8</v>
      </c>
      <c r="AI61" s="557">
        <v>8</v>
      </c>
      <c r="AJ61" s="558">
        <v>8</v>
      </c>
      <c r="AK61" s="558">
        <v>4</v>
      </c>
      <c r="AL61" s="558">
        <v>5</v>
      </c>
      <c r="AM61" s="558">
        <v>8</v>
      </c>
      <c r="AN61" s="559">
        <v>8</v>
      </c>
      <c r="AO61" s="557">
        <v>8</v>
      </c>
      <c r="AP61" s="558">
        <v>8</v>
      </c>
      <c r="AQ61" s="558">
        <v>5</v>
      </c>
      <c r="AR61" s="558">
        <v>4</v>
      </c>
      <c r="AS61" s="558">
        <v>8</v>
      </c>
      <c r="AT61" s="559">
        <v>8</v>
      </c>
      <c r="AU61" s="557">
        <v>8</v>
      </c>
      <c r="AV61" s="558">
        <v>8</v>
      </c>
      <c r="AW61" s="558">
        <v>8</v>
      </c>
      <c r="AX61" s="558">
        <v>8</v>
      </c>
      <c r="AY61" s="558">
        <v>8</v>
      </c>
      <c r="AZ61" s="559">
        <v>8</v>
      </c>
      <c r="BA61" s="557">
        <v>8</v>
      </c>
      <c r="BB61" s="558">
        <v>8</v>
      </c>
      <c r="BC61" s="558">
        <v>8</v>
      </c>
      <c r="BD61" s="558">
        <v>8</v>
      </c>
      <c r="BE61" s="558">
        <v>8</v>
      </c>
      <c r="BF61" s="559">
        <v>8</v>
      </c>
      <c r="BG61" s="466"/>
    </row>
    <row r="62" spans="2:59" ht="17.25" x14ac:dyDescent="0.25">
      <c r="B62" s="739" t="s">
        <v>327</v>
      </c>
      <c r="C62" s="741" t="s">
        <v>333</v>
      </c>
      <c r="D62" s="569">
        <v>57</v>
      </c>
      <c r="E62" s="528" t="str">
        <f t="array" ref="E62">IF($D62&gt;Calc1!$B$14,"",ROW(57:57)-SUM((($L$6:$L61="")+($N$6:$N61="")&gt;0)*1))</f>
        <v/>
      </c>
      <c r="F62" s="175" t="str">
        <f>IF(OR($U$15,$D62&gt;Calc1!$B$14),"",$R$5+QUOTIENT(($E62-1),$U$11)*($R$7+$R$9)/1440+SUM($O$6:$O61)/1440)</f>
        <v/>
      </c>
      <c r="G62" s="177" t="str">
        <f>IF(OR($U$15,$D62&gt;Calc1!$B$14),"",MOD($E62-1,$U$11)+1)</f>
        <v/>
      </c>
      <c r="H62" s="299" t="str">
        <f t="shared" ca="1" si="0"/>
        <v/>
      </c>
      <c r="I62" s="321" t="str">
        <f ca="1"/>
        <v/>
      </c>
      <c r="J62" s="322" t="s">
        <v>5</v>
      </c>
      <c r="K62" s="323" t="str">
        <f ca="1"/>
        <v/>
      </c>
      <c r="L62" s="52" t="str">
        <f t="shared" ca="1" si="1"/>
        <v/>
      </c>
      <c r="M62" s="50" t="s">
        <v>5</v>
      </c>
      <c r="N62" s="51" t="str">
        <f t="shared" ca="1" si="2"/>
        <v/>
      </c>
      <c r="O62" s="331"/>
      <c r="P62" s="171"/>
      <c r="Q62" s="172"/>
      <c r="R62" s="172"/>
      <c r="S62" s="172"/>
      <c r="T62" s="172"/>
      <c r="V62" s="394">
        <v>4</v>
      </c>
      <c r="W62" s="557">
        <v>8</v>
      </c>
      <c r="X62" s="558">
        <v>8</v>
      </c>
      <c r="Y62" s="558">
        <v>8</v>
      </c>
      <c r="Z62" s="558">
        <v>8</v>
      </c>
      <c r="AA62" s="558">
        <v>8</v>
      </c>
      <c r="AB62" s="559">
        <v>8</v>
      </c>
      <c r="AC62" s="557">
        <v>8</v>
      </c>
      <c r="AD62" s="558">
        <v>8</v>
      </c>
      <c r="AE62" s="558">
        <v>8</v>
      </c>
      <c r="AF62" s="558">
        <v>8</v>
      </c>
      <c r="AG62" s="558">
        <v>8</v>
      </c>
      <c r="AH62" s="559">
        <v>8</v>
      </c>
      <c r="AI62" s="557">
        <v>8</v>
      </c>
      <c r="AJ62" s="558">
        <v>8</v>
      </c>
      <c r="AK62" s="558">
        <v>5</v>
      </c>
      <c r="AL62" s="558">
        <v>4</v>
      </c>
      <c r="AM62" s="558">
        <v>8</v>
      </c>
      <c r="AN62" s="559">
        <v>8</v>
      </c>
      <c r="AO62" s="557">
        <v>8</v>
      </c>
      <c r="AP62" s="558">
        <v>8</v>
      </c>
      <c r="AQ62" s="558">
        <v>4</v>
      </c>
      <c r="AR62" s="558">
        <v>3</v>
      </c>
      <c r="AS62" s="558">
        <v>4</v>
      </c>
      <c r="AT62" s="559">
        <v>8</v>
      </c>
      <c r="AU62" s="557">
        <v>8</v>
      </c>
      <c r="AV62" s="558">
        <v>8</v>
      </c>
      <c r="AW62" s="558">
        <v>8</v>
      </c>
      <c r="AX62" s="558">
        <v>8</v>
      </c>
      <c r="AY62" s="558">
        <v>8</v>
      </c>
      <c r="AZ62" s="559">
        <v>8</v>
      </c>
      <c r="BA62" s="557">
        <v>8</v>
      </c>
      <c r="BB62" s="558">
        <v>8</v>
      </c>
      <c r="BC62" s="558">
        <v>8</v>
      </c>
      <c r="BD62" s="558">
        <v>8</v>
      </c>
      <c r="BE62" s="558">
        <v>8</v>
      </c>
      <c r="BF62" s="559">
        <v>8</v>
      </c>
      <c r="BG62" s="466"/>
    </row>
    <row r="63" spans="2:59" ht="17.25" x14ac:dyDescent="0.25">
      <c r="B63" s="743"/>
      <c r="C63" s="744"/>
      <c r="D63" s="569">
        <v>58</v>
      </c>
      <c r="E63" s="528" t="str">
        <f t="array" ref="E63">IF($D63&gt;Calc1!$B$14,"",ROW(58:58)-SUM((($L$6:$L62="")+($N$6:$N62="")&gt;0)*1))</f>
        <v/>
      </c>
      <c r="F63" s="175" t="str">
        <f>IF(OR($U$15,$D63&gt;Calc1!$B$14),"",$R$5+QUOTIENT(($E63-1),$U$11)*($R$7+$R$9)/1440+SUM($O$6:$O62)/1440)</f>
        <v/>
      </c>
      <c r="G63" s="177" t="str">
        <f>IF(OR($U$15,$D63&gt;Calc1!$B$14),"",MOD($E63-1,$U$11)+1)</f>
        <v/>
      </c>
      <c r="H63" s="568" t="str">
        <f t="shared" ca="1" si="0"/>
        <v/>
      </c>
      <c r="I63" s="321" t="str">
        <f ca="1"/>
        <v/>
      </c>
      <c r="J63" s="322" t="s">
        <v>5</v>
      </c>
      <c r="K63" s="323" t="str">
        <f ca="1"/>
        <v/>
      </c>
      <c r="L63" s="52" t="str">
        <f t="shared" ca="1" si="1"/>
        <v/>
      </c>
      <c r="M63" s="50" t="s">
        <v>5</v>
      </c>
      <c r="N63" s="51" t="str">
        <f t="shared" ca="1" si="2"/>
        <v/>
      </c>
      <c r="O63" s="331"/>
      <c r="P63" s="171"/>
      <c r="Q63" s="172"/>
      <c r="R63" s="172"/>
      <c r="S63" s="172"/>
      <c r="T63" s="172"/>
      <c r="V63" s="394">
        <v>5</v>
      </c>
      <c r="W63" s="557">
        <v>8</v>
      </c>
      <c r="X63" s="558">
        <v>8</v>
      </c>
      <c r="Y63" s="558">
        <v>8</v>
      </c>
      <c r="Z63" s="558">
        <v>8</v>
      </c>
      <c r="AA63" s="558">
        <v>8</v>
      </c>
      <c r="AB63" s="559">
        <v>8</v>
      </c>
      <c r="AC63" s="557">
        <v>8</v>
      </c>
      <c r="AD63" s="558">
        <v>8</v>
      </c>
      <c r="AE63" s="558">
        <v>8</v>
      </c>
      <c r="AF63" s="558">
        <v>8</v>
      </c>
      <c r="AG63" s="558">
        <v>8</v>
      </c>
      <c r="AH63" s="559">
        <v>8</v>
      </c>
      <c r="AI63" s="557">
        <v>8</v>
      </c>
      <c r="AJ63" s="558">
        <v>8</v>
      </c>
      <c r="AK63" s="558">
        <v>8</v>
      </c>
      <c r="AL63" s="558">
        <v>8</v>
      </c>
      <c r="AM63" s="558">
        <v>8</v>
      </c>
      <c r="AN63" s="559">
        <v>8</v>
      </c>
      <c r="AO63" s="557">
        <v>8</v>
      </c>
      <c r="AP63" s="558">
        <v>8</v>
      </c>
      <c r="AQ63" s="558">
        <v>8</v>
      </c>
      <c r="AR63" s="558">
        <v>4</v>
      </c>
      <c r="AS63" s="558">
        <v>5</v>
      </c>
      <c r="AT63" s="559">
        <v>8</v>
      </c>
      <c r="AU63" s="557">
        <v>8</v>
      </c>
      <c r="AV63" s="558">
        <v>8</v>
      </c>
      <c r="AW63" s="558">
        <v>8</v>
      </c>
      <c r="AX63" s="558">
        <v>8</v>
      </c>
      <c r="AY63" s="558">
        <v>8</v>
      </c>
      <c r="AZ63" s="559">
        <v>8</v>
      </c>
      <c r="BA63" s="557">
        <v>8</v>
      </c>
      <c r="BB63" s="558">
        <v>8</v>
      </c>
      <c r="BC63" s="558">
        <v>8</v>
      </c>
      <c r="BD63" s="558">
        <v>8</v>
      </c>
      <c r="BE63" s="558">
        <v>8</v>
      </c>
      <c r="BF63" s="559">
        <v>8</v>
      </c>
      <c r="BG63" s="466"/>
    </row>
    <row r="64" spans="2:59" ht="18" thickBot="1" x14ac:dyDescent="0.3">
      <c r="B64" s="739" t="s">
        <v>328</v>
      </c>
      <c r="C64" s="741" t="s">
        <v>334</v>
      </c>
      <c r="D64" s="569">
        <v>59</v>
      </c>
      <c r="E64" s="528" t="str">
        <f t="array" ref="E64">IF($D64&gt;Calc1!$B$14,"",ROW(59:59)-SUM((($L$6:$L63="")+($N$6:$N63="")&gt;0)*1))</f>
        <v/>
      </c>
      <c r="F64" s="175" t="str">
        <f>IF(OR($U$15,$D64&gt;Calc1!$B$14),"",$R$5+QUOTIENT(($E64-1),$U$11)*($R$7+$R$9)/1440+SUM($O$6:$O63)/1440)</f>
        <v/>
      </c>
      <c r="G64" s="177" t="str">
        <f>IF(OR($U$15,$D64&gt;Calc1!$B$14),"",MOD($E64-1,$U$11)+1)</f>
        <v/>
      </c>
      <c r="H64" s="299" t="str">
        <f t="shared" ca="1" si="0"/>
        <v/>
      </c>
      <c r="I64" s="321" t="str">
        <f ca="1"/>
        <v/>
      </c>
      <c r="J64" s="322" t="s">
        <v>5</v>
      </c>
      <c r="K64" s="323" t="str">
        <f ca="1"/>
        <v/>
      </c>
      <c r="L64" s="52" t="str">
        <f t="shared" ca="1" si="1"/>
        <v/>
      </c>
      <c r="M64" s="50" t="s">
        <v>5</v>
      </c>
      <c r="N64" s="51" t="str">
        <f t="shared" ca="1" si="2"/>
        <v/>
      </c>
      <c r="O64" s="331"/>
      <c r="P64" s="171"/>
      <c r="Q64" s="172"/>
      <c r="R64" s="172"/>
      <c r="S64" s="172"/>
      <c r="T64" s="172"/>
      <c r="V64" s="395">
        <v>6</v>
      </c>
      <c r="W64" s="560">
        <v>8</v>
      </c>
      <c r="X64" s="561">
        <v>8</v>
      </c>
      <c r="Y64" s="561">
        <v>8</v>
      </c>
      <c r="Z64" s="561">
        <v>8</v>
      </c>
      <c r="AA64" s="561">
        <v>8</v>
      </c>
      <c r="AB64" s="562">
        <v>8</v>
      </c>
      <c r="AC64" s="560">
        <v>8</v>
      </c>
      <c r="AD64" s="561">
        <v>8</v>
      </c>
      <c r="AE64" s="561">
        <v>8</v>
      </c>
      <c r="AF64" s="561">
        <v>8</v>
      </c>
      <c r="AG64" s="561">
        <v>8</v>
      </c>
      <c r="AH64" s="562">
        <v>8</v>
      </c>
      <c r="AI64" s="560">
        <v>8</v>
      </c>
      <c r="AJ64" s="561">
        <v>8</v>
      </c>
      <c r="AK64" s="561">
        <v>8</v>
      </c>
      <c r="AL64" s="561">
        <v>8</v>
      </c>
      <c r="AM64" s="561">
        <v>8</v>
      </c>
      <c r="AN64" s="562">
        <v>8</v>
      </c>
      <c r="AO64" s="560">
        <v>8</v>
      </c>
      <c r="AP64" s="561">
        <v>8</v>
      </c>
      <c r="AQ64" s="561">
        <v>8</v>
      </c>
      <c r="AR64" s="561">
        <v>8</v>
      </c>
      <c r="AS64" s="561">
        <v>8</v>
      </c>
      <c r="AT64" s="562">
        <v>8</v>
      </c>
      <c r="AU64" s="560">
        <v>8</v>
      </c>
      <c r="AV64" s="561">
        <v>8</v>
      </c>
      <c r="AW64" s="561">
        <v>8</v>
      </c>
      <c r="AX64" s="561">
        <v>8</v>
      </c>
      <c r="AY64" s="561">
        <v>8</v>
      </c>
      <c r="AZ64" s="562">
        <v>8</v>
      </c>
      <c r="BA64" s="560">
        <v>8</v>
      </c>
      <c r="BB64" s="561">
        <v>8</v>
      </c>
      <c r="BC64" s="561">
        <v>8</v>
      </c>
      <c r="BD64" s="561">
        <v>8</v>
      </c>
      <c r="BE64" s="561">
        <v>8</v>
      </c>
      <c r="BF64" s="562">
        <v>8</v>
      </c>
      <c r="BG64" s="466"/>
    </row>
    <row r="65" spans="2:59" ht="18.75" thickTop="1" thickBot="1" x14ac:dyDescent="0.3">
      <c r="B65" s="743"/>
      <c r="C65" s="744"/>
      <c r="D65" s="569">
        <v>60</v>
      </c>
      <c r="E65" s="529" t="str">
        <f t="array" ref="E65">IF($D65&gt;Calc1!$B$14,"",ROW(60:60)-SUM((($L$6:$L64="")+($N$6:$N64="")&gt;0)*1))</f>
        <v/>
      </c>
      <c r="F65" s="178" t="str">
        <f>IF(OR($U$15,$D65&gt;Calc1!$B$14),"",$R$5+QUOTIENT(($E65-1),$U$11)*($R$7+$R$9)/1440+SUM($O$6:$O64)/1440)</f>
        <v/>
      </c>
      <c r="G65" s="179" t="str">
        <f>IF(OR($U$15,$D65&gt;Calc1!$B$14),"",MOD($E65-1,$U$11)+1)</f>
        <v/>
      </c>
      <c r="H65" s="304" t="str">
        <f ca="1">IF($I65="","",IF(LEFT($I65,1)&lt;&gt;LEFT($K65,1),"??",LEFT($I65,1)))</f>
        <v/>
      </c>
      <c r="I65" s="324" t="str">
        <f ca="1"/>
        <v/>
      </c>
      <c r="J65" s="325" t="s">
        <v>5</v>
      </c>
      <c r="K65" s="326" t="str">
        <f ca="1"/>
        <v/>
      </c>
      <c r="L65" s="241" t="str">
        <f t="shared" ca="1" si="1"/>
        <v/>
      </c>
      <c r="M65" s="463" t="s">
        <v>5</v>
      </c>
      <c r="N65" s="242" t="str">
        <f t="shared" ca="1" si="2"/>
        <v/>
      </c>
      <c r="O65" s="566"/>
      <c r="P65" s="650">
        <f ca="1">OFFSET($O$6,Calc1!$B$14-1,0)</f>
        <v>0</v>
      </c>
      <c r="Q65" s="172"/>
      <c r="R65" s="172"/>
      <c r="S65" s="172"/>
      <c r="T65" s="172"/>
      <c r="V65" s="394">
        <v>1</v>
      </c>
      <c r="W65" s="554">
        <v>8</v>
      </c>
      <c r="X65" s="555">
        <v>8</v>
      </c>
      <c r="Y65" s="555">
        <v>8</v>
      </c>
      <c r="Z65" s="555">
        <v>8</v>
      </c>
      <c r="AA65" s="555">
        <v>8</v>
      </c>
      <c r="AB65" s="556">
        <v>8</v>
      </c>
      <c r="AC65" s="554">
        <v>8</v>
      </c>
      <c r="AD65" s="555">
        <v>8</v>
      </c>
      <c r="AE65" s="555">
        <v>8</v>
      </c>
      <c r="AF65" s="555">
        <v>8</v>
      </c>
      <c r="AG65" s="555">
        <v>8</v>
      </c>
      <c r="AH65" s="556">
        <v>8</v>
      </c>
      <c r="AI65" s="554">
        <v>8</v>
      </c>
      <c r="AJ65" s="555">
        <v>8</v>
      </c>
      <c r="AK65" s="555">
        <v>8</v>
      </c>
      <c r="AL65" s="555">
        <v>8</v>
      </c>
      <c r="AM65" s="555">
        <v>8</v>
      </c>
      <c r="AN65" s="556">
        <v>8</v>
      </c>
      <c r="AO65" s="554">
        <v>8</v>
      </c>
      <c r="AP65" s="555">
        <v>8</v>
      </c>
      <c r="AQ65" s="555">
        <v>8</v>
      </c>
      <c r="AR65" s="555">
        <v>8</v>
      </c>
      <c r="AS65" s="555">
        <v>8</v>
      </c>
      <c r="AT65" s="556">
        <v>8</v>
      </c>
      <c r="AU65" s="554">
        <v>8</v>
      </c>
      <c r="AV65" s="555">
        <v>8</v>
      </c>
      <c r="AW65" s="555">
        <v>8</v>
      </c>
      <c r="AX65" s="555">
        <v>8</v>
      </c>
      <c r="AY65" s="555">
        <v>8</v>
      </c>
      <c r="AZ65" s="556">
        <v>8</v>
      </c>
      <c r="BA65" s="554">
        <v>8</v>
      </c>
      <c r="BB65" s="555">
        <v>8</v>
      </c>
      <c r="BC65" s="555">
        <v>8</v>
      </c>
      <c r="BD65" s="555">
        <v>8</v>
      </c>
      <c r="BE65" s="555">
        <v>8</v>
      </c>
      <c r="BF65" s="556">
        <v>8</v>
      </c>
      <c r="BG65" s="465">
        <v>4</v>
      </c>
    </row>
    <row r="66" spans="2:59" ht="16.5" thickTop="1" x14ac:dyDescent="0.25">
      <c r="B66" s="739" t="s">
        <v>329</v>
      </c>
      <c r="C66" s="741" t="s">
        <v>335</v>
      </c>
      <c r="P66" s="171"/>
      <c r="Q66" s="172"/>
      <c r="R66" s="172"/>
      <c r="S66" s="172"/>
      <c r="T66" s="172"/>
      <c r="V66" s="394">
        <v>2</v>
      </c>
      <c r="W66" s="557">
        <v>8</v>
      </c>
      <c r="X66" s="558">
        <v>8</v>
      </c>
      <c r="Y66" s="558">
        <v>8</v>
      </c>
      <c r="Z66" s="558">
        <v>8</v>
      </c>
      <c r="AA66" s="558">
        <v>8</v>
      </c>
      <c r="AB66" s="559">
        <v>8</v>
      </c>
      <c r="AC66" s="557">
        <v>8</v>
      </c>
      <c r="AD66" s="558">
        <v>8</v>
      </c>
      <c r="AE66" s="558">
        <v>8</v>
      </c>
      <c r="AF66" s="558">
        <v>8</v>
      </c>
      <c r="AG66" s="558">
        <v>8</v>
      </c>
      <c r="AH66" s="559">
        <v>8</v>
      </c>
      <c r="AI66" s="557">
        <v>8</v>
      </c>
      <c r="AJ66" s="558">
        <v>8</v>
      </c>
      <c r="AK66" s="558">
        <v>8</v>
      </c>
      <c r="AL66" s="558">
        <v>8</v>
      </c>
      <c r="AM66" s="558">
        <v>8</v>
      </c>
      <c r="AN66" s="559">
        <v>8</v>
      </c>
      <c r="AO66" s="557">
        <v>8</v>
      </c>
      <c r="AP66" s="558">
        <v>8</v>
      </c>
      <c r="AQ66" s="558">
        <v>8</v>
      </c>
      <c r="AR66" s="558">
        <v>8</v>
      </c>
      <c r="AS66" s="558">
        <v>8</v>
      </c>
      <c r="AT66" s="559">
        <v>8</v>
      </c>
      <c r="AU66" s="557">
        <v>8</v>
      </c>
      <c r="AV66" s="558">
        <v>8</v>
      </c>
      <c r="AW66" s="558">
        <v>8</v>
      </c>
      <c r="AX66" s="558">
        <v>8</v>
      </c>
      <c r="AY66" s="558">
        <v>8</v>
      </c>
      <c r="AZ66" s="559">
        <v>8</v>
      </c>
      <c r="BA66" s="557">
        <v>8</v>
      </c>
      <c r="BB66" s="558">
        <v>8</v>
      </c>
      <c r="BC66" s="558">
        <v>8</v>
      </c>
      <c r="BD66" s="558">
        <v>8</v>
      </c>
      <c r="BE66" s="558">
        <v>8</v>
      </c>
      <c r="BF66" s="559">
        <v>8</v>
      </c>
      <c r="BG66" s="466"/>
    </row>
    <row r="67" spans="2:59" x14ac:dyDescent="0.25">
      <c r="B67" s="743"/>
      <c r="C67" s="744"/>
      <c r="P67" s="171"/>
      <c r="Q67" s="172"/>
      <c r="R67" s="172"/>
      <c r="S67" s="172"/>
      <c r="T67" s="172"/>
      <c r="V67" s="394">
        <v>3</v>
      </c>
      <c r="W67" s="557">
        <v>8</v>
      </c>
      <c r="X67" s="558">
        <v>8</v>
      </c>
      <c r="Y67" s="558">
        <v>8</v>
      </c>
      <c r="Z67" s="558">
        <v>8</v>
      </c>
      <c r="AA67" s="558">
        <v>8</v>
      </c>
      <c r="AB67" s="559">
        <v>8</v>
      </c>
      <c r="AC67" s="557">
        <v>8</v>
      </c>
      <c r="AD67" s="558">
        <v>8</v>
      </c>
      <c r="AE67" s="558">
        <v>8</v>
      </c>
      <c r="AF67" s="558">
        <v>8</v>
      </c>
      <c r="AG67" s="558">
        <v>8</v>
      </c>
      <c r="AH67" s="559">
        <v>8</v>
      </c>
      <c r="AI67" s="557">
        <v>8</v>
      </c>
      <c r="AJ67" s="558">
        <v>8</v>
      </c>
      <c r="AK67" s="558">
        <v>5</v>
      </c>
      <c r="AL67" s="558">
        <v>4</v>
      </c>
      <c r="AM67" s="558">
        <v>8</v>
      </c>
      <c r="AN67" s="559">
        <v>8</v>
      </c>
      <c r="AO67" s="557">
        <v>8</v>
      </c>
      <c r="AP67" s="558">
        <v>8</v>
      </c>
      <c r="AQ67" s="558">
        <v>8</v>
      </c>
      <c r="AR67" s="558">
        <v>8</v>
      </c>
      <c r="AS67" s="558">
        <v>8</v>
      </c>
      <c r="AT67" s="559">
        <v>8</v>
      </c>
      <c r="AU67" s="557">
        <v>8</v>
      </c>
      <c r="AV67" s="558">
        <v>8</v>
      </c>
      <c r="AW67" s="558">
        <v>8</v>
      </c>
      <c r="AX67" s="558">
        <v>8</v>
      </c>
      <c r="AY67" s="558">
        <v>8</v>
      </c>
      <c r="AZ67" s="559">
        <v>8</v>
      </c>
      <c r="BA67" s="557">
        <v>8</v>
      </c>
      <c r="BB67" s="558">
        <v>8</v>
      </c>
      <c r="BC67" s="558">
        <v>8</v>
      </c>
      <c r="BD67" s="558">
        <v>8</v>
      </c>
      <c r="BE67" s="558">
        <v>8</v>
      </c>
      <c r="BF67" s="559">
        <v>8</v>
      </c>
      <c r="BG67" s="466"/>
    </row>
    <row r="68" spans="2:59" x14ac:dyDescent="0.25">
      <c r="B68" s="739" t="s">
        <v>330</v>
      </c>
      <c r="C68" s="741"/>
      <c r="V68" s="394">
        <v>4</v>
      </c>
      <c r="W68" s="557">
        <v>8</v>
      </c>
      <c r="X68" s="558">
        <v>8</v>
      </c>
      <c r="Y68" s="558">
        <v>8</v>
      </c>
      <c r="Z68" s="558">
        <v>8</v>
      </c>
      <c r="AA68" s="558">
        <v>8</v>
      </c>
      <c r="AB68" s="559">
        <v>8</v>
      </c>
      <c r="AC68" s="557">
        <v>8</v>
      </c>
      <c r="AD68" s="558">
        <v>8</v>
      </c>
      <c r="AE68" s="558">
        <v>8</v>
      </c>
      <c r="AF68" s="558">
        <v>8</v>
      </c>
      <c r="AG68" s="558">
        <v>8</v>
      </c>
      <c r="AH68" s="559">
        <v>8</v>
      </c>
      <c r="AI68" s="557">
        <v>8</v>
      </c>
      <c r="AJ68" s="558">
        <v>8</v>
      </c>
      <c r="AK68" s="558">
        <v>6</v>
      </c>
      <c r="AL68" s="558">
        <v>3</v>
      </c>
      <c r="AM68" s="558">
        <v>8</v>
      </c>
      <c r="AN68" s="559">
        <v>8</v>
      </c>
      <c r="AO68" s="557">
        <v>8</v>
      </c>
      <c r="AP68" s="558">
        <v>8</v>
      </c>
      <c r="AQ68" s="558">
        <v>8</v>
      </c>
      <c r="AR68" s="558">
        <v>4</v>
      </c>
      <c r="AS68" s="558">
        <v>5</v>
      </c>
      <c r="AT68" s="559">
        <v>8</v>
      </c>
      <c r="AU68" s="557">
        <v>8</v>
      </c>
      <c r="AV68" s="558">
        <v>8</v>
      </c>
      <c r="AW68" s="558">
        <v>8</v>
      </c>
      <c r="AX68" s="558">
        <v>8</v>
      </c>
      <c r="AY68" s="558">
        <v>8</v>
      </c>
      <c r="AZ68" s="559">
        <v>8</v>
      </c>
      <c r="BA68" s="557">
        <v>8</v>
      </c>
      <c r="BB68" s="558">
        <v>8</v>
      </c>
      <c r="BC68" s="558">
        <v>8</v>
      </c>
      <c r="BD68" s="558">
        <v>8</v>
      </c>
      <c r="BE68" s="558">
        <v>8</v>
      </c>
      <c r="BF68" s="559">
        <v>8</v>
      </c>
      <c r="BG68" s="466"/>
    </row>
    <row r="69" spans="2:59" ht="16.5" thickBot="1" x14ac:dyDescent="0.3">
      <c r="B69" s="740"/>
      <c r="C69" s="742"/>
      <c r="V69" s="394">
        <v>5</v>
      </c>
      <c r="W69" s="557">
        <v>8</v>
      </c>
      <c r="X69" s="558">
        <v>8</v>
      </c>
      <c r="Y69" s="558">
        <v>8</v>
      </c>
      <c r="Z69" s="558">
        <v>8</v>
      </c>
      <c r="AA69" s="558">
        <v>8</v>
      </c>
      <c r="AB69" s="559">
        <v>8</v>
      </c>
      <c r="AC69" s="557">
        <v>8</v>
      </c>
      <c r="AD69" s="558">
        <v>8</v>
      </c>
      <c r="AE69" s="558">
        <v>8</v>
      </c>
      <c r="AF69" s="558">
        <v>8</v>
      </c>
      <c r="AG69" s="558">
        <v>8</v>
      </c>
      <c r="AH69" s="559">
        <v>8</v>
      </c>
      <c r="AI69" s="557">
        <v>8</v>
      </c>
      <c r="AJ69" s="558">
        <v>8</v>
      </c>
      <c r="AK69" s="558">
        <v>8</v>
      </c>
      <c r="AL69" s="558">
        <v>8</v>
      </c>
      <c r="AM69" s="558">
        <v>8</v>
      </c>
      <c r="AN69" s="559">
        <v>8</v>
      </c>
      <c r="AO69" s="557">
        <v>8</v>
      </c>
      <c r="AP69" s="558">
        <v>8</v>
      </c>
      <c r="AQ69" s="558">
        <v>8</v>
      </c>
      <c r="AR69" s="558">
        <v>5</v>
      </c>
      <c r="AS69" s="558">
        <v>6</v>
      </c>
      <c r="AT69" s="559">
        <v>8</v>
      </c>
      <c r="AU69" s="557">
        <v>8</v>
      </c>
      <c r="AV69" s="558">
        <v>8</v>
      </c>
      <c r="AW69" s="558">
        <v>8</v>
      </c>
      <c r="AX69" s="558">
        <v>8</v>
      </c>
      <c r="AY69" s="558">
        <v>8</v>
      </c>
      <c r="AZ69" s="559">
        <v>8</v>
      </c>
      <c r="BA69" s="557">
        <v>8</v>
      </c>
      <c r="BB69" s="558">
        <v>8</v>
      </c>
      <c r="BC69" s="558">
        <v>8</v>
      </c>
      <c r="BD69" s="558">
        <v>8</v>
      </c>
      <c r="BE69" s="558">
        <v>8</v>
      </c>
      <c r="BF69" s="559">
        <v>8</v>
      </c>
      <c r="BG69" s="466"/>
    </row>
    <row r="70" spans="2:59" ht="17.25" thickTop="1" thickBot="1" x14ac:dyDescent="0.3">
      <c r="V70" s="395">
        <v>6</v>
      </c>
      <c r="W70" s="560">
        <v>8</v>
      </c>
      <c r="X70" s="561">
        <v>8</v>
      </c>
      <c r="Y70" s="561">
        <v>8</v>
      </c>
      <c r="Z70" s="561">
        <v>8</v>
      </c>
      <c r="AA70" s="561">
        <v>8</v>
      </c>
      <c r="AB70" s="562">
        <v>8</v>
      </c>
      <c r="AC70" s="560">
        <v>8</v>
      </c>
      <c r="AD70" s="561">
        <v>8</v>
      </c>
      <c r="AE70" s="561">
        <v>8</v>
      </c>
      <c r="AF70" s="561">
        <v>8</v>
      </c>
      <c r="AG70" s="561">
        <v>8</v>
      </c>
      <c r="AH70" s="562">
        <v>8</v>
      </c>
      <c r="AI70" s="560">
        <v>8</v>
      </c>
      <c r="AJ70" s="561">
        <v>8</v>
      </c>
      <c r="AK70" s="561">
        <v>8</v>
      </c>
      <c r="AL70" s="561">
        <v>8</v>
      </c>
      <c r="AM70" s="561">
        <v>8</v>
      </c>
      <c r="AN70" s="562">
        <v>8</v>
      </c>
      <c r="AO70" s="560">
        <v>8</v>
      </c>
      <c r="AP70" s="561">
        <v>8</v>
      </c>
      <c r="AQ70" s="561">
        <v>8</v>
      </c>
      <c r="AR70" s="561">
        <v>8</v>
      </c>
      <c r="AS70" s="561">
        <v>8</v>
      </c>
      <c r="AT70" s="562">
        <v>8</v>
      </c>
      <c r="AU70" s="560">
        <v>8</v>
      </c>
      <c r="AV70" s="561">
        <v>8</v>
      </c>
      <c r="AW70" s="561">
        <v>8</v>
      </c>
      <c r="AX70" s="561">
        <v>8</v>
      </c>
      <c r="AY70" s="561">
        <v>8</v>
      </c>
      <c r="AZ70" s="562">
        <v>8</v>
      </c>
      <c r="BA70" s="560">
        <v>8</v>
      </c>
      <c r="BB70" s="561">
        <v>8</v>
      </c>
      <c r="BC70" s="561">
        <v>8</v>
      </c>
      <c r="BD70" s="561">
        <v>8</v>
      </c>
      <c r="BE70" s="561">
        <v>8</v>
      </c>
      <c r="BF70" s="562">
        <v>8</v>
      </c>
      <c r="BG70" s="466"/>
    </row>
    <row r="71" spans="2:59" ht="16.5" thickTop="1" x14ac:dyDescent="0.25">
      <c r="V71" s="394">
        <v>1</v>
      </c>
      <c r="W71" s="554">
        <v>8</v>
      </c>
      <c r="X71" s="555">
        <v>8</v>
      </c>
      <c r="Y71" s="555">
        <v>8</v>
      </c>
      <c r="Z71" s="555">
        <v>8</v>
      </c>
      <c r="AA71" s="555">
        <v>8</v>
      </c>
      <c r="AB71" s="556">
        <v>8</v>
      </c>
      <c r="AC71" s="554">
        <v>8</v>
      </c>
      <c r="AD71" s="555">
        <v>8</v>
      </c>
      <c r="AE71" s="555">
        <v>8</v>
      </c>
      <c r="AF71" s="555">
        <v>8</v>
      </c>
      <c r="AG71" s="555">
        <v>8</v>
      </c>
      <c r="AH71" s="556">
        <v>8</v>
      </c>
      <c r="AI71" s="554">
        <v>8</v>
      </c>
      <c r="AJ71" s="555">
        <v>8</v>
      </c>
      <c r="AK71" s="555">
        <v>8</v>
      </c>
      <c r="AL71" s="555">
        <v>8</v>
      </c>
      <c r="AM71" s="555">
        <v>8</v>
      </c>
      <c r="AN71" s="556">
        <v>8</v>
      </c>
      <c r="AO71" s="554">
        <v>8</v>
      </c>
      <c r="AP71" s="555">
        <v>8</v>
      </c>
      <c r="AQ71" s="555">
        <v>8</v>
      </c>
      <c r="AR71" s="555">
        <v>8</v>
      </c>
      <c r="AS71" s="555">
        <v>8</v>
      </c>
      <c r="AT71" s="556">
        <v>8</v>
      </c>
      <c r="AU71" s="554">
        <v>8</v>
      </c>
      <c r="AV71" s="555">
        <v>8</v>
      </c>
      <c r="AW71" s="555">
        <v>8</v>
      </c>
      <c r="AX71" s="555">
        <v>8</v>
      </c>
      <c r="AY71" s="555">
        <v>8</v>
      </c>
      <c r="AZ71" s="556">
        <v>8</v>
      </c>
      <c r="BA71" s="554">
        <v>8</v>
      </c>
      <c r="BB71" s="555">
        <v>8</v>
      </c>
      <c r="BC71" s="555">
        <v>8</v>
      </c>
      <c r="BD71" s="555">
        <v>8</v>
      </c>
      <c r="BE71" s="555">
        <v>8</v>
      </c>
      <c r="BF71" s="556">
        <v>8</v>
      </c>
      <c r="BG71" s="465">
        <v>5</v>
      </c>
    </row>
    <row r="72" spans="2:59" x14ac:dyDescent="0.25">
      <c r="V72" s="394">
        <v>2</v>
      </c>
      <c r="W72" s="557">
        <v>8</v>
      </c>
      <c r="X72" s="558">
        <v>8</v>
      </c>
      <c r="Y72" s="558">
        <v>8</v>
      </c>
      <c r="Z72" s="558">
        <v>8</v>
      </c>
      <c r="AA72" s="558">
        <v>8</v>
      </c>
      <c r="AB72" s="559">
        <v>8</v>
      </c>
      <c r="AC72" s="557">
        <v>8</v>
      </c>
      <c r="AD72" s="558">
        <v>8</v>
      </c>
      <c r="AE72" s="558">
        <v>8</v>
      </c>
      <c r="AF72" s="558">
        <v>8</v>
      </c>
      <c r="AG72" s="558">
        <v>8</v>
      </c>
      <c r="AH72" s="559">
        <v>8</v>
      </c>
      <c r="AI72" s="557">
        <v>8</v>
      </c>
      <c r="AJ72" s="558">
        <v>8</v>
      </c>
      <c r="AK72" s="558">
        <v>8</v>
      </c>
      <c r="AL72" s="558">
        <v>8</v>
      </c>
      <c r="AM72" s="558">
        <v>8</v>
      </c>
      <c r="AN72" s="559">
        <v>8</v>
      </c>
      <c r="AO72" s="557">
        <v>8</v>
      </c>
      <c r="AP72" s="558">
        <v>8</v>
      </c>
      <c r="AQ72" s="558">
        <v>8</v>
      </c>
      <c r="AR72" s="558">
        <v>8</v>
      </c>
      <c r="AS72" s="558">
        <v>8</v>
      </c>
      <c r="AT72" s="559">
        <v>8</v>
      </c>
      <c r="AU72" s="557">
        <v>8</v>
      </c>
      <c r="AV72" s="558">
        <v>8</v>
      </c>
      <c r="AW72" s="558">
        <v>8</v>
      </c>
      <c r="AX72" s="558">
        <v>8</v>
      </c>
      <c r="AY72" s="558">
        <v>8</v>
      </c>
      <c r="AZ72" s="559">
        <v>8</v>
      </c>
      <c r="BA72" s="557">
        <v>8</v>
      </c>
      <c r="BB72" s="558">
        <v>8</v>
      </c>
      <c r="BC72" s="558">
        <v>8</v>
      </c>
      <c r="BD72" s="558">
        <v>8</v>
      </c>
      <c r="BE72" s="558">
        <v>8</v>
      </c>
      <c r="BF72" s="559">
        <v>8</v>
      </c>
      <c r="BG72" s="466"/>
    </row>
    <row r="73" spans="2:59" hidden="1" x14ac:dyDescent="0.25">
      <c r="V73" s="394">
        <v>3</v>
      </c>
      <c r="W73" s="557">
        <v>8</v>
      </c>
      <c r="X73" s="558">
        <v>8</v>
      </c>
      <c r="Y73" s="558">
        <v>8</v>
      </c>
      <c r="Z73" s="558">
        <v>8</v>
      </c>
      <c r="AA73" s="558">
        <v>8</v>
      </c>
      <c r="AB73" s="559">
        <v>8</v>
      </c>
      <c r="AC73" s="557">
        <v>8</v>
      </c>
      <c r="AD73" s="558">
        <v>8</v>
      </c>
      <c r="AE73" s="558">
        <v>8</v>
      </c>
      <c r="AF73" s="558">
        <v>8</v>
      </c>
      <c r="AG73" s="558">
        <v>8</v>
      </c>
      <c r="AH73" s="559">
        <v>8</v>
      </c>
      <c r="AI73" s="557">
        <v>8</v>
      </c>
      <c r="AJ73" s="558">
        <v>8</v>
      </c>
      <c r="AK73" s="558">
        <v>8</v>
      </c>
      <c r="AL73" s="558">
        <v>8</v>
      </c>
      <c r="AM73" s="558">
        <v>8</v>
      </c>
      <c r="AN73" s="559">
        <v>8</v>
      </c>
      <c r="AO73" s="557">
        <v>8</v>
      </c>
      <c r="AP73" s="558">
        <v>8</v>
      </c>
      <c r="AQ73" s="558">
        <v>8</v>
      </c>
      <c r="AR73" s="558">
        <v>8</v>
      </c>
      <c r="AS73" s="558">
        <v>8</v>
      </c>
      <c r="AT73" s="559">
        <v>8</v>
      </c>
      <c r="AU73" s="557">
        <v>8</v>
      </c>
      <c r="AV73" s="558">
        <v>8</v>
      </c>
      <c r="AW73" s="558">
        <v>8</v>
      </c>
      <c r="AX73" s="558">
        <v>8</v>
      </c>
      <c r="AY73" s="558">
        <v>8</v>
      </c>
      <c r="AZ73" s="559">
        <v>8</v>
      </c>
      <c r="BA73" s="557">
        <v>8</v>
      </c>
      <c r="BB73" s="558">
        <v>8</v>
      </c>
      <c r="BC73" s="558">
        <v>8</v>
      </c>
      <c r="BD73" s="558">
        <v>8</v>
      </c>
      <c r="BE73" s="558">
        <v>8</v>
      </c>
      <c r="BF73" s="559">
        <v>8</v>
      </c>
      <c r="BG73" s="466"/>
    </row>
    <row r="74" spans="2:59" hidden="1" x14ac:dyDescent="0.25">
      <c r="V74" s="394">
        <v>4</v>
      </c>
      <c r="W74" s="557">
        <v>8</v>
      </c>
      <c r="X74" s="558">
        <v>8</v>
      </c>
      <c r="Y74" s="558">
        <v>8</v>
      </c>
      <c r="Z74" s="558">
        <v>8</v>
      </c>
      <c r="AA74" s="558">
        <v>8</v>
      </c>
      <c r="AB74" s="559">
        <v>8</v>
      </c>
      <c r="AC74" s="557">
        <v>8</v>
      </c>
      <c r="AD74" s="558">
        <v>8</v>
      </c>
      <c r="AE74" s="558">
        <v>8</v>
      </c>
      <c r="AF74" s="558">
        <v>8</v>
      </c>
      <c r="AG74" s="558">
        <v>8</v>
      </c>
      <c r="AH74" s="559">
        <v>8</v>
      </c>
      <c r="AI74" s="557">
        <v>8</v>
      </c>
      <c r="AJ74" s="558">
        <v>8</v>
      </c>
      <c r="AK74" s="558">
        <v>8</v>
      </c>
      <c r="AL74" s="558">
        <v>8</v>
      </c>
      <c r="AM74" s="558">
        <v>8</v>
      </c>
      <c r="AN74" s="559">
        <v>8</v>
      </c>
      <c r="AO74" s="557">
        <v>8</v>
      </c>
      <c r="AP74" s="558">
        <v>8</v>
      </c>
      <c r="AQ74" s="558">
        <v>8</v>
      </c>
      <c r="AR74" s="558">
        <v>8</v>
      </c>
      <c r="AS74" s="558">
        <v>8</v>
      </c>
      <c r="AT74" s="559">
        <v>8</v>
      </c>
      <c r="AU74" s="557">
        <v>8</v>
      </c>
      <c r="AV74" s="558">
        <v>8</v>
      </c>
      <c r="AW74" s="558">
        <v>8</v>
      </c>
      <c r="AX74" s="558">
        <v>8</v>
      </c>
      <c r="AY74" s="558">
        <v>8</v>
      </c>
      <c r="AZ74" s="559">
        <v>8</v>
      </c>
      <c r="BA74" s="557">
        <v>8</v>
      </c>
      <c r="BB74" s="558">
        <v>8</v>
      </c>
      <c r="BC74" s="558">
        <v>8</v>
      </c>
      <c r="BD74" s="558">
        <v>8</v>
      </c>
      <c r="BE74" s="558">
        <v>8</v>
      </c>
      <c r="BF74" s="559">
        <v>8</v>
      </c>
      <c r="BG74" s="466"/>
    </row>
    <row r="75" spans="2:59" hidden="1" x14ac:dyDescent="0.25">
      <c r="V75" s="394">
        <v>5</v>
      </c>
      <c r="W75" s="557">
        <v>8</v>
      </c>
      <c r="X75" s="558">
        <v>8</v>
      </c>
      <c r="Y75" s="558">
        <v>8</v>
      </c>
      <c r="Z75" s="558">
        <v>8</v>
      </c>
      <c r="AA75" s="558">
        <v>8</v>
      </c>
      <c r="AB75" s="559">
        <v>8</v>
      </c>
      <c r="AC75" s="557">
        <v>8</v>
      </c>
      <c r="AD75" s="558">
        <v>8</v>
      </c>
      <c r="AE75" s="558">
        <v>8</v>
      </c>
      <c r="AF75" s="558">
        <v>8</v>
      </c>
      <c r="AG75" s="558">
        <v>8</v>
      </c>
      <c r="AH75" s="559">
        <v>8</v>
      </c>
      <c r="AI75" s="557">
        <v>8</v>
      </c>
      <c r="AJ75" s="558">
        <v>8</v>
      </c>
      <c r="AK75" s="558">
        <v>8</v>
      </c>
      <c r="AL75" s="558">
        <v>8</v>
      </c>
      <c r="AM75" s="558">
        <v>8</v>
      </c>
      <c r="AN75" s="559">
        <v>8</v>
      </c>
      <c r="AO75" s="557">
        <v>8</v>
      </c>
      <c r="AP75" s="558">
        <v>8</v>
      </c>
      <c r="AQ75" s="558">
        <v>8</v>
      </c>
      <c r="AR75" s="558">
        <v>8</v>
      </c>
      <c r="AS75" s="558">
        <v>8</v>
      </c>
      <c r="AT75" s="559">
        <v>8</v>
      </c>
      <c r="AU75" s="557">
        <v>8</v>
      </c>
      <c r="AV75" s="558">
        <v>8</v>
      </c>
      <c r="AW75" s="558">
        <v>8</v>
      </c>
      <c r="AX75" s="558">
        <v>8</v>
      </c>
      <c r="AY75" s="558">
        <v>6</v>
      </c>
      <c r="AZ75" s="559">
        <v>5</v>
      </c>
      <c r="BA75" s="557">
        <v>8</v>
      </c>
      <c r="BB75" s="558">
        <v>8</v>
      </c>
      <c r="BC75" s="558">
        <v>8</v>
      </c>
      <c r="BD75" s="558">
        <v>8</v>
      </c>
      <c r="BE75" s="558">
        <v>5</v>
      </c>
      <c r="BF75" s="559">
        <v>6</v>
      </c>
      <c r="BG75" s="466"/>
    </row>
    <row r="76" spans="2:59" ht="16.5" hidden="1" thickBot="1" x14ac:dyDescent="0.3">
      <c r="V76" s="395">
        <v>6</v>
      </c>
      <c r="W76" s="560">
        <v>8</v>
      </c>
      <c r="X76" s="561">
        <v>8</v>
      </c>
      <c r="Y76" s="561">
        <v>8</v>
      </c>
      <c r="Z76" s="561">
        <v>8</v>
      </c>
      <c r="AA76" s="561">
        <v>8</v>
      </c>
      <c r="AB76" s="562">
        <v>8</v>
      </c>
      <c r="AC76" s="560">
        <v>8</v>
      </c>
      <c r="AD76" s="561">
        <v>8</v>
      </c>
      <c r="AE76" s="561">
        <v>8</v>
      </c>
      <c r="AF76" s="561">
        <v>8</v>
      </c>
      <c r="AG76" s="561">
        <v>8</v>
      </c>
      <c r="AH76" s="562">
        <v>8</v>
      </c>
      <c r="AI76" s="560">
        <v>8</v>
      </c>
      <c r="AJ76" s="561">
        <v>8</v>
      </c>
      <c r="AK76" s="561">
        <v>8</v>
      </c>
      <c r="AL76" s="561">
        <v>8</v>
      </c>
      <c r="AM76" s="561">
        <v>8</v>
      </c>
      <c r="AN76" s="562">
        <v>8</v>
      </c>
      <c r="AO76" s="560">
        <v>8</v>
      </c>
      <c r="AP76" s="561">
        <v>8</v>
      </c>
      <c r="AQ76" s="561">
        <v>8</v>
      </c>
      <c r="AR76" s="561">
        <v>8</v>
      </c>
      <c r="AS76" s="561">
        <v>8</v>
      </c>
      <c r="AT76" s="562">
        <v>8</v>
      </c>
      <c r="AU76" s="560">
        <v>8</v>
      </c>
      <c r="AV76" s="561">
        <v>8</v>
      </c>
      <c r="AW76" s="561">
        <v>8</v>
      </c>
      <c r="AX76" s="561">
        <v>8</v>
      </c>
      <c r="AY76" s="561">
        <v>5</v>
      </c>
      <c r="AZ76" s="562">
        <v>6</v>
      </c>
      <c r="BA76" s="560">
        <v>8</v>
      </c>
      <c r="BB76" s="561">
        <v>8</v>
      </c>
      <c r="BC76" s="561">
        <v>8</v>
      </c>
      <c r="BD76" s="561">
        <v>8</v>
      </c>
      <c r="BE76" s="561">
        <v>6</v>
      </c>
      <c r="BF76" s="562">
        <v>6</v>
      </c>
      <c r="BG76" s="466"/>
    </row>
    <row r="77" spans="2:59" ht="16.5" hidden="1" thickTop="1" x14ac:dyDescent="0.25">
      <c r="V77" s="394">
        <v>1</v>
      </c>
      <c r="W77" s="554">
        <v>8</v>
      </c>
      <c r="X77" s="555">
        <v>8</v>
      </c>
      <c r="Y77" s="555">
        <v>8</v>
      </c>
      <c r="Z77" s="555">
        <v>8</v>
      </c>
      <c r="AA77" s="555">
        <v>8</v>
      </c>
      <c r="AB77" s="556">
        <v>8</v>
      </c>
      <c r="AC77" s="554">
        <v>8</v>
      </c>
      <c r="AD77" s="555">
        <v>8</v>
      </c>
      <c r="AE77" s="555">
        <v>8</v>
      </c>
      <c r="AF77" s="555">
        <v>8</v>
      </c>
      <c r="AG77" s="555">
        <v>8</v>
      </c>
      <c r="AH77" s="556">
        <v>8</v>
      </c>
      <c r="AI77" s="554">
        <v>8</v>
      </c>
      <c r="AJ77" s="555">
        <v>8</v>
      </c>
      <c r="AK77" s="555">
        <v>8</v>
      </c>
      <c r="AL77" s="555">
        <v>8</v>
      </c>
      <c r="AM77" s="555">
        <v>8</v>
      </c>
      <c r="AN77" s="556">
        <v>8</v>
      </c>
      <c r="AO77" s="554">
        <v>8</v>
      </c>
      <c r="AP77" s="555">
        <v>8</v>
      </c>
      <c r="AQ77" s="555">
        <v>8</v>
      </c>
      <c r="AR77" s="555">
        <v>8</v>
      </c>
      <c r="AS77" s="555">
        <v>8</v>
      </c>
      <c r="AT77" s="556">
        <v>8</v>
      </c>
      <c r="AU77" s="554">
        <v>8</v>
      </c>
      <c r="AV77" s="555">
        <v>8</v>
      </c>
      <c r="AW77" s="555">
        <v>8</v>
      </c>
      <c r="AX77" s="555">
        <v>8</v>
      </c>
      <c r="AY77" s="555">
        <v>8</v>
      </c>
      <c r="AZ77" s="556">
        <v>8</v>
      </c>
      <c r="BA77" s="554">
        <v>8</v>
      </c>
      <c r="BB77" s="555">
        <v>8</v>
      </c>
      <c r="BC77" s="555">
        <v>8</v>
      </c>
      <c r="BD77" s="555">
        <v>8</v>
      </c>
      <c r="BE77" s="555">
        <v>8</v>
      </c>
      <c r="BF77" s="556">
        <v>8</v>
      </c>
      <c r="BG77" s="465">
        <v>6</v>
      </c>
    </row>
    <row r="78" spans="2:59" hidden="1" x14ac:dyDescent="0.25">
      <c r="V78" s="394">
        <v>2</v>
      </c>
      <c r="W78" s="557">
        <v>8</v>
      </c>
      <c r="X78" s="558">
        <v>8</v>
      </c>
      <c r="Y78" s="558">
        <v>8</v>
      </c>
      <c r="Z78" s="558">
        <v>8</v>
      </c>
      <c r="AA78" s="558">
        <v>8</v>
      </c>
      <c r="AB78" s="559">
        <v>8</v>
      </c>
      <c r="AC78" s="557">
        <v>8</v>
      </c>
      <c r="AD78" s="558">
        <v>8</v>
      </c>
      <c r="AE78" s="558">
        <v>8</v>
      </c>
      <c r="AF78" s="558">
        <v>8</v>
      </c>
      <c r="AG78" s="558">
        <v>8</v>
      </c>
      <c r="AH78" s="559">
        <v>8</v>
      </c>
      <c r="AI78" s="557">
        <v>8</v>
      </c>
      <c r="AJ78" s="558">
        <v>8</v>
      </c>
      <c r="AK78" s="558">
        <v>8</v>
      </c>
      <c r="AL78" s="558">
        <v>8</v>
      </c>
      <c r="AM78" s="558">
        <v>8</v>
      </c>
      <c r="AN78" s="559">
        <v>8</v>
      </c>
      <c r="AO78" s="557">
        <v>8</v>
      </c>
      <c r="AP78" s="558">
        <v>8</v>
      </c>
      <c r="AQ78" s="558">
        <v>8</v>
      </c>
      <c r="AR78" s="558">
        <v>8</v>
      </c>
      <c r="AS78" s="558">
        <v>8</v>
      </c>
      <c r="AT78" s="559">
        <v>8</v>
      </c>
      <c r="AU78" s="557">
        <v>8</v>
      </c>
      <c r="AV78" s="558">
        <v>8</v>
      </c>
      <c r="AW78" s="558">
        <v>8</v>
      </c>
      <c r="AX78" s="558">
        <v>8</v>
      </c>
      <c r="AY78" s="558">
        <v>8</v>
      </c>
      <c r="AZ78" s="559">
        <v>8</v>
      </c>
      <c r="BA78" s="557">
        <v>8</v>
      </c>
      <c r="BB78" s="558">
        <v>8</v>
      </c>
      <c r="BC78" s="558">
        <v>8</v>
      </c>
      <c r="BD78" s="558">
        <v>8</v>
      </c>
      <c r="BE78" s="558">
        <v>8</v>
      </c>
      <c r="BF78" s="559">
        <v>8</v>
      </c>
    </row>
    <row r="79" spans="2:59" hidden="1" x14ac:dyDescent="0.25">
      <c r="V79" s="394">
        <v>3</v>
      </c>
      <c r="W79" s="557">
        <v>8</v>
      </c>
      <c r="X79" s="558">
        <v>8</v>
      </c>
      <c r="Y79" s="558">
        <v>8</v>
      </c>
      <c r="Z79" s="558">
        <v>8</v>
      </c>
      <c r="AA79" s="558">
        <v>8</v>
      </c>
      <c r="AB79" s="559">
        <v>8</v>
      </c>
      <c r="AC79" s="557">
        <v>8</v>
      </c>
      <c r="AD79" s="558">
        <v>8</v>
      </c>
      <c r="AE79" s="558">
        <v>8</v>
      </c>
      <c r="AF79" s="558">
        <v>8</v>
      </c>
      <c r="AG79" s="558">
        <v>8</v>
      </c>
      <c r="AH79" s="559">
        <v>8</v>
      </c>
      <c r="AI79" s="557">
        <v>8</v>
      </c>
      <c r="AJ79" s="558">
        <v>8</v>
      </c>
      <c r="AK79" s="558">
        <v>8</v>
      </c>
      <c r="AL79" s="558">
        <v>8</v>
      </c>
      <c r="AM79" s="558">
        <v>8</v>
      </c>
      <c r="AN79" s="559">
        <v>8</v>
      </c>
      <c r="AO79" s="557">
        <v>8</v>
      </c>
      <c r="AP79" s="558">
        <v>8</v>
      </c>
      <c r="AQ79" s="558">
        <v>8</v>
      </c>
      <c r="AR79" s="558">
        <v>8</v>
      </c>
      <c r="AS79" s="558">
        <v>8</v>
      </c>
      <c r="AT79" s="559">
        <v>8</v>
      </c>
      <c r="AU79" s="557">
        <v>8</v>
      </c>
      <c r="AV79" s="558">
        <v>8</v>
      </c>
      <c r="AW79" s="558">
        <v>8</v>
      </c>
      <c r="AX79" s="558">
        <v>8</v>
      </c>
      <c r="AY79" s="558">
        <v>8</v>
      </c>
      <c r="AZ79" s="559">
        <v>8</v>
      </c>
      <c r="BA79" s="557">
        <v>8</v>
      </c>
      <c r="BB79" s="558">
        <v>8</v>
      </c>
      <c r="BC79" s="558">
        <v>8</v>
      </c>
      <c r="BD79" s="558">
        <v>8</v>
      </c>
      <c r="BE79" s="558">
        <v>8</v>
      </c>
      <c r="BF79" s="559">
        <v>8</v>
      </c>
    </row>
    <row r="80" spans="2:59" hidden="1" x14ac:dyDescent="0.25">
      <c r="V80" s="394">
        <v>4</v>
      </c>
      <c r="W80" s="557">
        <v>8</v>
      </c>
      <c r="X80" s="558">
        <v>8</v>
      </c>
      <c r="Y80" s="558">
        <v>8</v>
      </c>
      <c r="Z80" s="558">
        <v>8</v>
      </c>
      <c r="AA80" s="558">
        <v>8</v>
      </c>
      <c r="AB80" s="559">
        <v>8</v>
      </c>
      <c r="AC80" s="557">
        <v>8</v>
      </c>
      <c r="AD80" s="558">
        <v>8</v>
      </c>
      <c r="AE80" s="558">
        <v>8</v>
      </c>
      <c r="AF80" s="558">
        <v>8</v>
      </c>
      <c r="AG80" s="558">
        <v>8</v>
      </c>
      <c r="AH80" s="559">
        <v>8</v>
      </c>
      <c r="AI80" s="557">
        <v>8</v>
      </c>
      <c r="AJ80" s="558">
        <v>8</v>
      </c>
      <c r="AK80" s="558">
        <v>8</v>
      </c>
      <c r="AL80" s="558">
        <v>8</v>
      </c>
      <c r="AM80" s="558">
        <v>8</v>
      </c>
      <c r="AN80" s="559">
        <v>8</v>
      </c>
      <c r="AO80" s="557">
        <v>8</v>
      </c>
      <c r="AP80" s="558">
        <v>8</v>
      </c>
      <c r="AQ80" s="558">
        <v>8</v>
      </c>
      <c r="AR80" s="558">
        <v>8</v>
      </c>
      <c r="AS80" s="558">
        <v>8</v>
      </c>
      <c r="AT80" s="559">
        <v>8</v>
      </c>
      <c r="AU80" s="557">
        <v>8</v>
      </c>
      <c r="AV80" s="558">
        <v>8</v>
      </c>
      <c r="AW80" s="558">
        <v>8</v>
      </c>
      <c r="AX80" s="558">
        <v>8</v>
      </c>
      <c r="AY80" s="558">
        <v>8</v>
      </c>
      <c r="AZ80" s="559">
        <v>8</v>
      </c>
      <c r="BA80" s="557">
        <v>8</v>
      </c>
      <c r="BB80" s="558">
        <v>8</v>
      </c>
      <c r="BC80" s="558">
        <v>8</v>
      </c>
      <c r="BD80" s="558">
        <v>8</v>
      </c>
      <c r="BE80" s="558">
        <v>8</v>
      </c>
      <c r="BF80" s="559">
        <v>8</v>
      </c>
    </row>
    <row r="81" spans="22:58" hidden="1" x14ac:dyDescent="0.25">
      <c r="V81" s="394">
        <v>5</v>
      </c>
      <c r="W81" s="557">
        <v>8</v>
      </c>
      <c r="X81" s="558">
        <v>8</v>
      </c>
      <c r="Y81" s="558">
        <v>8</v>
      </c>
      <c r="Z81" s="558">
        <v>8</v>
      </c>
      <c r="AA81" s="558">
        <v>8</v>
      </c>
      <c r="AB81" s="559">
        <v>8</v>
      </c>
      <c r="AC81" s="557">
        <v>8</v>
      </c>
      <c r="AD81" s="558">
        <v>8</v>
      </c>
      <c r="AE81" s="558">
        <v>8</v>
      </c>
      <c r="AF81" s="558">
        <v>8</v>
      </c>
      <c r="AG81" s="558">
        <v>8</v>
      </c>
      <c r="AH81" s="559">
        <v>8</v>
      </c>
      <c r="AI81" s="557">
        <v>8</v>
      </c>
      <c r="AJ81" s="558">
        <v>8</v>
      </c>
      <c r="AK81" s="558">
        <v>8</v>
      </c>
      <c r="AL81" s="558">
        <v>8</v>
      </c>
      <c r="AM81" s="558">
        <v>8</v>
      </c>
      <c r="AN81" s="559">
        <v>8</v>
      </c>
      <c r="AO81" s="557">
        <v>8</v>
      </c>
      <c r="AP81" s="558">
        <v>8</v>
      </c>
      <c r="AQ81" s="558">
        <v>8</v>
      </c>
      <c r="AR81" s="558">
        <v>8</v>
      </c>
      <c r="AS81" s="558">
        <v>8</v>
      </c>
      <c r="AT81" s="559">
        <v>8</v>
      </c>
      <c r="AU81" s="557">
        <v>8</v>
      </c>
      <c r="AV81" s="558">
        <v>8</v>
      </c>
      <c r="AW81" s="558">
        <v>8</v>
      </c>
      <c r="AX81" s="558">
        <v>8</v>
      </c>
      <c r="AY81" s="558">
        <v>5</v>
      </c>
      <c r="AZ81" s="559">
        <v>6</v>
      </c>
      <c r="BA81" s="557">
        <v>8</v>
      </c>
      <c r="BB81" s="558">
        <v>8</v>
      </c>
      <c r="BC81" s="558">
        <v>8</v>
      </c>
      <c r="BD81" s="558">
        <v>8</v>
      </c>
      <c r="BE81" s="558">
        <v>6</v>
      </c>
      <c r="BF81" s="559">
        <v>6</v>
      </c>
    </row>
    <row r="82" spans="22:58" ht="16.5" hidden="1" thickBot="1" x14ac:dyDescent="0.3">
      <c r="V82" s="395">
        <v>6</v>
      </c>
      <c r="W82" s="560">
        <v>8</v>
      </c>
      <c r="X82" s="561">
        <v>8</v>
      </c>
      <c r="Y82" s="561">
        <v>8</v>
      </c>
      <c r="Z82" s="561">
        <v>8</v>
      </c>
      <c r="AA82" s="561">
        <v>8</v>
      </c>
      <c r="AB82" s="562">
        <v>8</v>
      </c>
      <c r="AC82" s="560">
        <v>8</v>
      </c>
      <c r="AD82" s="561">
        <v>8</v>
      </c>
      <c r="AE82" s="561">
        <v>8</v>
      </c>
      <c r="AF82" s="561">
        <v>8</v>
      </c>
      <c r="AG82" s="561">
        <v>8</v>
      </c>
      <c r="AH82" s="562">
        <v>8</v>
      </c>
      <c r="AI82" s="560">
        <v>8</v>
      </c>
      <c r="AJ82" s="561">
        <v>8</v>
      </c>
      <c r="AK82" s="561">
        <v>8</v>
      </c>
      <c r="AL82" s="561">
        <v>8</v>
      </c>
      <c r="AM82" s="561">
        <v>8</v>
      </c>
      <c r="AN82" s="562">
        <v>8</v>
      </c>
      <c r="AO82" s="560">
        <v>8</v>
      </c>
      <c r="AP82" s="561">
        <v>8</v>
      </c>
      <c r="AQ82" s="561">
        <v>8</v>
      </c>
      <c r="AR82" s="561">
        <v>8</v>
      </c>
      <c r="AS82" s="561">
        <v>8</v>
      </c>
      <c r="AT82" s="562">
        <v>8</v>
      </c>
      <c r="AU82" s="560">
        <v>8</v>
      </c>
      <c r="AV82" s="561">
        <v>8</v>
      </c>
      <c r="AW82" s="561">
        <v>8</v>
      </c>
      <c r="AX82" s="561">
        <v>8</v>
      </c>
      <c r="AY82" s="561">
        <v>6</v>
      </c>
      <c r="AZ82" s="562">
        <v>6</v>
      </c>
      <c r="BA82" s="560">
        <v>8</v>
      </c>
      <c r="BB82" s="561">
        <v>8</v>
      </c>
      <c r="BC82" s="561">
        <v>8</v>
      </c>
      <c r="BD82" s="561">
        <v>8</v>
      </c>
      <c r="BE82" s="561">
        <v>6</v>
      </c>
      <c r="BF82" s="562">
        <v>6</v>
      </c>
    </row>
    <row r="83" spans="22:58" ht="16.5" hidden="1" thickTop="1" x14ac:dyDescent="0.25"/>
  </sheetData>
  <sheetProtection sheet="1" selectLockedCells="1"/>
  <mergeCells count="85">
    <mergeCell ref="Q26:S26"/>
    <mergeCell ref="B66:B67"/>
    <mergeCell ref="C66:C67"/>
    <mergeCell ref="B68:B69"/>
    <mergeCell ref="C68:C69"/>
    <mergeCell ref="B60:B61"/>
    <mergeCell ref="C60:C61"/>
    <mergeCell ref="B62:B63"/>
    <mergeCell ref="C62:C63"/>
    <mergeCell ref="B64:B65"/>
    <mergeCell ref="C64:C65"/>
    <mergeCell ref="B54:B55"/>
    <mergeCell ref="C54:C55"/>
    <mergeCell ref="B56:B57"/>
    <mergeCell ref="C56:C57"/>
    <mergeCell ref="B58:B59"/>
    <mergeCell ref="C58:C59"/>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 ref="B41:B42"/>
    <mergeCell ref="C41:C42"/>
    <mergeCell ref="E2:N2"/>
    <mergeCell ref="E4:F4"/>
    <mergeCell ref="O4:O5"/>
    <mergeCell ref="B5:B6"/>
    <mergeCell ref="C5:C6"/>
    <mergeCell ref="I5:K5"/>
    <mergeCell ref="L5:N5"/>
    <mergeCell ref="Q5:Q6"/>
    <mergeCell ref="R5:R6"/>
    <mergeCell ref="S5:S6"/>
    <mergeCell ref="B7:B8"/>
    <mergeCell ref="C7:C8"/>
    <mergeCell ref="Q7:Q8"/>
    <mergeCell ref="R7:R8"/>
    <mergeCell ref="S7:S8"/>
    <mergeCell ref="R9:R10"/>
    <mergeCell ref="S9:S10"/>
    <mergeCell ref="B11:B12"/>
    <mergeCell ref="C11:C12"/>
    <mergeCell ref="Q11:Q12"/>
    <mergeCell ref="R11:R12"/>
    <mergeCell ref="S11:S12"/>
    <mergeCell ref="B9:B10"/>
    <mergeCell ref="C9:C10"/>
    <mergeCell ref="Q9:Q10"/>
    <mergeCell ref="B13:B14"/>
    <mergeCell ref="C13:C14"/>
    <mergeCell ref="Q13:Q14"/>
    <mergeCell ref="R13:R14"/>
    <mergeCell ref="S13:S14"/>
    <mergeCell ref="C17:C18"/>
    <mergeCell ref="B20:B21"/>
    <mergeCell ref="C20:C21"/>
    <mergeCell ref="B15:B16"/>
    <mergeCell ref="C15:C16"/>
    <mergeCell ref="B17:B18"/>
    <mergeCell ref="Q22:S23"/>
    <mergeCell ref="B34:B35"/>
    <mergeCell ref="C34:C35"/>
    <mergeCell ref="B28:B29"/>
    <mergeCell ref="C28:C29"/>
    <mergeCell ref="B30:B31"/>
    <mergeCell ref="C30:C31"/>
    <mergeCell ref="B32:B33"/>
    <mergeCell ref="C32:C33"/>
    <mergeCell ref="B22:B23"/>
    <mergeCell ref="C22:C23"/>
    <mergeCell ref="B24:B25"/>
    <mergeCell ref="C24:C25"/>
    <mergeCell ref="B26:B27"/>
    <mergeCell ref="C26:C27"/>
    <mergeCell ref="Q25:S25"/>
  </mergeCells>
  <conditionalFormatting sqref="Q22:S23">
    <cfRule type="expression" dxfId="48" priority="55">
      <formula>$R$11&gt;$U$11</formula>
    </cfRule>
  </conditionalFormatting>
  <conditionalFormatting sqref="C7:C18 C24:C35 C41:C52 C58:C69">
    <cfRule type="duplicateValues" dxfId="47" priority="12"/>
  </conditionalFormatting>
  <conditionalFormatting sqref="W6:BF41">
    <cfRule type="expression" dxfId="46" priority="7">
      <formula>W6&lt;7</formula>
    </cfRule>
  </conditionalFormatting>
  <conditionalFormatting sqref="W47:BF82">
    <cfRule type="expression" dxfId="45" priority="4">
      <formula>W47&lt;7</formula>
    </cfRule>
  </conditionalFormatting>
  <conditionalFormatting sqref="H6:H65">
    <cfRule type="expression" dxfId="44" priority="3">
      <formula>$H6="??"</formula>
    </cfRule>
  </conditionalFormatting>
  <conditionalFormatting sqref="E6:N65">
    <cfRule type="expression" dxfId="43" priority="436">
      <formula>AND($L6&lt;&gt;"",$N6&lt;&gt;"",OR($E6=$R$24,$E6=$S$24),NOT($U$15))</formula>
    </cfRule>
    <cfRule type="expression" dxfId="42" priority="437">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42A0C-0C03-46E4-9ABA-C40AFE74DF7F}">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Sprache!$E$7</f>
        <v>Direkte Vergleiche</v>
      </c>
      <c r="C2" s="881"/>
      <c r="D2" s="881"/>
      <c r="E2" s="881"/>
      <c r="F2" s="881"/>
      <c r="G2" s="881"/>
      <c r="H2" s="881"/>
      <c r="I2" s="881"/>
      <c r="J2" s="881"/>
      <c r="K2" s="881"/>
      <c r="L2" s="881"/>
      <c r="M2" s="881"/>
    </row>
    <row r="3" spans="2:14" ht="42.75" customHeight="1" x14ac:dyDescent="0.2">
      <c r="B3" s="882" t="str">
        <f>Sprache!$E$56&amp;" D"</f>
        <v>Vorrunde Gruppe D</v>
      </c>
      <c r="C3" s="882"/>
      <c r="D3" s="882"/>
      <c r="E3" s="882"/>
      <c r="F3" s="882"/>
      <c r="G3" s="882"/>
      <c r="H3" s="882"/>
      <c r="I3" s="882"/>
      <c r="J3" s="882"/>
      <c r="K3" s="882"/>
      <c r="L3" s="882"/>
      <c r="M3" s="882"/>
    </row>
    <row r="4" spans="2:14" ht="17.25" customHeight="1" x14ac:dyDescent="0.2">
      <c r="B4" s="883" t="str">
        <f>Sprache!$E$109</f>
        <v>Rote Schrift bedeutet, dass die Rangfolge auch mit dem direkten Vergleich nicht geklärt ist. Fair Play oder Los muss hier entscheiden.</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IF(LEN(H7)&gt;Einstellungen!$C$17,LEFT(H7,Einstellungen!$C$17)&amp;".",H7)</f>
        <v/>
      </c>
      <c r="I6" s="151" t="str">
        <f ca="1">IF(LEN(I7)&gt;Einstellungen!$C$17,LEFT(I7,Einstellungen!$C$17)&amp;".",I7)</f>
        <v/>
      </c>
      <c r="J6" s="151" t="str">
        <f ca="1">IF(LEN(J7)&gt;Einstellungen!$C$17,LEFT(J7,Einstellungen!$C$17)&amp;".",J7)</f>
        <v/>
      </c>
      <c r="K6" s="151" t="str">
        <f ca="1">IF(LEN(K7)&gt;Einstellungen!$C$17,LEFT(K7,Einstellungen!$C$17)&amp;".",K7)</f>
        <v/>
      </c>
      <c r="L6" s="151" t="str">
        <f ca="1">IF(LEN(L7)&gt;Einstellungen!$C$17,LEFT(L7,Einstellungen!$C$17)&amp;".",L7)</f>
        <v/>
      </c>
      <c r="M6" s="152" t="str">
        <f ca="1">IF(LEN(M7)&gt;Einstellungen!$C$17,LEFT(M7,Einstellungen!$C$17)&amp;".",M7)</f>
        <v/>
      </c>
    </row>
    <row r="7" spans="2:14" ht="21.95" customHeight="1" thickTop="1" thickBot="1" x14ac:dyDescent="0.25">
      <c r="B7" s="119"/>
      <c r="C7" s="124" t="str">
        <f>Sprache!$E$10</f>
        <v>Teilnehmer bzw. Mannschaft</v>
      </c>
      <c r="D7" s="128" t="str">
        <f>Sprache!$E$27</f>
        <v>Pkt</v>
      </c>
      <c r="E7" s="116" t="str">
        <f>Sprache!$E$26</f>
        <v>Diff.</v>
      </c>
      <c r="F7" s="116" t="str">
        <f>Sprache!$E$28</f>
        <v>erz. Tore</v>
      </c>
      <c r="G7" s="153" t="str">
        <f>Sprache!$E$49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IF($C8="","",INDEX(Calc4!$E$4:$E$12,MATCH($C8,Calc4!$F$4:$F$12,0)))</f>
        <v/>
      </c>
      <c r="C8" s="125" t="str">
        <f ca="1">IF(Calc4!$K$13=0,"",Calc4!$X4)</f>
        <v/>
      </c>
      <c r="D8" s="129" t="str">
        <f ca="1">IF($C8="","",VLOOKUP($C8,Calc4!$C$17:$AC$25,25,0))</f>
        <v/>
      </c>
      <c r="E8" s="113" t="str">
        <f ca="1">IF($C8="","",VLOOKUP($C8,Calc4!$C$17:$AC$25,26,0))</f>
        <v/>
      </c>
      <c r="F8" s="113" t="str">
        <f ca="1">IF($C8="","",VLOOKUP($C8,Calc4!$C$17:$AC$25,27,0))</f>
        <v/>
      </c>
      <c r="G8" s="154" t="str">
        <f ca="1">IF($C8="","",VLOOKUP($C8,Vorrunde!$AH$12:$AI$47,2,0))</f>
        <v/>
      </c>
      <c r="H8" s="137"/>
      <c r="I8" s="113" t="str">
        <f ca="1">IFERROR(VLOOKUP($C8&amp;I$7,Calc4!$Z$64:$AB$207,3,0),"")</f>
        <v/>
      </c>
      <c r="J8" s="113" t="str">
        <f ca="1">IFERROR(VLOOKUP($C8&amp;J$7,Calc4!$Z$64:$AB$207,3,0),"")</f>
        <v/>
      </c>
      <c r="K8" s="113" t="str">
        <f ca="1">IFERROR(VLOOKUP($C8&amp;K$7,Calc4!$Z$64:$AB$207,3,0),"")</f>
        <v/>
      </c>
      <c r="L8" s="113" t="str">
        <f ca="1">IFERROR(VLOOKUP($C8&amp;L$7,Calc4!$Z$64:$AB$207,3,0),"")</f>
        <v/>
      </c>
      <c r="M8" s="158" t="str">
        <f ca="1">IFERROR(VLOOKUP($C8&amp;M$7,Calc4!$Z$64:$AB$207,3,0),"")</f>
        <v/>
      </c>
      <c r="N8" s="186" t="str">
        <f t="shared" ref="N8:N13" ca="1" si="0">C8</f>
        <v/>
      </c>
    </row>
    <row r="9" spans="2:14" ht="21.95" customHeight="1" x14ac:dyDescent="0.2">
      <c r="B9" s="117" t="str">
        <f ca="1">IF($C9="","",INDEX(Calc4!$E$4:$E$12,MATCH($C9,Calc4!$F$4:$F$12,0)))</f>
        <v/>
      </c>
      <c r="C9" s="126" t="str">
        <f ca="1">IF(Calc4!$K$13=0,"",Calc4!$X5)</f>
        <v/>
      </c>
      <c r="D9" s="130" t="str">
        <f ca="1">IF($C9="","",VLOOKUP($C9,Calc4!$C$17:$AC$25,25,0))</f>
        <v/>
      </c>
      <c r="E9" s="114" t="str">
        <f ca="1">IF($C9="","",VLOOKUP($C9,Calc4!$C$17:$AC$25,26,0))</f>
        <v/>
      </c>
      <c r="F9" s="114" t="str">
        <f ca="1">IF($C9="","",VLOOKUP($C9,Calc4!$C$17:$AC$25,27,0))</f>
        <v/>
      </c>
      <c r="G9" s="155" t="str">
        <f ca="1">IF($C9="","",VLOOKUP($C9,Vorrunde!$AH$12:$AI$47,2,0))</f>
        <v/>
      </c>
      <c r="H9" s="138" t="str">
        <f ca="1">IFERROR(VLOOKUP($C9&amp;H$7,Calc4!$Z$64:$AB$207,3,0),"")</f>
        <v/>
      </c>
      <c r="I9" s="123"/>
      <c r="J9" s="114" t="str">
        <f ca="1">IFERROR(VLOOKUP($C9&amp;J$7,Calc4!$Z$64:$AB$207,3,0),"")</f>
        <v/>
      </c>
      <c r="K9" s="114" t="str">
        <f ca="1">IFERROR(VLOOKUP($C9&amp;K$7,Calc4!$Z$64:$AB$207,3,0),"")</f>
        <v/>
      </c>
      <c r="L9" s="114" t="str">
        <f ca="1">IFERROR(VLOOKUP($C9&amp;L$7,Calc4!$Z$64:$AB$207,3,0),"")</f>
        <v/>
      </c>
      <c r="M9" s="159" t="str">
        <f ca="1">IFERROR(VLOOKUP($C9&amp;M$7,Calc4!$Z$64:$AB$207,3,0),"")</f>
        <v/>
      </c>
      <c r="N9" s="187" t="str">
        <f t="shared" ca="1" si="0"/>
        <v/>
      </c>
    </row>
    <row r="10" spans="2:14" ht="21.95" customHeight="1" x14ac:dyDescent="0.2">
      <c r="B10" s="117" t="str">
        <f ca="1">IF($C10="","",INDEX(Calc4!$E$4:$E$12,MATCH($C10,Calc4!$F$4:$F$12,0)))</f>
        <v/>
      </c>
      <c r="C10" s="126" t="str">
        <f ca="1">IF(Calc4!$K$13=0,"",Calc4!$X6)</f>
        <v/>
      </c>
      <c r="D10" s="130" t="str">
        <f ca="1">IF($C10="","",VLOOKUP($C10,Calc4!$C$17:$AC$25,25,0))</f>
        <v/>
      </c>
      <c r="E10" s="114" t="str">
        <f ca="1">IF($C10="","",VLOOKUP($C10,Calc4!$C$17:$AC$25,26,0))</f>
        <v/>
      </c>
      <c r="F10" s="114" t="str">
        <f ca="1">IF($C10="","",VLOOKUP($C10,Calc4!$C$17:$AC$25,27,0))</f>
        <v/>
      </c>
      <c r="G10" s="155" t="str">
        <f ca="1">IF($C10="","",VLOOKUP($C10,Vorrunde!$AH$12:$AI$47,2,0))</f>
        <v/>
      </c>
      <c r="H10" s="138" t="str">
        <f ca="1">IFERROR(VLOOKUP($C10&amp;H$7,Calc4!$Z$64:$AB$207,3,0),"")</f>
        <v/>
      </c>
      <c r="I10" s="114" t="str">
        <f ca="1">IFERROR(VLOOKUP($C10&amp;I$7,Calc4!$Z$64:$AB$207,3,0),"")</f>
        <v/>
      </c>
      <c r="J10" s="123"/>
      <c r="K10" s="114" t="str">
        <f ca="1">IFERROR(VLOOKUP($C10&amp;K$7,Calc4!$Z$64:$AB$207,3,0),"")</f>
        <v/>
      </c>
      <c r="L10" s="114" t="str">
        <f ca="1">IFERROR(VLOOKUP($C10&amp;L$7,Calc4!$Z$64:$AB$207,3,0),"")</f>
        <v/>
      </c>
      <c r="M10" s="159" t="str">
        <f ca="1">IFERROR(VLOOKUP($C10&amp;M$7,Calc4!$Z$64:$AB$207,3,0),"")</f>
        <v/>
      </c>
      <c r="N10" s="187" t="str">
        <f t="shared" ca="1" si="0"/>
        <v/>
      </c>
    </row>
    <row r="11" spans="2:14" ht="21.95" customHeight="1" x14ac:dyDescent="0.2">
      <c r="B11" s="117" t="str">
        <f ca="1">IF($C11="","",INDEX(Calc4!$E$4:$E$12,MATCH($C11,Calc4!$F$4:$F$12,0)))</f>
        <v/>
      </c>
      <c r="C11" s="126" t="str">
        <f ca="1">IF(Calc4!$K$13=0,"",Calc4!$X7)</f>
        <v/>
      </c>
      <c r="D11" s="130" t="str">
        <f ca="1">IF($C11="","",VLOOKUP($C11,Calc4!$C$17:$AC$25,25,0))</f>
        <v/>
      </c>
      <c r="E11" s="114" t="str">
        <f ca="1">IF($C11="","",VLOOKUP($C11,Calc4!$C$17:$AC$25,26,0))</f>
        <v/>
      </c>
      <c r="F11" s="114" t="str">
        <f ca="1">IF($C11="","",VLOOKUP($C11,Calc4!$C$17:$AC$25,27,0))</f>
        <v/>
      </c>
      <c r="G11" s="155" t="str">
        <f ca="1">IF($C11="","",VLOOKUP($C11,Vorrunde!$AH$12:$AI$47,2,0))</f>
        <v/>
      </c>
      <c r="H11" s="138" t="str">
        <f ca="1">IFERROR(VLOOKUP($C11&amp;H$7,Calc4!$Z$64:$AB$207,3,0),"")</f>
        <v/>
      </c>
      <c r="I11" s="114" t="str">
        <f ca="1">IFERROR(VLOOKUP($C11&amp;I$7,Calc4!$Z$64:$AB$207,3,0),"")</f>
        <v/>
      </c>
      <c r="J11" s="114" t="str">
        <f ca="1">IFERROR(VLOOKUP($C11&amp;J$7,Calc4!$Z$64:$AB$207,3,0),"")</f>
        <v/>
      </c>
      <c r="K11" s="123"/>
      <c r="L11" s="114" t="str">
        <f ca="1">IFERROR(VLOOKUP($C11&amp;L$7,Calc4!$Z$64:$AB$207,3,0),"")</f>
        <v/>
      </c>
      <c r="M11" s="159" t="str">
        <f ca="1">IFERROR(VLOOKUP($C11&amp;M$7,Calc4!$Z$64:$AB$207,3,0),"")</f>
        <v/>
      </c>
      <c r="N11" s="187" t="str">
        <f t="shared" ca="1" si="0"/>
        <v/>
      </c>
    </row>
    <row r="12" spans="2:14" ht="21.95" customHeight="1" x14ac:dyDescent="0.2">
      <c r="B12" s="117" t="str">
        <f ca="1">IF($C12="","",INDEX(Calc4!$E$4:$E$12,MATCH($C12,Calc4!$F$4:$F$12,0)))</f>
        <v/>
      </c>
      <c r="C12" s="126" t="str">
        <f ca="1">IF(Calc4!$K$13=0,"",Calc4!$X8)</f>
        <v/>
      </c>
      <c r="D12" s="130" t="str">
        <f ca="1">IF($C12="","",VLOOKUP($C12,Calc4!$C$17:$AC$25,25,0))</f>
        <v/>
      </c>
      <c r="E12" s="114" t="str">
        <f ca="1">IF($C12="","",VLOOKUP($C12,Calc4!$C$17:$AC$25,26,0))</f>
        <v/>
      </c>
      <c r="F12" s="114" t="str">
        <f ca="1">IF($C12="","",VLOOKUP($C12,Calc4!$C$17:$AC$25,27,0))</f>
        <v/>
      </c>
      <c r="G12" s="155" t="str">
        <f ca="1">IF($C12="","",VLOOKUP($C12,Vorrunde!$AH$12:$AI$47,2,0))</f>
        <v/>
      </c>
      <c r="H12" s="138" t="str">
        <f ca="1">IFERROR(VLOOKUP($C12&amp;H$7,Calc4!$Z$64:$AB$207,3,0),"")</f>
        <v/>
      </c>
      <c r="I12" s="114" t="str">
        <f ca="1">IFERROR(VLOOKUP($C12&amp;I$7,Calc4!$Z$64:$AB$207,3,0),"")</f>
        <v/>
      </c>
      <c r="J12" s="114" t="str">
        <f ca="1">IFERROR(VLOOKUP($C12&amp;J$7,Calc4!$Z$64:$AB$207,3,0),"")</f>
        <v/>
      </c>
      <c r="K12" s="114" t="str">
        <f ca="1">IFERROR(VLOOKUP($C12&amp;K$7,Calc4!$Z$64:$AB$207,3,0),"")</f>
        <v/>
      </c>
      <c r="L12" s="123"/>
      <c r="M12" s="159" t="str">
        <f ca="1">IFERROR(VLOOKUP($C12&amp;M$7,Calc4!$Z$64:$AB$207,3,0),"")</f>
        <v/>
      </c>
      <c r="N12" s="187" t="str">
        <f t="shared" ca="1" si="0"/>
        <v/>
      </c>
    </row>
    <row r="13" spans="2:14" ht="21.95" customHeight="1" thickBot="1" x14ac:dyDescent="0.25">
      <c r="B13" s="118" t="str">
        <f ca="1">IF($C13="","",INDEX(Calc4!$E$4:$E$12,MATCH($C13,Calc4!$F$4:$F$12,0)))</f>
        <v/>
      </c>
      <c r="C13" s="127" t="str">
        <f ca="1">IF(Calc4!$K$13=0,"",Calc4!$X9)</f>
        <v/>
      </c>
      <c r="D13" s="131" t="str">
        <f ca="1">IF($C13="","",VLOOKUP($C13,Calc4!$C$17:$AC$25,25,0))</f>
        <v/>
      </c>
      <c r="E13" s="115" t="str">
        <f ca="1">IF($C13="","",VLOOKUP($C13,Calc4!$C$17:$AC$25,26,0))</f>
        <v/>
      </c>
      <c r="F13" s="115" t="str">
        <f ca="1">IF($C13="","",VLOOKUP($C13,Calc4!$C$17:$AC$25,27,0))</f>
        <v/>
      </c>
      <c r="G13" s="156" t="str">
        <f ca="1">IF($C13="","",VLOOKUP($C13,Vorrunde!$AH$12:$AI$47,2,0))</f>
        <v/>
      </c>
      <c r="H13" s="139" t="str">
        <f ca="1">IFERROR(VLOOKUP($C13&amp;H$7,Calc4!$Z$64:$AB$207,3,0),"")</f>
        <v/>
      </c>
      <c r="I13" s="115" t="str">
        <f ca="1">IFERROR(VLOOKUP($C13&amp;I$7,Calc4!$Z$64:$AB$207,3,0),"")</f>
        <v/>
      </c>
      <c r="J13" s="115" t="str">
        <f ca="1">IFERROR(VLOOKUP($C13&amp;J$7,Calc4!$Z$64:$AB$207,3,0),"")</f>
        <v/>
      </c>
      <c r="K13" s="115" t="str">
        <f ca="1">IFERROR(VLOOKUP($C13&amp;K$7,Calc4!$Z$64:$AB$207,3,0),"")</f>
        <v/>
      </c>
      <c r="L13" s="115" t="str">
        <f ca="1">IFERROR(VLOOKUP($C13&amp;L$7,Calc4!$Z$64:$AB$207,3,0),"")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IF(LEN(H16)&gt;Einstellungen!$C$17,LEFT(H16,Einstellungen!$C$17)&amp;".",H16)</f>
        <v/>
      </c>
      <c r="I15" s="151" t="str">
        <f ca="1">IF(LEN(I16)&gt;Einstellungen!$C$17,LEFT(I16,Einstellungen!$C$17)&amp;".",I16)</f>
        <v/>
      </c>
      <c r="J15" s="151" t="str">
        <f ca="1">IF(LEN(J16)&gt;Einstellungen!$C$17,LEFT(J16,Einstellungen!$C$17)&amp;".",J16)</f>
        <v/>
      </c>
      <c r="K15" s="151" t="str">
        <f ca="1">IF(LEN(K16)&gt;Einstellungen!$C$17,LEFT(K16,Einstellungen!$C$17)&amp;".",K16)</f>
        <v/>
      </c>
      <c r="L15" s="151" t="str">
        <f ca="1">IF(LEN(L16)&gt;Einstellungen!$C$17,LEFT(L16,Einstellungen!$C$17)&amp;".",L16)</f>
        <v/>
      </c>
      <c r="M15" s="152" t="str">
        <f ca="1">IF(LEN(M16)&gt;Einstellungen!$C$17,LEFT(M16,Einstellungen!$C$17)&amp;".",M16)</f>
        <v/>
      </c>
    </row>
    <row r="16" spans="2:14" ht="21.95" customHeight="1" thickTop="1" thickBot="1" x14ac:dyDescent="0.25">
      <c r="B16" s="119"/>
      <c r="C16" s="124" t="str">
        <f>Sprache!$E$10</f>
        <v>Teilnehmer bzw. Mannschaft</v>
      </c>
      <c r="D16" s="128" t="str">
        <f>Sprache!$E$27</f>
        <v>Pkt</v>
      </c>
      <c r="E16" s="116" t="str">
        <f>Sprache!$E$26</f>
        <v>Diff.</v>
      </c>
      <c r="F16" s="116" t="str">
        <f>Sprache!$E$28</f>
        <v>erz. Tore</v>
      </c>
      <c r="G16" s="153" t="str">
        <f>Sprache!$E$49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IF($C17="","",INDEX(Calc4!$E$4:$E$12,MATCH($C17,Calc4!$F$4:$F$12,0)))</f>
        <v/>
      </c>
      <c r="C17" s="125" t="str">
        <f ca="1">IF(Calc4!$K$13=0,"",Calc4!$AC4)</f>
        <v/>
      </c>
      <c r="D17" s="129" t="str">
        <f ca="1">IF($C17="","",VLOOKUP($C17,Calc4!$C$17:$AC$25,25,0))</f>
        <v/>
      </c>
      <c r="E17" s="113" t="str">
        <f ca="1">IF($C17="","",VLOOKUP($C17,Calc4!$C$17:$AC$25,26,0))</f>
        <v/>
      </c>
      <c r="F17" s="113" t="str">
        <f ca="1">IF($C17="","",VLOOKUP($C17,Calc4!$C$17:$AC$25,27,0))</f>
        <v/>
      </c>
      <c r="G17" s="154" t="str">
        <f ca="1">IF($C17="","",VLOOKUP($C17,Vorrunde!$AH$12:$AI$47,2,0))</f>
        <v/>
      </c>
      <c r="H17" s="137"/>
      <c r="I17" s="113" t="str">
        <f ca="1">IFERROR(VLOOKUP($C17&amp;I$16,Calc4!$Z$64:$AB$207,3,0),"")</f>
        <v/>
      </c>
      <c r="J17" s="113" t="str">
        <f ca="1">IFERROR(VLOOKUP($C17&amp;J$16,Calc4!$Z$64:$AB$207,3,0),"")</f>
        <v/>
      </c>
      <c r="K17" s="113" t="str">
        <f ca="1">IFERROR(VLOOKUP($C17&amp;K$16,Calc4!$Z$64:$AB$207,3,0),"")</f>
        <v/>
      </c>
      <c r="L17" s="113" t="str">
        <f ca="1">IFERROR(VLOOKUP($C17&amp;L$16,Calc4!$Z$64:$AB$207,3,0),"")</f>
        <v/>
      </c>
      <c r="M17" s="158" t="str">
        <f ca="1">IFERROR(VLOOKUP($C17&amp;M$16,Calc4!$Z$64:$AB$207,3,0),"")</f>
        <v/>
      </c>
      <c r="N17" s="186" t="str">
        <f t="shared" ref="N17:N22" ca="1" si="1">C17</f>
        <v/>
      </c>
    </row>
    <row r="18" spans="2:14" ht="21.95" customHeight="1" x14ac:dyDescent="0.2">
      <c r="B18" s="117" t="str">
        <f ca="1">IF($C18="","",INDEX(Calc4!$E$4:$E$12,MATCH($C18,Calc4!$F$4:$F$12,0)))</f>
        <v/>
      </c>
      <c r="C18" s="126" t="str">
        <f ca="1">IF(Calc4!$K$13=0,"",Calc4!$AC5)</f>
        <v/>
      </c>
      <c r="D18" s="130" t="str">
        <f ca="1">IF($C18="","",VLOOKUP($C18,Calc4!$C$17:$AC$25,25,0))</f>
        <v/>
      </c>
      <c r="E18" s="114" t="str">
        <f ca="1">IF($C18="","",VLOOKUP($C18,Calc4!$C$17:$AC$25,26,0))</f>
        <v/>
      </c>
      <c r="F18" s="114" t="str">
        <f ca="1">IF($C18="","",VLOOKUP($C18,Calc4!$C$17:$AC$25,27,0))</f>
        <v/>
      </c>
      <c r="G18" s="155" t="str">
        <f ca="1">IF($C18="","",VLOOKUP($C18,Vorrunde!$AH$12:$AI$47,2,0))</f>
        <v/>
      </c>
      <c r="H18" s="138" t="str">
        <f ca="1">IFERROR(VLOOKUP($C18&amp;H$16,Calc4!$Z$64:$AB$207,3,0),"")</f>
        <v/>
      </c>
      <c r="I18" s="123"/>
      <c r="J18" s="114" t="str">
        <f ca="1">IFERROR(VLOOKUP($C18&amp;J$16,Calc4!$Z$64:$AB$207,3,0),"")</f>
        <v/>
      </c>
      <c r="K18" s="114" t="str">
        <f ca="1">IFERROR(VLOOKUP($C18&amp;K$16,Calc4!$Z$64:$AB$207,3,0),"")</f>
        <v/>
      </c>
      <c r="L18" s="114" t="str">
        <f ca="1">IFERROR(VLOOKUP($C18&amp;L$16,Calc4!$Z$64:$AB$207,3,0),"")</f>
        <v/>
      </c>
      <c r="M18" s="159" t="str">
        <f ca="1">IFERROR(VLOOKUP($C18&amp;M$16,Calc4!$Z$64:$AB$207,3,0),"")</f>
        <v/>
      </c>
      <c r="N18" s="187" t="str">
        <f t="shared" ca="1" si="1"/>
        <v/>
      </c>
    </row>
    <row r="19" spans="2:14" ht="21.95" customHeight="1" x14ac:dyDescent="0.2">
      <c r="B19" s="117" t="str">
        <f ca="1">IF($C19="","",INDEX(Calc4!$E$4:$E$12,MATCH($C19,Calc4!$F$4:$F$12,0)))</f>
        <v/>
      </c>
      <c r="C19" s="126" t="str">
        <f ca="1">IF(Calc4!$K$13=0,"",Calc4!$AC6)</f>
        <v/>
      </c>
      <c r="D19" s="130" t="str">
        <f ca="1">IF($C19="","",VLOOKUP($C19,Calc4!$C$17:$AC$25,25,0))</f>
        <v/>
      </c>
      <c r="E19" s="114" t="str">
        <f ca="1">IF($C19="","",VLOOKUP($C19,Calc4!$C$17:$AC$25,26,0))</f>
        <v/>
      </c>
      <c r="F19" s="114" t="str">
        <f ca="1">IF($C19="","",VLOOKUP($C19,Calc4!$C$17:$AC$25,27,0))</f>
        <v/>
      </c>
      <c r="G19" s="155" t="str">
        <f ca="1">IF($C19="","",VLOOKUP($C19,Vorrunde!$AH$12:$AI$47,2,0))</f>
        <v/>
      </c>
      <c r="H19" s="138" t="str">
        <f ca="1">IFERROR(VLOOKUP($C19&amp;H$16,Calc4!$Z$64:$AB$207,3,0),"")</f>
        <v/>
      </c>
      <c r="I19" s="114" t="str">
        <f ca="1">IFERROR(VLOOKUP($C19&amp;I$16,Calc4!$Z$64:$AB$207,3,0),"")</f>
        <v/>
      </c>
      <c r="J19" s="123"/>
      <c r="K19" s="114" t="str">
        <f ca="1">IFERROR(VLOOKUP($C19&amp;K$16,Calc4!$Z$64:$AB$207,3,0),"")</f>
        <v/>
      </c>
      <c r="L19" s="114" t="str">
        <f ca="1">IFERROR(VLOOKUP($C19&amp;L$16,Calc4!$Z$64:$AB$207,3,0),"")</f>
        <v/>
      </c>
      <c r="M19" s="159" t="str">
        <f ca="1">IFERROR(VLOOKUP($C19&amp;M$16,Calc4!$Z$64:$AB$207,3,0),"")</f>
        <v/>
      </c>
      <c r="N19" s="187" t="str">
        <f t="shared" ca="1" si="1"/>
        <v/>
      </c>
    </row>
    <row r="20" spans="2:14" ht="21.95" customHeight="1" x14ac:dyDescent="0.2">
      <c r="B20" s="117" t="str">
        <f ca="1">IF($C20="","",INDEX(Calc4!$E$4:$E$12,MATCH($C20,Calc4!$F$4:$F$12,0)))</f>
        <v/>
      </c>
      <c r="C20" s="126" t="str">
        <f ca="1">IF(Calc4!$K$13=0,"",Calc4!$AC7)</f>
        <v/>
      </c>
      <c r="D20" s="130" t="str">
        <f ca="1">IF($C20="","",VLOOKUP($C20,Calc4!$C$17:$AC$25,25,0))</f>
        <v/>
      </c>
      <c r="E20" s="114" t="str">
        <f ca="1">IF($C20="","",VLOOKUP($C20,Calc4!$C$17:$AC$25,26,0))</f>
        <v/>
      </c>
      <c r="F20" s="114" t="str">
        <f ca="1">IF($C20="","",VLOOKUP($C20,Calc4!$C$17:$AC$25,27,0))</f>
        <v/>
      </c>
      <c r="G20" s="155" t="str">
        <f ca="1">IF($C20="","",VLOOKUP($C20,Vorrunde!$AH$12:$AI$47,2,0))</f>
        <v/>
      </c>
      <c r="H20" s="138" t="str">
        <f ca="1">IFERROR(VLOOKUP($C20&amp;H$16,Calc4!$Z$64:$AB$207,3,0),"")</f>
        <v/>
      </c>
      <c r="I20" s="114" t="str">
        <f ca="1">IFERROR(VLOOKUP($C20&amp;I$16,Calc4!$Z$64:$AB$207,3,0),"")</f>
        <v/>
      </c>
      <c r="J20" s="114" t="str">
        <f ca="1">IFERROR(VLOOKUP($C20&amp;J$16,Calc4!$Z$64:$AB$207,3,0),"")</f>
        <v/>
      </c>
      <c r="K20" s="123"/>
      <c r="L20" s="114" t="str">
        <f ca="1">IFERROR(VLOOKUP($C20&amp;L$16,Calc4!$Z$64:$AB$207,3,0),"")</f>
        <v/>
      </c>
      <c r="M20" s="159" t="str">
        <f ca="1">IFERROR(VLOOKUP($C20&amp;M$16,Calc4!$Z$64:$AB$207,3,0),"")</f>
        <v/>
      </c>
      <c r="N20" s="187" t="str">
        <f t="shared" ca="1" si="1"/>
        <v/>
      </c>
    </row>
    <row r="21" spans="2:14" ht="21.95" customHeight="1" x14ac:dyDescent="0.2">
      <c r="B21" s="117" t="str">
        <f ca="1">IF($C21="","",INDEX(Calc4!$E$4:$E$12,MATCH($C21,Calc4!$F$4:$F$12,0)))</f>
        <v/>
      </c>
      <c r="C21" s="126" t="str">
        <f ca="1">IF(Calc4!$K$13=0,"",Calc4!$AC8)</f>
        <v/>
      </c>
      <c r="D21" s="130" t="str">
        <f ca="1">IF($C21="","",VLOOKUP($C21,Calc4!$C$17:$AC$25,25,0))</f>
        <v/>
      </c>
      <c r="E21" s="114" t="str">
        <f ca="1">IF($C21="","",VLOOKUP($C21,Calc4!$C$17:$AC$25,26,0))</f>
        <v/>
      </c>
      <c r="F21" s="114" t="str">
        <f ca="1">IF($C21="","",VLOOKUP($C21,Calc4!$C$17:$AC$25,27,0))</f>
        <v/>
      </c>
      <c r="G21" s="155" t="str">
        <f ca="1">IF($C21="","",VLOOKUP($C21,Vorrunde!$AH$12:$AI$47,2,0))</f>
        <v/>
      </c>
      <c r="H21" s="138" t="str">
        <f ca="1">IFERROR(VLOOKUP($C21&amp;H$16,Calc4!$Z$64:$AB$207,3,0),"")</f>
        <v/>
      </c>
      <c r="I21" s="114" t="str">
        <f ca="1">IFERROR(VLOOKUP($C21&amp;I$16,Calc4!$Z$64:$AB$207,3,0),"")</f>
        <v/>
      </c>
      <c r="J21" s="114" t="str">
        <f ca="1">IFERROR(VLOOKUP($C21&amp;J$16,Calc4!$Z$64:$AB$207,3,0),"")</f>
        <v/>
      </c>
      <c r="K21" s="114" t="str">
        <f ca="1">IFERROR(VLOOKUP($C21&amp;K$16,Calc4!$Z$64:$AB$207,3,0),"")</f>
        <v/>
      </c>
      <c r="L21" s="123"/>
      <c r="M21" s="159" t="str">
        <f ca="1">IFERROR(VLOOKUP($C21&amp;M$16,Calc4!$Z$64:$AB$207,3,0),"")</f>
        <v/>
      </c>
      <c r="N21" s="187" t="str">
        <f t="shared" ca="1" si="1"/>
        <v/>
      </c>
    </row>
    <row r="22" spans="2:14" ht="21.95" customHeight="1" thickBot="1" x14ac:dyDescent="0.25">
      <c r="B22" s="118" t="str">
        <f ca="1">IF($C22="","",INDEX(Calc4!$E$4:$E$12,MATCH($C22,Calc4!$F$4:$F$12,0)))</f>
        <v/>
      </c>
      <c r="C22" s="127" t="str">
        <f ca="1">IF(Calc4!$K$13=0,"",Calc4!$AC9)</f>
        <v/>
      </c>
      <c r="D22" s="131" t="str">
        <f ca="1">IF($C22="","",VLOOKUP($C22,Calc4!$C$17:$AC$25,25,0))</f>
        <v/>
      </c>
      <c r="E22" s="115" t="str">
        <f ca="1">IF($C22="","",VLOOKUP($C22,Calc4!$C$17:$AC$25,26,0))</f>
        <v/>
      </c>
      <c r="F22" s="115" t="str">
        <f ca="1">IF($C22="","",VLOOKUP($C22,Calc4!$C$17:$AC$25,27,0))</f>
        <v/>
      </c>
      <c r="G22" s="156" t="str">
        <f ca="1">IF($C22="","",VLOOKUP($C22,Vorrunde!$AH$12:$AI$47,2,0))</f>
        <v/>
      </c>
      <c r="H22" s="139" t="str">
        <f ca="1">IFERROR(VLOOKUP($C22&amp;H$16,Calc4!$Z$64:$AB$207,3,0),"")</f>
        <v/>
      </c>
      <c r="I22" s="115" t="str">
        <f ca="1">IFERROR(VLOOKUP($C22&amp;I$16,Calc4!$Z$64:$AB$207,3,0),"")</f>
        <v/>
      </c>
      <c r="J22" s="115" t="str">
        <f ca="1">IFERROR(VLOOKUP($C22&amp;J$16,Calc4!$Z$64:$AB$207,3,0),"")</f>
        <v/>
      </c>
      <c r="K22" s="115" t="str">
        <f ca="1">IFERROR(VLOOKUP($C22&amp;K$16,Calc4!$Z$64:$AB$207,3,0),"")</f>
        <v/>
      </c>
      <c r="L22" s="115" t="str">
        <f ca="1">IFERROR(VLOOKUP($C22&amp;L$16,Calc4!$Z$64:$AB$207,3,0),"")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IF(LEN(H25)&gt;Einstellungen!$C$17,LEFT(H25,Einstellungen!$C$17)&amp;".",H25)</f>
        <v/>
      </c>
      <c r="I24" s="151" t="str">
        <f ca="1">IF(LEN(I25)&gt;Einstellungen!$C$17,LEFT(I25,Einstellungen!$C$17)&amp;".",I25)</f>
        <v/>
      </c>
      <c r="J24" s="151" t="str">
        <f ca="1">IF(LEN(J25)&gt;Einstellungen!$C$17,LEFT(J25,Einstellungen!$C$17)&amp;".",J25)</f>
        <v/>
      </c>
      <c r="K24" s="151" t="str">
        <f ca="1">IF(LEN(K25)&gt;Einstellungen!$C$17,LEFT(K25,Einstellungen!$C$17)&amp;".",K25)</f>
        <v/>
      </c>
      <c r="L24" s="151" t="str">
        <f ca="1">IF(LEN(L25)&gt;Einstellungen!$C$17,LEFT(L25,Einstellungen!$C$17)&amp;".",L25)</f>
        <v/>
      </c>
      <c r="M24" s="152" t="str">
        <f ca="1">IF(LEN(M25)&gt;Einstellungen!$C$17,LEFT(M25,Einstellungen!$C$17)&amp;".",M25)</f>
        <v/>
      </c>
    </row>
    <row r="25" spans="2:14" ht="21.95" customHeight="1" thickTop="1" thickBot="1" x14ac:dyDescent="0.25">
      <c r="B25" s="119"/>
      <c r="C25" s="124" t="str">
        <f>Sprache!$E$10</f>
        <v>Teilnehmer bzw. Mannschaft</v>
      </c>
      <c r="D25" s="128" t="str">
        <f>Sprache!$E$27</f>
        <v>Pkt</v>
      </c>
      <c r="E25" s="116" t="str">
        <f>Sprache!$E$26</f>
        <v>Diff.</v>
      </c>
      <c r="F25" s="116" t="str">
        <f>Sprache!$E$28</f>
        <v>erz. Tore</v>
      </c>
      <c r="G25" s="153" t="str">
        <f>Sprache!$E$49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IF($C26="","",INDEX(Calc4!$E$4:$E$12,MATCH($C26,Calc4!$F$4:$F$12,0)))</f>
        <v/>
      </c>
      <c r="C26" s="125" t="str">
        <f ca="1">IF(Calc4!$K$13=0,"",Calc4!$AH4)</f>
        <v/>
      </c>
      <c r="D26" s="129" t="str">
        <f ca="1">IF($C26="","",VLOOKUP($C26,Calc4!$C$17:$AC$25,25,0))</f>
        <v/>
      </c>
      <c r="E26" s="113" t="str">
        <f ca="1">IF($C26="","",VLOOKUP($C26,Calc4!$C$17:$AC$25,26,0))</f>
        <v/>
      </c>
      <c r="F26" s="113" t="str">
        <f ca="1">IF($C26="","",VLOOKUP($C26,Calc4!$C$17:$AC$25,27,0))</f>
        <v/>
      </c>
      <c r="G26" s="154" t="str">
        <f ca="1">IF($C26="","",VLOOKUP($C26,Vorrunde!$AH$12:$AI$47,2,0))</f>
        <v/>
      </c>
      <c r="H26" s="137"/>
      <c r="I26" s="113" t="str">
        <f ca="1">IFERROR(VLOOKUP($C26&amp;I$25,Calc4!$Z$64:$AB$207,3,0),"")</f>
        <v/>
      </c>
      <c r="J26" s="113" t="str">
        <f ca="1">IFERROR(VLOOKUP($C26&amp;J$25,Calc4!$Z$64:$AB$207,3,0),"")</f>
        <v/>
      </c>
      <c r="K26" s="113" t="str">
        <f ca="1">IFERROR(VLOOKUP($C26&amp;K$25,Calc4!$Z$64:$AB$207,3,0),"")</f>
        <v/>
      </c>
      <c r="L26" s="113" t="str">
        <f ca="1">IFERROR(VLOOKUP($C26&amp;L$25,Calc4!$Z$64:$AB$207,3,0),"")</f>
        <v/>
      </c>
      <c r="M26" s="158" t="str">
        <f ca="1">IFERROR(VLOOKUP($C26&amp;M$25,Calc4!$Z$64:$AB$207,3,0),"")</f>
        <v/>
      </c>
      <c r="N26" s="186" t="str">
        <f t="shared" ref="N26:N31" ca="1" si="2">C26</f>
        <v/>
      </c>
    </row>
    <row r="27" spans="2:14" ht="21.95" customHeight="1" x14ac:dyDescent="0.2">
      <c r="B27" s="117" t="str">
        <f ca="1">IF($C27="","",INDEX(Calc4!$E$4:$E$12,MATCH($C27,Calc4!$F$4:$F$12,0)))</f>
        <v/>
      </c>
      <c r="C27" s="126" t="str">
        <f ca="1">IF(Calc4!$K$13=0,"",Calc4!$AH5)</f>
        <v/>
      </c>
      <c r="D27" s="130" t="str">
        <f ca="1">IF($C27="","",VLOOKUP($C27,Calc4!$C$17:$AC$25,25,0))</f>
        <v/>
      </c>
      <c r="E27" s="114" t="str">
        <f ca="1">IF($C27="","",VLOOKUP($C27,Calc4!$C$17:$AC$25,26,0))</f>
        <v/>
      </c>
      <c r="F27" s="114" t="str">
        <f ca="1">IF($C27="","",VLOOKUP($C27,Calc4!$C$17:$AC$25,27,0))</f>
        <v/>
      </c>
      <c r="G27" s="155" t="str">
        <f ca="1">IF($C27="","",VLOOKUP($C27,Vorrunde!$AH$12:$AI$47,2,0))</f>
        <v/>
      </c>
      <c r="H27" s="138" t="str">
        <f ca="1">IFERROR(VLOOKUP($C27&amp;H$25,Calc4!$Z$64:$AB$207,3,0),"")</f>
        <v/>
      </c>
      <c r="I27" s="123"/>
      <c r="J27" s="114" t="str">
        <f ca="1">IFERROR(VLOOKUP($C27&amp;J$25,Calc4!$Z$64:$AB$207,3,0),"")</f>
        <v/>
      </c>
      <c r="K27" s="114" t="str">
        <f ca="1">IFERROR(VLOOKUP($C27&amp;K$25,Calc4!$Z$64:$AB$207,3,0),"")</f>
        <v/>
      </c>
      <c r="L27" s="114" t="str">
        <f ca="1">IFERROR(VLOOKUP($C27&amp;L$25,Calc4!$Z$64:$AB$207,3,0),"")</f>
        <v/>
      </c>
      <c r="M27" s="159" t="str">
        <f ca="1">IFERROR(VLOOKUP($C27&amp;M$25,Calc4!$Z$64:$AB$207,3,0),"")</f>
        <v/>
      </c>
      <c r="N27" s="187" t="str">
        <f t="shared" ca="1" si="2"/>
        <v/>
      </c>
    </row>
    <row r="28" spans="2:14" ht="21.95" customHeight="1" x14ac:dyDescent="0.2">
      <c r="B28" s="117" t="str">
        <f ca="1">IF($C28="","",INDEX(Calc4!$E$4:$E$12,MATCH($C28,Calc4!$F$4:$F$12,0)))</f>
        <v/>
      </c>
      <c r="C28" s="126" t="str">
        <f ca="1">IF(Calc4!$K$13=0,"",Calc4!$AH6)</f>
        <v/>
      </c>
      <c r="D28" s="130" t="str">
        <f ca="1">IF($C28="","",VLOOKUP($C28,Calc4!$C$17:$AC$25,25,0))</f>
        <v/>
      </c>
      <c r="E28" s="114" t="str">
        <f ca="1">IF($C28="","",VLOOKUP($C28,Calc4!$C$17:$AC$25,26,0))</f>
        <v/>
      </c>
      <c r="F28" s="114" t="str">
        <f ca="1">IF($C28="","",VLOOKUP($C28,Calc4!$C$17:$AC$25,27,0))</f>
        <v/>
      </c>
      <c r="G28" s="155" t="str">
        <f ca="1">IF($C28="","",VLOOKUP($C28,Vorrunde!$AH$12:$AI$47,2,0))</f>
        <v/>
      </c>
      <c r="H28" s="138" t="str">
        <f ca="1">IFERROR(VLOOKUP($C28&amp;H$25,Calc4!$Z$64:$AB$207,3,0),"")</f>
        <v/>
      </c>
      <c r="I28" s="114" t="str">
        <f ca="1">IFERROR(VLOOKUP($C28&amp;I$25,Calc4!$Z$64:$AB$207,3,0),"")</f>
        <v/>
      </c>
      <c r="J28" s="123"/>
      <c r="K28" s="114" t="str">
        <f ca="1">IFERROR(VLOOKUP($C28&amp;K$25,Calc4!$Z$64:$AB$207,3,0),"")</f>
        <v/>
      </c>
      <c r="L28" s="114" t="str">
        <f ca="1">IFERROR(VLOOKUP($C28&amp;L$25,Calc4!$Z$64:$AB$207,3,0),"")</f>
        <v/>
      </c>
      <c r="M28" s="159" t="str">
        <f ca="1">IFERROR(VLOOKUP($C28&amp;M$25,Calc4!$Z$64:$AB$207,3,0),"")</f>
        <v/>
      </c>
      <c r="N28" s="187" t="str">
        <f t="shared" ca="1" si="2"/>
        <v/>
      </c>
    </row>
    <row r="29" spans="2:14" ht="21.95" customHeight="1" x14ac:dyDescent="0.2">
      <c r="B29" s="117" t="str">
        <f ca="1">IF($C29="","",INDEX(Calc4!$E$4:$E$12,MATCH($C29,Calc4!$F$4:$F$12,0)))</f>
        <v/>
      </c>
      <c r="C29" s="126" t="str">
        <f ca="1">IF(Calc4!$K$13=0,"",Calc4!$AH7)</f>
        <v/>
      </c>
      <c r="D29" s="130" t="str">
        <f ca="1">IF($C29="","",VLOOKUP($C29,Calc4!$C$17:$AC$25,25,0))</f>
        <v/>
      </c>
      <c r="E29" s="114" t="str">
        <f ca="1">IF($C29="","",VLOOKUP($C29,Calc4!$C$17:$AC$25,26,0))</f>
        <v/>
      </c>
      <c r="F29" s="114" t="str">
        <f ca="1">IF($C29="","",VLOOKUP($C29,Calc4!$C$17:$AC$25,27,0))</f>
        <v/>
      </c>
      <c r="G29" s="155" t="str">
        <f ca="1">IF($C29="","",VLOOKUP($C29,Vorrunde!$AH$12:$AI$47,2,0))</f>
        <v/>
      </c>
      <c r="H29" s="138" t="str">
        <f ca="1">IFERROR(VLOOKUP($C29&amp;H$25,Calc4!$Z$64:$AB$207,3,0),"")</f>
        <v/>
      </c>
      <c r="I29" s="114" t="str">
        <f ca="1">IFERROR(VLOOKUP($C29&amp;I$25,Calc4!$Z$64:$AB$207,3,0),"")</f>
        <v/>
      </c>
      <c r="J29" s="114" t="str">
        <f ca="1">IFERROR(VLOOKUP($C29&amp;J$25,Calc4!$Z$64:$AB$207,3,0),"")</f>
        <v/>
      </c>
      <c r="K29" s="123"/>
      <c r="L29" s="114" t="str">
        <f ca="1">IFERROR(VLOOKUP($C29&amp;L$25,Calc4!$Z$64:$AB$207,3,0),"")</f>
        <v/>
      </c>
      <c r="M29" s="159" t="str">
        <f ca="1">IFERROR(VLOOKUP($C29&amp;M$25,Calc4!$Z$64:$AB$207,3,0),"")</f>
        <v/>
      </c>
      <c r="N29" s="187" t="str">
        <f t="shared" ca="1" si="2"/>
        <v/>
      </c>
    </row>
    <row r="30" spans="2:14" ht="21.95" customHeight="1" x14ac:dyDescent="0.2">
      <c r="B30" s="117" t="str">
        <f ca="1">IF($C30="","",INDEX(Calc4!$E$4:$E$12,MATCH($C30,Calc4!$F$4:$F$12,0)))</f>
        <v/>
      </c>
      <c r="C30" s="126" t="str">
        <f ca="1">IF(Calc4!$K$13=0,"",Calc4!$AH8)</f>
        <v/>
      </c>
      <c r="D30" s="130" t="str">
        <f ca="1">IF($C30="","",VLOOKUP($C30,Calc4!$C$17:$AC$25,25,0))</f>
        <v/>
      </c>
      <c r="E30" s="114" t="str">
        <f ca="1">IF($C30="","",VLOOKUP($C30,Calc4!$C$17:$AC$25,26,0))</f>
        <v/>
      </c>
      <c r="F30" s="114" t="str">
        <f ca="1">IF($C30="","",VLOOKUP($C30,Calc4!$C$17:$AC$25,27,0))</f>
        <v/>
      </c>
      <c r="G30" s="155" t="str">
        <f ca="1">IF($C30="","",VLOOKUP($C30,Vorrunde!$AH$12:$AI$47,2,0))</f>
        <v/>
      </c>
      <c r="H30" s="138" t="str">
        <f ca="1">IFERROR(VLOOKUP($C30&amp;H$25,Calc4!$Z$64:$AB$207,3,0),"")</f>
        <v/>
      </c>
      <c r="I30" s="114" t="str">
        <f ca="1">IFERROR(VLOOKUP($C30&amp;I$25,Calc4!$Z$64:$AB$207,3,0),"")</f>
        <v/>
      </c>
      <c r="J30" s="114" t="str">
        <f ca="1">IFERROR(VLOOKUP($C30&amp;J$25,Calc4!$Z$64:$AB$207,3,0),"")</f>
        <v/>
      </c>
      <c r="K30" s="114" t="str">
        <f ca="1">IFERROR(VLOOKUP($C30&amp;K$25,Calc4!$Z$64:$AB$207,3,0),"")</f>
        <v/>
      </c>
      <c r="L30" s="123"/>
      <c r="M30" s="159" t="str">
        <f ca="1">IFERROR(VLOOKUP($C30&amp;M$25,Calc4!$Z$64:$AB$207,3,0),"")</f>
        <v/>
      </c>
      <c r="N30" s="187" t="str">
        <f t="shared" ca="1" si="2"/>
        <v/>
      </c>
    </row>
    <row r="31" spans="2:14" ht="21.95" customHeight="1" thickBot="1" x14ac:dyDescent="0.25">
      <c r="B31" s="118" t="str">
        <f ca="1">IF($C31="","",INDEX(Calc4!$E$4:$E$12,MATCH($C31,Calc4!$F$4:$F$12,0)))</f>
        <v/>
      </c>
      <c r="C31" s="127" t="str">
        <f ca="1">IF(Calc4!$K$13=0,"",Calc4!$AH9)</f>
        <v/>
      </c>
      <c r="D31" s="131" t="str">
        <f ca="1">IF($C31="","",VLOOKUP($C31,Calc4!$C$17:$AC$25,25,0))</f>
        <v/>
      </c>
      <c r="E31" s="115" t="str">
        <f ca="1">IF($C31="","",VLOOKUP($C31,Calc4!$C$17:$AC$25,26,0))</f>
        <v/>
      </c>
      <c r="F31" s="115" t="str">
        <f ca="1">IF($C31="","",VLOOKUP($C31,Calc4!$C$17:$AC$25,27,0))</f>
        <v/>
      </c>
      <c r="G31" s="156" t="str">
        <f ca="1">IF($C31="","",VLOOKUP($C31,Vorrunde!$AH$12:$AI$47,2,0))</f>
        <v/>
      </c>
      <c r="H31" s="139" t="str">
        <f ca="1">IFERROR(VLOOKUP($C31&amp;H$25,Calc4!$Z$64:$AB$207,3,0),"")</f>
        <v/>
      </c>
      <c r="I31" s="115" t="str">
        <f ca="1">IFERROR(VLOOKUP($C31&amp;I$25,Calc4!$Z$64:$AB$207,3,0),"")</f>
        <v/>
      </c>
      <c r="J31" s="115" t="str">
        <f ca="1">IFERROR(VLOOKUP($C31&amp;J$25,Calc4!$Z$64:$AB$207,3,0),"")</f>
        <v/>
      </c>
      <c r="K31" s="115" t="str">
        <f ca="1">IFERROR(VLOOKUP($C31&amp;K$25,Calc4!$Z$64:$AB$207,3,0),"")</f>
        <v/>
      </c>
      <c r="L31" s="115" t="str">
        <f ca="1">IFERROR(VLOOKUP($C31&amp;L$25,Calc4!$Z$64:$AB$207,3,0),"")</f>
        <v/>
      </c>
      <c r="M31" s="160"/>
      <c r="N31" s="188" t="str">
        <f t="shared" ca="1" si="2"/>
        <v/>
      </c>
    </row>
    <row r="32" spans="2:14" ht="42.75" customHeight="1" thickTop="1" thickBot="1" x14ac:dyDescent="0.25"/>
    <row r="33" spans="2:14" ht="21.95" customHeight="1" thickBot="1" x14ac:dyDescent="0.25">
      <c r="H33" s="150" t="str">
        <f ca="1">IF(LEN(H34)&gt;Einstellungen!$C$17,LEFT(H34,Einstellungen!$C$17)&amp;".",H34)</f>
        <v/>
      </c>
      <c r="I33" s="151" t="str">
        <f ca="1">IF(LEN(I34)&gt;Einstellungen!$C$17,LEFT(I34,Einstellungen!$C$17)&amp;".",I34)</f>
        <v/>
      </c>
      <c r="J33" s="151" t="str">
        <f ca="1">IF(LEN(J34)&gt;Einstellungen!$C$17,LEFT(J34,Einstellungen!$C$17)&amp;".",J34)</f>
        <v/>
      </c>
      <c r="K33" s="151" t="str">
        <f ca="1">IF(LEN(K34)&gt;Einstellungen!$C$17,LEFT(K34,Einstellungen!$C$17)&amp;".",K34)</f>
        <v/>
      </c>
      <c r="L33" s="151" t="str">
        <f ca="1">IF(LEN(L34)&gt;Einstellungen!$C$17,LEFT(L34,Einstellungen!$C$17)&amp;".",L34)</f>
        <v/>
      </c>
      <c r="M33" s="152" t="str">
        <f ca="1">IF(LEN(M34)&gt;Einstellungen!$C$17,LEFT(M34,Einstellungen!$C$17)&amp;".",M34)</f>
        <v/>
      </c>
    </row>
    <row r="34" spans="2:14" ht="21.95" customHeight="1" thickTop="1" thickBot="1" x14ac:dyDescent="0.25">
      <c r="B34" s="119"/>
      <c r="C34" s="124" t="str">
        <f>Sprache!$E$10</f>
        <v>Teilnehmer bzw. Mannschaft</v>
      </c>
      <c r="D34" s="128" t="str">
        <f>Sprache!$E$27</f>
        <v>Pkt</v>
      </c>
      <c r="E34" s="116" t="str">
        <f>Sprache!$E$26</f>
        <v>Diff.</v>
      </c>
      <c r="F34" s="116" t="str">
        <f>Sprache!$E$28</f>
        <v>erz. Tore</v>
      </c>
      <c r="G34" s="153" t="str">
        <f>Sprache!$E$49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IF($C35="","",INDEX(Calc4!$E$4:$E$12,MATCH($C35,Calc4!$F$4:$F$12,0)))</f>
        <v/>
      </c>
      <c r="C35" s="125" t="str">
        <f ca="1">IF(Calc4!$K$13=0,"",Calc4!$AM4)</f>
        <v/>
      </c>
      <c r="D35" s="129" t="str">
        <f ca="1">IF($C35="","",VLOOKUP($C35,Calc4!$C$17:$AC$25,25,0))</f>
        <v/>
      </c>
      <c r="E35" s="113" t="str">
        <f ca="1">IF($C35="","",VLOOKUP($C35,Calc4!$C$17:$AC$25,26,0))</f>
        <v/>
      </c>
      <c r="F35" s="113" t="str">
        <f ca="1">IF($C35="","",VLOOKUP($C35,Calc4!$C$17:$AC$25,27,0))</f>
        <v/>
      </c>
      <c r="G35" s="154" t="str">
        <f ca="1">IF($C35="","",VLOOKUP($C35,Vorrunde!$AH$12:$AI$47,2,0))</f>
        <v/>
      </c>
      <c r="H35" s="137"/>
      <c r="I35" s="113" t="str">
        <f ca="1">IFERROR(VLOOKUP($C35&amp;I$34,Calc4!$Z$64:$AB$207,3,0),"")</f>
        <v/>
      </c>
      <c r="J35" s="113" t="str">
        <f ca="1">IFERROR(VLOOKUP($C35&amp;J$34,Calc4!$Z$64:$AB$207,3,0),"")</f>
        <v/>
      </c>
      <c r="K35" s="113" t="str">
        <f ca="1">IFERROR(VLOOKUP($C35&amp;K$34,Calc4!$Z$64:$AB$207,3,0),"")</f>
        <v/>
      </c>
      <c r="L35" s="113" t="str">
        <f ca="1">IFERROR(VLOOKUP($C35&amp;L$34,Calc4!$Z$64:$AB$207,3,0),"")</f>
        <v/>
      </c>
      <c r="M35" s="158" t="str">
        <f ca="1">IFERROR(VLOOKUP($C35&amp;M$34,Calc4!$Z$64:$AB$207,3,0),"")</f>
        <v/>
      </c>
      <c r="N35" s="186" t="str">
        <f t="shared" ref="N35:N40" ca="1" si="3">C35</f>
        <v/>
      </c>
    </row>
    <row r="36" spans="2:14" ht="21.95" customHeight="1" x14ac:dyDescent="0.2">
      <c r="B36" s="117" t="str">
        <f ca="1">IF($C36="","",INDEX(Calc4!$E$4:$E$12,MATCH($C36,Calc4!$F$4:$F$12,0)))</f>
        <v/>
      </c>
      <c r="C36" s="126" t="str">
        <f ca="1">IF(Calc4!$K$13=0,"",Calc4!$AM5)</f>
        <v/>
      </c>
      <c r="D36" s="130" t="str">
        <f ca="1">IF($C36="","",VLOOKUP($C36,Calc4!$C$17:$AC$25,25,0))</f>
        <v/>
      </c>
      <c r="E36" s="114" t="str">
        <f ca="1">IF($C36="","",VLOOKUP($C36,Calc4!$C$17:$AC$25,26,0))</f>
        <v/>
      </c>
      <c r="F36" s="114" t="str">
        <f ca="1">IF($C36="","",VLOOKUP($C36,Calc4!$C$17:$AC$25,27,0))</f>
        <v/>
      </c>
      <c r="G36" s="155" t="str">
        <f ca="1">IF($C36="","",VLOOKUP($C36,Vorrunde!$AH$12:$AI$47,2,0))</f>
        <v/>
      </c>
      <c r="H36" s="138" t="str">
        <f ca="1">IFERROR(VLOOKUP($C36&amp;H$34,Calc4!$Z$64:$AB$207,3,0),"")</f>
        <v/>
      </c>
      <c r="I36" s="123"/>
      <c r="J36" s="114" t="str">
        <f ca="1">IFERROR(VLOOKUP($C36&amp;J$34,Calc4!$Z$64:$AB$207,3,0),"")</f>
        <v/>
      </c>
      <c r="K36" s="114" t="str">
        <f ca="1">IFERROR(VLOOKUP($C36&amp;K$34,Calc4!$Z$64:$AB$207,3,0),"")</f>
        <v/>
      </c>
      <c r="L36" s="114" t="str">
        <f ca="1">IFERROR(VLOOKUP($C36&amp;L$34,Calc4!$Z$64:$AB$207,3,0),"")</f>
        <v/>
      </c>
      <c r="M36" s="159" t="str">
        <f ca="1">IFERROR(VLOOKUP($C36&amp;M$34,Calc4!$Z$64:$AB$207,3,0),"")</f>
        <v/>
      </c>
      <c r="N36" s="187" t="str">
        <f t="shared" ca="1" si="3"/>
        <v/>
      </c>
    </row>
    <row r="37" spans="2:14" ht="21.95" customHeight="1" x14ac:dyDescent="0.2">
      <c r="B37" s="117" t="str">
        <f ca="1">IF($C37="","",INDEX(Calc4!$E$4:$E$12,MATCH($C37,Calc4!$F$4:$F$12,0)))</f>
        <v/>
      </c>
      <c r="C37" s="126" t="str">
        <f ca="1">IF(Calc4!$K$13=0,"",Calc4!$AM6)</f>
        <v/>
      </c>
      <c r="D37" s="130" t="str">
        <f ca="1">IF($C37="","",VLOOKUP($C37,Calc4!$C$17:$AC$25,25,0))</f>
        <v/>
      </c>
      <c r="E37" s="114" t="str">
        <f ca="1">IF($C37="","",VLOOKUP($C37,Calc4!$C$17:$AC$25,26,0))</f>
        <v/>
      </c>
      <c r="F37" s="114" t="str">
        <f ca="1">IF($C37="","",VLOOKUP($C37,Calc4!$C$17:$AC$25,27,0))</f>
        <v/>
      </c>
      <c r="G37" s="155" t="str">
        <f ca="1">IF($C37="","",VLOOKUP($C37,Vorrunde!$AH$12:$AI$47,2,0))</f>
        <v/>
      </c>
      <c r="H37" s="138" t="str">
        <f ca="1">IFERROR(VLOOKUP($C37&amp;H$34,Calc4!$Z$64:$AB$207,3,0),"")</f>
        <v/>
      </c>
      <c r="I37" s="114" t="str">
        <f ca="1">IFERROR(VLOOKUP($C37&amp;I$34,Calc4!$Z$64:$AB$207,3,0),"")</f>
        <v/>
      </c>
      <c r="J37" s="123"/>
      <c r="K37" s="114" t="str">
        <f ca="1">IFERROR(VLOOKUP($C37&amp;K$34,Calc4!$Z$64:$AB$207,3,0),"")</f>
        <v/>
      </c>
      <c r="L37" s="114" t="str">
        <f ca="1">IFERROR(VLOOKUP($C37&amp;L$34,Calc4!$Z$64:$AB$207,3,0),"")</f>
        <v/>
      </c>
      <c r="M37" s="159" t="str">
        <f ca="1">IFERROR(VLOOKUP($C37&amp;M$34,Calc4!$Z$64:$AB$207,3,0),"")</f>
        <v/>
      </c>
      <c r="N37" s="187" t="str">
        <f t="shared" ca="1" si="3"/>
        <v/>
      </c>
    </row>
    <row r="38" spans="2:14" ht="21.95" customHeight="1" x14ac:dyDescent="0.2">
      <c r="B38" s="117" t="str">
        <f ca="1">IF($C38="","",INDEX(Calc4!$E$4:$E$12,MATCH($C38,Calc4!$F$4:$F$12,0)))</f>
        <v/>
      </c>
      <c r="C38" s="126" t="str">
        <f ca="1">IF(Calc4!$K$13=0,"",Calc4!$AM7)</f>
        <v/>
      </c>
      <c r="D38" s="130" t="str">
        <f ca="1">IF($C38="","",VLOOKUP($C38,Calc4!$C$17:$AC$25,25,0))</f>
        <v/>
      </c>
      <c r="E38" s="114" t="str">
        <f ca="1">IF($C38="","",VLOOKUP($C38,Calc4!$C$17:$AC$25,26,0))</f>
        <v/>
      </c>
      <c r="F38" s="114" t="str">
        <f ca="1">IF($C38="","",VLOOKUP($C38,Calc4!$C$17:$AC$25,27,0))</f>
        <v/>
      </c>
      <c r="G38" s="155" t="str">
        <f ca="1">IF($C38="","",VLOOKUP($C38,Vorrunde!$AH$12:$AI$47,2,0))</f>
        <v/>
      </c>
      <c r="H38" s="138" t="str">
        <f ca="1">IFERROR(VLOOKUP($C38&amp;H$34,Calc4!$Z$64:$AB$207,3,0),"")</f>
        <v/>
      </c>
      <c r="I38" s="114" t="str">
        <f ca="1">IFERROR(VLOOKUP($C38&amp;I$34,Calc4!$Z$64:$AB$207,3,0),"")</f>
        <v/>
      </c>
      <c r="J38" s="114" t="str">
        <f ca="1">IFERROR(VLOOKUP($C38&amp;J$34,Calc4!$Z$64:$AB$207,3,0),"")</f>
        <v/>
      </c>
      <c r="K38" s="123"/>
      <c r="L38" s="114" t="str">
        <f ca="1">IFERROR(VLOOKUP($C38&amp;L$34,Calc4!$Z$64:$AB$207,3,0),"")</f>
        <v/>
      </c>
      <c r="M38" s="159" t="str">
        <f ca="1">IFERROR(VLOOKUP($C38&amp;M$34,Calc4!$Z$64:$AB$207,3,0),"")</f>
        <v/>
      </c>
      <c r="N38" s="187" t="str">
        <f t="shared" ca="1" si="3"/>
        <v/>
      </c>
    </row>
    <row r="39" spans="2:14" ht="21.95" customHeight="1" x14ac:dyDescent="0.2">
      <c r="B39" s="117" t="str">
        <f ca="1">IF($C39="","",INDEX(Calc4!$E$4:$E$12,MATCH($C39,Calc4!$F$4:$F$12,0)))</f>
        <v/>
      </c>
      <c r="C39" s="126" t="str">
        <f ca="1">IF(Calc4!$K$13=0,"",Calc4!$AM8)</f>
        <v/>
      </c>
      <c r="D39" s="130" t="str">
        <f ca="1">IF($C39="","",VLOOKUP($C39,Calc4!$C$17:$AC$25,25,0))</f>
        <v/>
      </c>
      <c r="E39" s="114" t="str">
        <f ca="1">IF($C39="","",VLOOKUP($C39,Calc4!$C$17:$AC$25,26,0))</f>
        <v/>
      </c>
      <c r="F39" s="114" t="str">
        <f ca="1">IF($C39="","",VLOOKUP($C39,Calc4!$C$17:$AC$25,27,0))</f>
        <v/>
      </c>
      <c r="G39" s="155" t="str">
        <f ca="1">IF($C39="","",VLOOKUP($C39,Vorrunde!$AH$12:$AI$47,2,0))</f>
        <v/>
      </c>
      <c r="H39" s="138" t="str">
        <f ca="1">IFERROR(VLOOKUP($C39&amp;H$34,Calc4!$Z$64:$AB$207,3,0),"")</f>
        <v/>
      </c>
      <c r="I39" s="114" t="str">
        <f ca="1">IFERROR(VLOOKUP($C39&amp;I$34,Calc4!$Z$64:$AB$207,3,0),"")</f>
        <v/>
      </c>
      <c r="J39" s="114" t="str">
        <f ca="1">IFERROR(VLOOKUP($C39&amp;J$34,Calc4!$Z$64:$AB$207,3,0),"")</f>
        <v/>
      </c>
      <c r="K39" s="114" t="str">
        <f ca="1">IFERROR(VLOOKUP($C39&amp;K$34,Calc4!$Z$64:$AB$207,3,0),"")</f>
        <v/>
      </c>
      <c r="L39" s="123"/>
      <c r="M39" s="159" t="str">
        <f ca="1">IFERROR(VLOOKUP($C39&amp;M$34,Calc4!$Z$64:$AB$207,3,0),"")</f>
        <v/>
      </c>
      <c r="N39" s="187" t="str">
        <f t="shared" ca="1" si="3"/>
        <v/>
      </c>
    </row>
    <row r="40" spans="2:14" ht="21.95" customHeight="1" thickBot="1" x14ac:dyDescent="0.25">
      <c r="B40" s="118" t="str">
        <f ca="1">IF($C40="","",INDEX(Calc4!$E$4:$E$12,MATCH($C40,Calc4!$F$4:$F$12,0)))</f>
        <v/>
      </c>
      <c r="C40" s="127" t="str">
        <f ca="1">IF(Calc4!$K$13=0,"",Calc4!$AM9)</f>
        <v/>
      </c>
      <c r="D40" s="131" t="str">
        <f ca="1">IF($C40="","",VLOOKUP($C40,Calc4!$C$17:$AC$25,25,0))</f>
        <v/>
      </c>
      <c r="E40" s="115" t="str">
        <f ca="1">IF($C40="","",VLOOKUP($C40,Calc4!$C$17:$AC$25,26,0))</f>
        <v/>
      </c>
      <c r="F40" s="115" t="str">
        <f ca="1">IF($C40="","",VLOOKUP($C40,Calc4!$C$17:$AC$25,27,0))</f>
        <v/>
      </c>
      <c r="G40" s="156" t="str">
        <f ca="1">IF($C40="","",VLOOKUP($C40,Vorrunde!$AH$12:$AI$47,2,0))</f>
        <v/>
      </c>
      <c r="H40" s="139" t="str">
        <f ca="1">IFERROR(VLOOKUP($C40&amp;H$34,Calc4!$Z$64:$AB$207,3,0),"")</f>
        <v/>
      </c>
      <c r="I40" s="115" t="str">
        <f ca="1">IFERROR(VLOOKUP($C40&amp;I$34,Calc4!$Z$64:$AB$207,3,0),"")</f>
        <v/>
      </c>
      <c r="J40" s="115" t="str">
        <f ca="1">IFERROR(VLOOKUP($C40&amp;J$34,Calc4!$Z$64:$AB$207,3,0),"")</f>
        <v/>
      </c>
      <c r="K40" s="115" t="str">
        <f ca="1">IFERROR(VLOOKUP($C40&amp;K$34,Calc4!$Z$64:$AB$207,3,0),"")</f>
        <v/>
      </c>
      <c r="L40" s="115" t="str">
        <f ca="1">IFERROR(VLOOKUP($C40&amp;L$34,Calc4!$Z$64:$AB$207,3,0),"")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19"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5AEE-EF68-410F-8F2F-4929D5510D75}">
  <dimension ref="A1:AE42"/>
  <sheetViews>
    <sheetView showGridLines="0" showRowColHeaders="0" workbookViewId="0">
      <selection activeCell="L12" sqref="L12"/>
    </sheetView>
  </sheetViews>
  <sheetFormatPr baseColWidth="10" defaultColWidth="0" defaultRowHeight="12.75" customHeight="1" zeroHeight="1" x14ac:dyDescent="0.2"/>
  <cols>
    <col min="1" max="1" width="10.42578125" style="49" customWidth="1"/>
    <col min="2" max="3" width="5.28515625" style="49" customWidth="1"/>
    <col min="4" max="4" width="11.42578125" style="49" customWidth="1"/>
    <col min="5" max="5" width="9.140625" style="49" customWidth="1"/>
    <col min="6" max="6" width="5.7109375" style="49" customWidth="1"/>
    <col min="7" max="7" width="2"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 customWidth="1"/>
    <col min="24" max="24" width="8.140625" hidden="1" customWidth="1"/>
    <col min="25" max="25" width="15.7109375" hidden="1" customWidth="1"/>
    <col min="26" max="26" width="18.7109375" hidden="1" customWidth="1"/>
    <col min="27" max="27" width="10" hidden="1" customWidth="1"/>
    <col min="28" max="31" width="6.7109375" hidden="1" customWidth="1"/>
    <col min="32" max="16384" width="11.42578125" hidden="1"/>
  </cols>
  <sheetData>
    <row r="1" spans="1:27" ht="13.5" thickBot="1" x14ac:dyDescent="0.25"/>
    <row r="2" spans="1:27" ht="36.75" thickTop="1" x14ac:dyDescent="0.2">
      <c r="H2" s="839" t="str">
        <f>Vorrunde!$G$2</f>
        <v>Internationales U10-Turnier am 12.04.2025</v>
      </c>
      <c r="I2" s="840"/>
      <c r="J2" s="840"/>
      <c r="K2" s="840"/>
      <c r="L2" s="840"/>
      <c r="M2" s="840"/>
      <c r="N2" s="840"/>
      <c r="O2" s="840"/>
      <c r="P2" s="840"/>
      <c r="Q2" s="840"/>
      <c r="R2" s="840"/>
      <c r="S2" s="840"/>
      <c r="T2" s="840"/>
      <c r="U2" s="841"/>
    </row>
    <row r="3" spans="1:27" ht="30" customHeight="1" x14ac:dyDescent="0.2">
      <c r="H3" s="842" t="str">
        <f>Vorrunde!$G$3</f>
        <v>Veranstalter:  1. FC Riedwald</v>
      </c>
      <c r="I3" s="843"/>
      <c r="J3" s="843"/>
      <c r="K3" s="843"/>
      <c r="L3" s="843"/>
      <c r="M3" s="843"/>
      <c r="N3" s="843"/>
      <c r="O3" s="843"/>
      <c r="P3" s="843"/>
      <c r="Q3" s="843"/>
      <c r="R3" s="843"/>
      <c r="S3" s="843"/>
      <c r="T3" s="843"/>
      <c r="U3" s="844"/>
    </row>
    <row r="4" spans="1:27" ht="30" customHeight="1" x14ac:dyDescent="0.2">
      <c r="H4" s="845" t="str">
        <f>Vorrunde!$G$4</f>
        <v>Sporthalle Wiesengrund, Wendiger Str. 51, 65432 Riedwald</v>
      </c>
      <c r="I4" s="846"/>
      <c r="J4" s="846"/>
      <c r="K4" s="846"/>
      <c r="L4" s="846"/>
      <c r="M4" s="846"/>
      <c r="N4" s="846"/>
      <c r="O4" s="846"/>
      <c r="P4" s="846"/>
      <c r="Q4" s="846"/>
      <c r="R4" s="846"/>
      <c r="S4" s="846"/>
      <c r="T4" s="846"/>
      <c r="U4" s="847"/>
    </row>
    <row r="5" spans="1:27" ht="30" customHeight="1" thickBot="1" x14ac:dyDescent="0.25">
      <c r="H5" s="848" t="str">
        <f>Vorrunde!$G$5</f>
        <v>Beginn:  9:00 Uhr</v>
      </c>
      <c r="I5" s="849"/>
      <c r="J5" s="849"/>
      <c r="K5" s="849"/>
      <c r="L5" s="849"/>
      <c r="M5" s="849"/>
      <c r="N5" s="849"/>
      <c r="O5" s="849"/>
      <c r="P5" s="849"/>
      <c r="Q5" s="849"/>
      <c r="R5" s="849"/>
      <c r="S5" s="849"/>
      <c r="T5" s="849"/>
      <c r="U5" s="850"/>
    </row>
    <row r="6" spans="1:27" ht="18" customHeight="1" thickTop="1" thickBot="1" x14ac:dyDescent="0.25"/>
    <row r="7" spans="1:27" ht="30" customHeight="1" thickTop="1" x14ac:dyDescent="0.9">
      <c r="J7" s="877" t="str">
        <f>Sprache!$E$19</f>
        <v>Endrunde</v>
      </c>
      <c r="K7" s="878"/>
      <c r="L7" s="878"/>
      <c r="M7" s="878"/>
      <c r="N7" s="878"/>
      <c r="O7" s="878"/>
      <c r="P7" s="878"/>
      <c r="Q7" s="878"/>
      <c r="R7" s="878"/>
      <c r="S7" s="591"/>
    </row>
    <row r="8" spans="1:27" ht="30" customHeight="1" thickBot="1" x14ac:dyDescent="0.95">
      <c r="J8" s="879"/>
      <c r="K8" s="880"/>
      <c r="L8" s="880"/>
      <c r="M8" s="880"/>
      <c r="N8" s="880"/>
      <c r="O8" s="880"/>
      <c r="P8" s="880"/>
      <c r="Q8" s="880"/>
      <c r="R8" s="880"/>
      <c r="S8" s="591"/>
    </row>
    <row r="9" spans="1:27" ht="12.6" customHeight="1" thickTop="1" x14ac:dyDescent="0.2">
      <c r="R9" s="775" t="str">
        <f>Sprache!$E$20</f>
        <v>Zusätzl. Pause (min)</v>
      </c>
      <c r="X9" s="658" t="s">
        <v>445</v>
      </c>
    </row>
    <row r="10" spans="1:27" ht="27.95" customHeight="1" thickBot="1" x14ac:dyDescent="0.35">
      <c r="C10" s="875" t="str">
        <f>Sprache!$E$58</f>
        <v>Viertelfinale</v>
      </c>
      <c r="D10" s="875"/>
      <c r="E10" s="875"/>
      <c r="F10" s="875"/>
      <c r="G10" s="875"/>
      <c r="H10" s="875"/>
      <c r="R10" s="775"/>
      <c r="X10" s="701">
        <f t="array" aca="1" ref="X10" ca="1">61-SUM(((Planung!$L$6:$L$65="")+(Planung!$N$6:$N$65="")&gt;0)*1)</f>
        <v>41</v>
      </c>
    </row>
    <row r="11" spans="1:27" ht="24" customHeight="1" thickTop="1" thickBot="1" x14ac:dyDescent="0.45">
      <c r="B11" s="343"/>
      <c r="C11" s="386" t="str">
        <f>Sprache!$E$9</f>
        <v>Nr.</v>
      </c>
      <c r="D11" s="653" t="str">
        <f>Sprache!$E$39</f>
        <v>Beginn:</v>
      </c>
      <c r="E11" s="336" t="str">
        <f>Sprache!$E$48</f>
        <v>Feld</v>
      </c>
      <c r="F11" s="824"/>
      <c r="G11" s="825"/>
      <c r="H11" s="826"/>
      <c r="I11" s="783" t="str">
        <f>Sprache!$E$14</f>
        <v>Spielpaarung</v>
      </c>
      <c r="J11" s="783"/>
      <c r="K11" s="783"/>
      <c r="L11" s="783" t="str">
        <f>Sprache!$E$15</f>
        <v>Ergebnis</v>
      </c>
      <c r="M11" s="783"/>
      <c r="N11" s="783"/>
      <c r="O11" s="783" t="str">
        <f>Sprache!$E$101</f>
        <v>Elfmeter</v>
      </c>
      <c r="P11" s="783"/>
      <c r="Q11" s="784"/>
      <c r="R11" s="776"/>
      <c r="T11" s="796" t="str">
        <f>Sprache!$E$60</f>
        <v>Gruppenzweite</v>
      </c>
      <c r="U11" s="796"/>
      <c r="X11" s="658" t="s">
        <v>16</v>
      </c>
      <c r="Y11" s="659" t="s">
        <v>396</v>
      </c>
      <c r="Z11" s="659" t="s">
        <v>398</v>
      </c>
      <c r="AA11" s="658" t="s">
        <v>397</v>
      </c>
    </row>
    <row r="12" spans="1:27" ht="24" customHeight="1" thickTop="1" x14ac:dyDescent="0.2">
      <c r="A12" s="328"/>
      <c r="B12" s="547" t="str">
        <f>Sprache!$E$70&amp;1</f>
        <v>VF 1</v>
      </c>
      <c r="C12" s="378">
        <f ca="1">$X$10</f>
        <v>41</v>
      </c>
      <c r="D12" s="381">
        <f ca="1">IF(Planung!$U$15,"",Planung!$R$13+(Planung!$R$9+Planung!$P$65)/1440)</f>
        <v>0.61805555555555558</v>
      </c>
      <c r="E12" s="364">
        <f>IF(Planung!$U$15,"",1)</f>
        <v>1</v>
      </c>
      <c r="F12" s="413" t="s">
        <v>292</v>
      </c>
      <c r="G12" s="414" t="s">
        <v>5</v>
      </c>
      <c r="H12" s="415" t="s">
        <v>297</v>
      </c>
      <c r="I12" s="365" t="str">
        <f ca="1">VLOOKUP($F12,$T$13:$U$23,2,0)</f>
        <v>FC Barcelona</v>
      </c>
      <c r="J12" s="154" t="s">
        <v>5</v>
      </c>
      <c r="K12" s="366" t="str">
        <f ca="1">VLOOKUP($H12,$T$13:$U$23,2,0)</f>
        <v>Real Madrid</v>
      </c>
      <c r="L12" s="367">
        <v>2</v>
      </c>
      <c r="M12" s="368" t="str">
        <f>Sprache!$E$111</f>
        <v>:</v>
      </c>
      <c r="N12" s="662">
        <v>3</v>
      </c>
      <c r="O12" s="367"/>
      <c r="P12" s="368" t="str">
        <f>Sprache!$E$111</f>
        <v>:</v>
      </c>
      <c r="Q12" s="369"/>
      <c r="R12" s="340"/>
      <c r="S12" s="328"/>
      <c r="T12" s="441"/>
      <c r="U12" s="471" t="str">
        <f>Sprache!$E$10</f>
        <v>Teilnehmer bzw. Mannschaft</v>
      </c>
      <c r="X12" s="328" t="b">
        <f t="shared" ref="X12:X27" ca="1" si="0">AND($I12&lt;&gt;"",$K12&lt;&gt;"",$L12&lt;&gt;"",$N12&lt;&gt;"")</f>
        <v>1</v>
      </c>
      <c r="Y12" s="328" t="str">
        <f t="shared" ref="Y12:Y27" ca="1" si="1">IF(NOT(X12),"",IF($L12&gt;$N12,$I12,IF($L12&lt;$N12,$K12,IF(OR($O12="",$Q12="",$O12=$Q12),"",IF($O12&gt;$Q12,$I12,$K12)))))</f>
        <v>Real Madrid</v>
      </c>
      <c r="Z12" s="328" t="str">
        <f t="shared" ref="Z12:Z15" ca="1" si="2">IF(NOT(X12),"",IF($L12&lt;$N12,$I12,IF($L12&gt;$N12,$K12,IF(OR($O12="",$Q12="",$O12=$Q12),"",IF($O12&lt;$Q12,$I12,$K12)))))</f>
        <v>FC Barcelona</v>
      </c>
      <c r="AA12" s="328" t="b">
        <f t="shared" ref="AA12:AA15" ca="1" si="3">AND(X12,$L12=$N12)</f>
        <v>0</v>
      </c>
    </row>
    <row r="13" spans="1:27" ht="24" customHeight="1" x14ac:dyDescent="0.2">
      <c r="A13" s="328"/>
      <c r="B13" s="548" t="str">
        <f>Sprache!$E$70&amp;2</f>
        <v>VF 2</v>
      </c>
      <c r="C13" s="379">
        <f ca="1">C12+1</f>
        <v>42</v>
      </c>
      <c r="D13" s="382">
        <f t="array" aca="1" ref="D13" ca="1">IF(Planung!$U$15,"",$D$12+QUOTIENT(($C13-$C$12),Planung!$U$11)*(Planung!$R$7+Planung!$R$9)/1440+SUM($R$12:$R12)/1440)</f>
        <v>0.61805555555555558</v>
      </c>
      <c r="E13" s="665">
        <f ca="1">IF(Planung!$U$15,"",MOD($C13-$C$12,Planung!$U$11)+1)</f>
        <v>2</v>
      </c>
      <c r="F13" s="416" t="s">
        <v>293</v>
      </c>
      <c r="G13" s="417" t="s">
        <v>5</v>
      </c>
      <c r="H13" s="418" t="s">
        <v>349</v>
      </c>
      <c r="I13" s="666" t="str">
        <f t="shared" ref="I13:I15" ca="1" si="4">VLOOKUP($F13,$T$13:$U$23,2,0)</f>
        <v>Manchester City</v>
      </c>
      <c r="J13" s="155" t="s">
        <v>5</v>
      </c>
      <c r="K13" s="667" t="str">
        <f t="shared" ref="K13:K15" ca="1" si="5">VLOOKUP($H13,$T$13:$U$23,2,0)</f>
        <v>RB Leipzig</v>
      </c>
      <c r="L13" s="337">
        <v>4</v>
      </c>
      <c r="M13" s="339" t="str">
        <f>Sprache!$E$111</f>
        <v>:</v>
      </c>
      <c r="N13" s="663">
        <v>3</v>
      </c>
      <c r="O13" s="337"/>
      <c r="P13" s="339" t="str">
        <f>Sprache!$E$111</f>
        <v>:</v>
      </c>
      <c r="Q13" s="332"/>
      <c r="R13" s="341"/>
      <c r="S13" s="328"/>
      <c r="T13" s="652" t="s">
        <v>295</v>
      </c>
      <c r="U13" s="472" t="str">
        <f ca="1">IF(Vorrunde!$N$13="","",Vorrunde!$N$13)</f>
        <v>Eintracht Frankfurt</v>
      </c>
      <c r="X13" s="328" t="b">
        <f t="shared" ca="1" si="0"/>
        <v>1</v>
      </c>
      <c r="Y13" s="328" t="str">
        <f t="shared" ca="1" si="1"/>
        <v>Manchester City</v>
      </c>
      <c r="Z13" s="328" t="str">
        <f t="shared" ca="1" si="2"/>
        <v>RB Leipzig</v>
      </c>
      <c r="AA13" s="328" t="b">
        <f t="shared" ca="1" si="3"/>
        <v>0</v>
      </c>
    </row>
    <row r="14" spans="1:27" ht="24" customHeight="1" x14ac:dyDescent="0.2">
      <c r="A14" s="328"/>
      <c r="B14" s="548" t="str">
        <f>Sprache!$E$70&amp;3</f>
        <v>VF 3</v>
      </c>
      <c r="C14" s="379">
        <f t="shared" ref="C14:C15" ca="1" si="6">C13+1</f>
        <v>43</v>
      </c>
      <c r="D14" s="382">
        <f t="array" aca="1" ref="D14" ca="1">IF(Planung!$U$15,"",$D$12+QUOTIENT(($C14-$C$12),Planung!$U$11)*(Planung!$R$7+Planung!$R$9)/1440+SUM($R$12:$R13)/1440)</f>
        <v>0.61805555555555558</v>
      </c>
      <c r="E14" s="665">
        <f ca="1">IF(Planung!$U$15,"",MOD($C14-$C$12,Planung!$U$11)+1)</f>
        <v>3</v>
      </c>
      <c r="F14" s="416" t="s">
        <v>294</v>
      </c>
      <c r="G14" s="417" t="s">
        <v>5</v>
      </c>
      <c r="H14" s="418" t="s">
        <v>295</v>
      </c>
      <c r="I14" s="666" t="str">
        <f t="shared" ca="1" si="4"/>
        <v>Borussia Dortmund</v>
      </c>
      <c r="J14" s="155" t="s">
        <v>5</v>
      </c>
      <c r="K14" s="667" t="str">
        <f t="shared" ca="1" si="5"/>
        <v>Eintracht Frankfurt</v>
      </c>
      <c r="L14" s="337">
        <v>5</v>
      </c>
      <c r="M14" s="339" t="str">
        <f>Sprache!$E$111</f>
        <v>:</v>
      </c>
      <c r="N14" s="663">
        <v>3</v>
      </c>
      <c r="O14" s="337"/>
      <c r="P14" s="339" t="str">
        <f>Sprache!$E$111</f>
        <v>:</v>
      </c>
      <c r="Q14" s="332"/>
      <c r="R14" s="341"/>
      <c r="S14" s="328"/>
      <c r="T14" s="440" t="s">
        <v>296</v>
      </c>
      <c r="U14" s="473" t="str">
        <f ca="1">IF(Vorrunde!$N$23="","",Vorrunde!$N$23)</f>
        <v>Inter Mailand</v>
      </c>
      <c r="X14" s="328" t="b">
        <f t="shared" ca="1" si="0"/>
        <v>1</v>
      </c>
      <c r="Y14" s="328" t="str">
        <f t="shared" ca="1" si="1"/>
        <v>Borussia Dortmund</v>
      </c>
      <c r="Z14" s="328" t="str">
        <f t="shared" ca="1" si="2"/>
        <v>Eintracht Frankfurt</v>
      </c>
      <c r="AA14" s="328" t="b">
        <f t="shared" ca="1" si="3"/>
        <v>0</v>
      </c>
    </row>
    <row r="15" spans="1:27" ht="24" customHeight="1" thickBot="1" x14ac:dyDescent="0.25">
      <c r="A15" s="328"/>
      <c r="B15" s="549" t="str">
        <f>Sprache!$E$70&amp;4</f>
        <v>VF 4</v>
      </c>
      <c r="C15" s="380">
        <f t="shared" ca="1" si="6"/>
        <v>44</v>
      </c>
      <c r="D15" s="383">
        <f t="array" aca="1" ref="D15" ca="1">IF(Planung!$U$15,"",$D$12+QUOTIENT(($C15-$C$12),Planung!$U$11)*(Planung!$R$7+Planung!$R$9)/1440+SUM($R$12:$R14)/1440)</f>
        <v>0.61805555555555558</v>
      </c>
      <c r="E15" s="361">
        <f ca="1">IF(Planung!$U$15,"",MOD($C15-$C$12,Planung!$U$11)+1)</f>
        <v>4</v>
      </c>
      <c r="F15" s="419" t="s">
        <v>348</v>
      </c>
      <c r="G15" s="657" t="s">
        <v>5</v>
      </c>
      <c r="H15" s="421" t="s">
        <v>296</v>
      </c>
      <c r="I15" s="334" t="str">
        <f t="shared" ca="1" si="4"/>
        <v>Paris St. Germain</v>
      </c>
      <c r="J15" s="156" t="s">
        <v>5</v>
      </c>
      <c r="K15" s="335" t="str">
        <f t="shared" ca="1" si="5"/>
        <v>Inter Mailand</v>
      </c>
      <c r="L15" s="338">
        <v>2</v>
      </c>
      <c r="M15" s="362" t="str">
        <f>Sprache!$E$111</f>
        <v>:</v>
      </c>
      <c r="N15" s="664">
        <v>4</v>
      </c>
      <c r="O15" s="338"/>
      <c r="P15" s="362" t="str">
        <f>Sprache!$E$111</f>
        <v>:</v>
      </c>
      <c r="Q15" s="333"/>
      <c r="R15" s="363"/>
      <c r="S15" s="328"/>
      <c r="T15" s="651" t="s">
        <v>297</v>
      </c>
      <c r="U15" s="473" t="str">
        <f ca="1">IF(Vorrunde!$N$33="","",Vorrunde!$N$33)</f>
        <v>Real Madrid</v>
      </c>
      <c r="X15" s="328" t="b">
        <f t="shared" ca="1" si="0"/>
        <v>1</v>
      </c>
      <c r="Y15" s="328" t="str">
        <f t="shared" ca="1" si="1"/>
        <v>Inter Mailand</v>
      </c>
      <c r="Z15" s="328" t="str">
        <f t="shared" ca="1" si="2"/>
        <v>Paris St. Germain</v>
      </c>
      <c r="AA15" s="328" t="b">
        <f t="shared" ca="1" si="3"/>
        <v>0</v>
      </c>
    </row>
    <row r="16" spans="1:27" ht="27.95" customHeight="1" thickTop="1" thickBot="1" x14ac:dyDescent="0.35">
      <c r="A16" s="328"/>
      <c r="B16" s="377"/>
      <c r="C16" s="876" t="str">
        <f>Sprache!$E$78</f>
        <v>Halbfinale Plätze 5 - 8</v>
      </c>
      <c r="D16" s="876"/>
      <c r="E16" s="876"/>
      <c r="F16" s="876"/>
      <c r="G16" s="876"/>
      <c r="H16" s="876"/>
      <c r="I16" s="390"/>
      <c r="J16" s="122"/>
      <c r="K16" s="390"/>
      <c r="L16" s="351"/>
      <c r="M16" s="351"/>
      <c r="N16" s="351"/>
      <c r="O16" s="351"/>
      <c r="P16" s="351"/>
      <c r="Q16" s="351"/>
      <c r="R16" s="353"/>
      <c r="S16" s="328"/>
      <c r="T16" s="405" t="s">
        <v>349</v>
      </c>
      <c r="U16" s="474" t="str">
        <f ca="1">IF(Vorrunde!$N$43="","",Vorrunde!$N$43)</f>
        <v>RB Leipzig</v>
      </c>
    </row>
    <row r="17" spans="1:31" ht="24" customHeight="1" thickTop="1" x14ac:dyDescent="0.2">
      <c r="A17" s="328"/>
      <c r="B17" s="376"/>
      <c r="C17" s="384">
        <f ca="1">C15+1</f>
        <v>45</v>
      </c>
      <c r="D17" s="385">
        <f ca="1">IF(Planung!$U$15,"",$D$15+($R$15+Planung!$R$9+Planung!$R$7)/1440)</f>
        <v>0.64236111111111116</v>
      </c>
      <c r="E17" s="354">
        <f>IF(Planung!$U$15,"",1)</f>
        <v>1</v>
      </c>
      <c r="F17" s="487" t="str">
        <f>B12</f>
        <v>VF 1</v>
      </c>
      <c r="G17" s="654" t="s">
        <v>5</v>
      </c>
      <c r="H17" s="489" t="str">
        <f>B14</f>
        <v>VF 3</v>
      </c>
      <c r="I17" s="355" t="str">
        <f ca="1">INDEX($Z$12:$Z$15,RIGHT($F17,1))</f>
        <v>FC Barcelona</v>
      </c>
      <c r="J17" s="356"/>
      <c r="K17" s="357" t="str">
        <f ca="1">INDEX($Z$12:$Z$15,RIGHT($H17,1))</f>
        <v>Eintracht Frankfurt</v>
      </c>
      <c r="L17" s="358">
        <v>2</v>
      </c>
      <c r="M17" s="359" t="str">
        <f>Sprache!$E$111</f>
        <v>:</v>
      </c>
      <c r="N17" s="668">
        <v>3</v>
      </c>
      <c r="O17" s="358"/>
      <c r="P17" s="359" t="str">
        <f>Sprache!$E$111</f>
        <v>:</v>
      </c>
      <c r="Q17" s="360"/>
      <c r="R17" s="340"/>
      <c r="S17" s="328"/>
      <c r="T17" s="49"/>
      <c r="U17" s="49"/>
      <c r="X17" s="328" t="b">
        <f t="shared" ca="1" si="0"/>
        <v>1</v>
      </c>
      <c r="Y17" s="328" t="str">
        <f t="shared" ca="1" si="1"/>
        <v>Eintracht Frankfurt</v>
      </c>
      <c r="Z17" s="328" t="str">
        <f t="shared" ref="Z17:Z18" ca="1" si="7">IF(NOT(X17),"",IF($L17&lt;$N17,$I17,IF($L17&gt;$N17,$K17,IF(OR($O17="",$Q17="",$O17=$Q17),"",IF($O17&lt;$Q17,$I17,$K17)))))</f>
        <v>FC Barcelona</v>
      </c>
      <c r="AA17" s="328" t="b">
        <f t="shared" ref="AA17:AA18" ca="1" si="8">AND(X17,$L17=$N17)</f>
        <v>0</v>
      </c>
      <c r="AB17" s="581"/>
      <c r="AC17" s="581"/>
      <c r="AD17" s="581"/>
      <c r="AE17" s="581"/>
    </row>
    <row r="18" spans="1:31" ht="24" customHeight="1" thickBot="1" x14ac:dyDescent="0.45">
      <c r="A18" s="328"/>
      <c r="B18" s="376"/>
      <c r="C18" s="380">
        <f t="shared" ref="C17:C18" ca="1" si="9">C17+1</f>
        <v>46</v>
      </c>
      <c r="D18" s="383">
        <f t="array" aca="1" ref="D18" ca="1">IF(Planung!$U$15,"",$D$17+QUOTIENT(($C18-$C$17),Planung!$U$11)*(Planung!$R$7+Planung!$R$9)/1440+SUM($R$17:$R17)/1440)</f>
        <v>0.64236111111111116</v>
      </c>
      <c r="E18" s="361">
        <f ca="1">IF(Planung!$U$15,"",MOD($C18-$C$17,Planung!$U$11)+1)</f>
        <v>2</v>
      </c>
      <c r="F18" s="419" t="str">
        <f>B13</f>
        <v>VF 2</v>
      </c>
      <c r="G18" s="655" t="s">
        <v>5</v>
      </c>
      <c r="H18" s="421" t="str">
        <f>B15</f>
        <v>VF 4</v>
      </c>
      <c r="I18" s="334" t="str">
        <f ca="1">INDEX($Z$12:$Z$15,RIGHT($F18,1))</f>
        <v>RB Leipzig</v>
      </c>
      <c r="J18" s="156"/>
      <c r="K18" s="335" t="str">
        <f ca="1">INDEX($Z$12:$Z$15,RIGHT($H18,1))</f>
        <v>Paris St. Germain</v>
      </c>
      <c r="L18" s="338">
        <v>2</v>
      </c>
      <c r="M18" s="362" t="str">
        <f>Sprache!$E$111</f>
        <v>:</v>
      </c>
      <c r="N18" s="664">
        <v>1</v>
      </c>
      <c r="O18" s="338"/>
      <c r="P18" s="362" t="str">
        <f>Sprache!$E$111</f>
        <v>:</v>
      </c>
      <c r="Q18" s="333"/>
      <c r="R18" s="363"/>
      <c r="S18" s="328"/>
      <c r="T18" s="796" t="str">
        <f>Sprache!$E$59</f>
        <v>Gruppenerste</v>
      </c>
      <c r="U18" s="796"/>
      <c r="X18" s="328" t="b">
        <f t="shared" ca="1" si="0"/>
        <v>1</v>
      </c>
      <c r="Y18" s="328" t="str">
        <f t="shared" ca="1" si="1"/>
        <v>RB Leipzig</v>
      </c>
      <c r="Z18" s="328" t="str">
        <f t="shared" ca="1" si="7"/>
        <v>Paris St. Germain</v>
      </c>
      <c r="AA18" s="328" t="b">
        <f t="shared" ca="1" si="8"/>
        <v>0</v>
      </c>
      <c r="AB18" s="581"/>
      <c r="AC18" s="581"/>
      <c r="AD18" s="581"/>
      <c r="AE18" s="581"/>
    </row>
    <row r="19" spans="1:31" ht="27.95" customHeight="1" thickTop="1" thickBot="1" x14ac:dyDescent="0.35">
      <c r="A19" s="328"/>
      <c r="B19" s="377"/>
      <c r="C19" s="876" t="str">
        <f>Sprache!$E$77</f>
        <v>Halbfinale Plätze 1 - 4</v>
      </c>
      <c r="D19" s="876"/>
      <c r="E19" s="876"/>
      <c r="F19" s="876"/>
      <c r="G19" s="876"/>
      <c r="H19" s="876"/>
      <c r="I19" s="390"/>
      <c r="J19" s="122"/>
      <c r="K19" s="390"/>
      <c r="L19" s="351"/>
      <c r="M19" s="351"/>
      <c r="N19" s="351"/>
      <c r="O19" s="351"/>
      <c r="P19" s="351"/>
      <c r="Q19" s="351"/>
      <c r="R19" s="353"/>
      <c r="S19" s="328"/>
      <c r="T19" s="441"/>
      <c r="U19" s="471" t="str">
        <f>Sprache!$E$10</f>
        <v>Teilnehmer bzw. Mannschaft</v>
      </c>
      <c r="X19" s="49"/>
      <c r="Y19" s="49"/>
      <c r="Z19" s="49"/>
      <c r="AA19" s="49"/>
      <c r="AB19" s="581"/>
      <c r="AC19" s="581"/>
      <c r="AD19" s="581"/>
      <c r="AE19" s="581"/>
    </row>
    <row r="20" spans="1:31" ht="24" customHeight="1" thickTop="1" x14ac:dyDescent="0.2">
      <c r="A20" s="328"/>
      <c r="B20" s="376"/>
      <c r="C20" s="384">
        <f ca="1">C18+1</f>
        <v>47</v>
      </c>
      <c r="D20" s="385">
        <f t="array" aca="1" ref="D20" ca="1">IF(Planung!$U$15,"",$D$17+QUOTIENT(($C20-$C$17),Planung!$U$11)*(Planung!$R$7+Planung!$R$9)/1440+SUM($R$17:$R19)/1440)</f>
        <v>0.64236111111111116</v>
      </c>
      <c r="E20" s="354">
        <f ca="1">IF(Planung!$U$15,"",MOD($C20-$C$17,Planung!$U$11)+1)</f>
        <v>3</v>
      </c>
      <c r="F20" s="487" t="str">
        <f>B12</f>
        <v>VF 1</v>
      </c>
      <c r="G20" s="654" t="s">
        <v>5</v>
      </c>
      <c r="H20" s="489" t="str">
        <f>B14</f>
        <v>VF 3</v>
      </c>
      <c r="I20" s="355" t="str">
        <f ca="1">INDEX($Y$12:$Y$15,RIGHT($F20,1))</f>
        <v>Real Madrid</v>
      </c>
      <c r="J20" s="356" t="s">
        <v>5</v>
      </c>
      <c r="K20" s="357" t="str">
        <f ca="1">INDEX($Y$12:$Y$15,RIGHT($H20,1))</f>
        <v>Borussia Dortmund</v>
      </c>
      <c r="L20" s="358">
        <v>2</v>
      </c>
      <c r="M20" s="359" t="str">
        <f>Sprache!$E$111</f>
        <v>:</v>
      </c>
      <c r="N20" s="668">
        <v>1</v>
      </c>
      <c r="O20" s="358"/>
      <c r="P20" s="359" t="str">
        <f>Sprache!$E$111</f>
        <v>:</v>
      </c>
      <c r="Q20" s="360"/>
      <c r="R20" s="340"/>
      <c r="S20" s="328"/>
      <c r="T20" s="652" t="s">
        <v>292</v>
      </c>
      <c r="U20" s="472" t="str">
        <f ca="1">IF(Vorrunde!$N$12="","",Vorrunde!$N$12)</f>
        <v>FC Barcelona</v>
      </c>
      <c r="X20" s="328" t="b">
        <f t="shared" ca="1" si="0"/>
        <v>1</v>
      </c>
      <c r="Y20" s="328" t="str">
        <f t="shared" ca="1" si="1"/>
        <v>Real Madrid</v>
      </c>
      <c r="Z20" s="328" t="str">
        <f t="shared" ref="Z20:Z21" ca="1" si="10">IF(NOT(X20),"",IF($L20&lt;$N20,$I20,IF($L20&gt;$N20,$K20,IF(OR($O20="",$Q20="",$O20=$Q20),"",IF($O20&lt;$Q20,$I20,$K20)))))</f>
        <v>Borussia Dortmund</v>
      </c>
      <c r="AA20" s="328" t="b">
        <f t="shared" ref="AA20:AA21" ca="1" si="11">AND(X20,$L20=$N20)</f>
        <v>0</v>
      </c>
      <c r="AB20" s="581"/>
      <c r="AC20" s="581"/>
      <c r="AD20" s="581"/>
      <c r="AE20" s="581"/>
    </row>
    <row r="21" spans="1:31" ht="24" customHeight="1" thickBot="1" x14ac:dyDescent="0.25">
      <c r="A21" s="328"/>
      <c r="B21" s="376"/>
      <c r="C21" s="380">
        <f t="shared" ref="C20:C21" ca="1" si="12">C20+1</f>
        <v>48</v>
      </c>
      <c r="D21" s="383">
        <f t="array" aca="1" ref="D21" ca="1">IF(Planung!$U$15,"",$D$17+QUOTIENT(($C21-$C$17),Planung!$U$11)*(Planung!$R$7+Planung!$R$9)/1440+SUM($R$17:$R20)/1440)</f>
        <v>0.64236111111111116</v>
      </c>
      <c r="E21" s="361">
        <f ca="1">IF(Planung!$U$15,"",MOD($C21-$C$17,Planung!$U$11)+1)</f>
        <v>4</v>
      </c>
      <c r="F21" s="419" t="str">
        <f>B13</f>
        <v>VF 2</v>
      </c>
      <c r="G21" s="655" t="s">
        <v>5</v>
      </c>
      <c r="H21" s="421" t="str">
        <f>B15</f>
        <v>VF 4</v>
      </c>
      <c r="I21" s="334" t="str">
        <f ca="1">INDEX($Y$12:$Y$15,RIGHT($F21,1))</f>
        <v>Manchester City</v>
      </c>
      <c r="J21" s="156" t="s">
        <v>5</v>
      </c>
      <c r="K21" s="335" t="str">
        <f ca="1">INDEX($Y$12:$Y$15,RIGHT($H21,1))</f>
        <v>Inter Mailand</v>
      </c>
      <c r="L21" s="338">
        <v>1</v>
      </c>
      <c r="M21" s="362" t="str">
        <f>Sprache!$E$111</f>
        <v>:</v>
      </c>
      <c r="N21" s="664">
        <v>1</v>
      </c>
      <c r="O21" s="338">
        <v>5</v>
      </c>
      <c r="P21" s="362" t="str">
        <f>Sprache!$E$111</f>
        <v>:</v>
      </c>
      <c r="Q21" s="333">
        <v>3</v>
      </c>
      <c r="R21" s="363"/>
      <c r="S21" s="328"/>
      <c r="T21" s="440" t="s">
        <v>293</v>
      </c>
      <c r="U21" s="473" t="str">
        <f ca="1">IF(Vorrunde!$N$22="","",Vorrunde!$N$22)</f>
        <v>Manchester City</v>
      </c>
      <c r="X21" s="328" t="b">
        <f t="shared" ca="1" si="0"/>
        <v>1</v>
      </c>
      <c r="Y21" s="328" t="str">
        <f t="shared" ca="1" si="1"/>
        <v>Manchester City</v>
      </c>
      <c r="Z21" s="328" t="str">
        <f t="shared" ca="1" si="10"/>
        <v>Inter Mailand</v>
      </c>
      <c r="AA21" s="328" t="b">
        <f t="shared" ca="1" si="11"/>
        <v>1</v>
      </c>
    </row>
    <row r="22" spans="1:31" ht="24" customHeight="1" thickTop="1" thickBot="1" x14ac:dyDescent="0.35">
      <c r="C22" s="876" t="str">
        <f>Sprache!$E$84</f>
        <v>Endspiele Plätze 5 - 8</v>
      </c>
      <c r="D22" s="876"/>
      <c r="E22" s="876"/>
      <c r="F22" s="876"/>
      <c r="G22" s="876"/>
      <c r="H22" s="876"/>
      <c r="I22" s="390"/>
      <c r="J22" s="122"/>
      <c r="K22" s="390"/>
      <c r="L22" s="351"/>
      <c r="M22" s="351"/>
      <c r="N22" s="351"/>
      <c r="O22" s="351"/>
      <c r="P22" s="351"/>
      <c r="Q22" s="351"/>
      <c r="R22" s="353"/>
      <c r="T22" s="651" t="s">
        <v>294</v>
      </c>
      <c r="U22" s="473" t="str">
        <f ca="1">IF(Vorrunde!$N$32="","",Vorrunde!$N$32)</f>
        <v>Borussia Dortmund</v>
      </c>
      <c r="X22" s="49"/>
      <c r="Y22" s="49"/>
      <c r="Z22" s="49"/>
      <c r="AA22" s="49"/>
    </row>
    <row r="23" spans="1:31" ht="24" customHeight="1" thickTop="1" thickBot="1" x14ac:dyDescent="0.25">
      <c r="C23" s="384">
        <f ca="1">C21+1</f>
        <v>49</v>
      </c>
      <c r="D23" s="385">
        <f ca="1">IF(Planung!$U$15,"",$D$21+($R$21+Planung!$R$9+Planung!$R$7)/1440)</f>
        <v>0.66666666666666674</v>
      </c>
      <c r="E23" s="354">
        <f>IF(Planung!$U$15,"",1)</f>
        <v>1</v>
      </c>
      <c r="F23" s="869" t="str">
        <f>Sprache!$E$90</f>
        <v>7. Platz</v>
      </c>
      <c r="G23" s="870"/>
      <c r="H23" s="871"/>
      <c r="I23" s="355" t="str">
        <f ca="1">$Z17</f>
        <v>FC Barcelona</v>
      </c>
      <c r="J23" s="356" t="s">
        <v>5</v>
      </c>
      <c r="K23" s="357" t="str">
        <f ca="1">$Z18</f>
        <v>Paris St. Germain</v>
      </c>
      <c r="L23" s="358">
        <v>2</v>
      </c>
      <c r="M23" s="359" t="str">
        <f>Sprache!$E$111</f>
        <v>:</v>
      </c>
      <c r="N23" s="668">
        <v>1</v>
      </c>
      <c r="O23" s="358"/>
      <c r="P23" s="359" t="str">
        <f>Sprache!$E$111</f>
        <v>:</v>
      </c>
      <c r="Q23" s="360"/>
      <c r="R23" s="340"/>
      <c r="T23" s="405" t="s">
        <v>348</v>
      </c>
      <c r="U23" s="474" t="str">
        <f ca="1">IF(Vorrunde!$N$42="","",Vorrunde!$N$42)</f>
        <v>Paris St. Germain</v>
      </c>
      <c r="X23" s="328" t="b">
        <f t="shared" ca="1" si="0"/>
        <v>1</v>
      </c>
      <c r="Y23" s="328" t="str">
        <f t="shared" ca="1" si="1"/>
        <v>FC Barcelona</v>
      </c>
      <c r="Z23" s="328" t="str">
        <f t="shared" ref="Z23:Z24" ca="1" si="13">IF(NOT(X23),"",IF($L23&lt;$N23,$I23,IF($L23&gt;$N23,$K23,IF(OR($O23="",$Q23="",$O23=$Q23),"",IF($O23&lt;$Q23,$I23,$K23)))))</f>
        <v>Paris St. Germain</v>
      </c>
      <c r="AA23" s="328" t="b">
        <f t="shared" ref="AA23:AA24" ca="1" si="14">AND(X23,$L23=$N23)</f>
        <v>0</v>
      </c>
    </row>
    <row r="24" spans="1:31" ht="24" customHeight="1" thickTop="1" thickBot="1" x14ac:dyDescent="0.25">
      <c r="C24" s="380">
        <f t="shared" ref="C23:C24" ca="1" si="15">C23+1</f>
        <v>50</v>
      </c>
      <c r="D24" s="383">
        <f t="array" aca="1" ref="D24" ca="1">IF(Planung!$U$15,"",$D$23+QUOTIENT(($C24-$C$23),Planung!$U$11)*(Planung!$R$7+Planung!$R$9)/1440+SUM($R$23:$R23)/1440)</f>
        <v>0.66666666666666674</v>
      </c>
      <c r="E24" s="361">
        <f>IF(Planung!$U$15,"",1+(Planung!$R$11&gt;1)*1)</f>
        <v>2</v>
      </c>
      <c r="F24" s="872" t="str">
        <f>Sprache!$E$89</f>
        <v>5. Platz</v>
      </c>
      <c r="G24" s="873"/>
      <c r="H24" s="874"/>
      <c r="I24" s="334" t="str">
        <f ca="1">$Y17</f>
        <v>Eintracht Frankfurt</v>
      </c>
      <c r="J24" s="156" t="s">
        <v>5</v>
      </c>
      <c r="K24" s="335" t="str">
        <f ca="1">$Y18</f>
        <v>RB Leipzig</v>
      </c>
      <c r="L24" s="338">
        <v>3</v>
      </c>
      <c r="M24" s="362" t="str">
        <f>Sprache!$E$111</f>
        <v>:</v>
      </c>
      <c r="N24" s="664">
        <v>2</v>
      </c>
      <c r="O24" s="338"/>
      <c r="P24" s="362" t="str">
        <f>Sprache!$E$111</f>
        <v>:</v>
      </c>
      <c r="Q24" s="333"/>
      <c r="R24" s="363"/>
      <c r="X24" s="328" t="b">
        <f t="shared" ca="1" si="0"/>
        <v>1</v>
      </c>
      <c r="Y24" s="328" t="str">
        <f t="shared" ca="1" si="1"/>
        <v>Eintracht Frankfurt</v>
      </c>
      <c r="Z24" s="328" t="str">
        <f t="shared" ca="1" si="13"/>
        <v>RB Leipzig</v>
      </c>
      <c r="AA24" s="328" t="b">
        <f t="shared" ca="1" si="14"/>
        <v>0</v>
      </c>
    </row>
    <row r="25" spans="1:31" ht="24" customHeight="1" thickTop="1" thickBot="1" x14ac:dyDescent="0.35">
      <c r="C25" s="876" t="str">
        <f>Sprache!$E$83</f>
        <v>Endspiele Plätze 1 - 4</v>
      </c>
      <c r="D25" s="876"/>
      <c r="E25" s="876"/>
      <c r="F25" s="876"/>
      <c r="G25" s="876"/>
      <c r="H25" s="876"/>
      <c r="I25" s="390"/>
      <c r="J25" s="122"/>
      <c r="K25" s="390"/>
      <c r="L25" s="351"/>
      <c r="M25" s="351"/>
      <c r="N25" s="351"/>
      <c r="O25" s="351"/>
      <c r="P25" s="351"/>
      <c r="Q25" s="351"/>
      <c r="R25" s="353"/>
      <c r="X25" s="49"/>
      <c r="Y25" s="49"/>
      <c r="Z25" s="49"/>
      <c r="AA25" s="49"/>
    </row>
    <row r="26" spans="1:31" ht="24" customHeight="1" thickTop="1" x14ac:dyDescent="0.2">
      <c r="C26" s="384">
        <f ca="1">C24+1</f>
        <v>51</v>
      </c>
      <c r="D26" s="385">
        <f t="array" aca="1" ref="D26" ca="1">IF(Planung!$U$15,"",$D$23+QUOTIENT(($C26-$C$23),Planung!$U$11)*(Planung!$R$7+Planung!$R$9)/1440+SUM($R$23:$R25)/1440)</f>
        <v>0.66666666666666674</v>
      </c>
      <c r="E26" s="354">
        <f ca="1">IF(Planung!$U$15,"",MOD($C26-$C$23,Planung!$U$11)+1)</f>
        <v>3</v>
      </c>
      <c r="F26" s="869" t="str">
        <f>Sprache!$E$120</f>
        <v>3. Platz</v>
      </c>
      <c r="G26" s="870"/>
      <c r="H26" s="871"/>
      <c r="I26" s="355" t="str">
        <f ca="1">$Z20</f>
        <v>Borussia Dortmund</v>
      </c>
      <c r="J26" s="356" t="s">
        <v>5</v>
      </c>
      <c r="K26" s="357" t="str">
        <f ca="1">$Z21</f>
        <v>Inter Mailand</v>
      </c>
      <c r="L26" s="358">
        <v>2</v>
      </c>
      <c r="M26" s="359" t="str">
        <f>Sprache!$E$111</f>
        <v>:</v>
      </c>
      <c r="N26" s="668">
        <v>1</v>
      </c>
      <c r="O26" s="358"/>
      <c r="P26" s="359" t="str">
        <f>Sprache!$E$111</f>
        <v>:</v>
      </c>
      <c r="Q26" s="360"/>
      <c r="R26" s="340"/>
      <c r="X26" s="328" t="b">
        <f t="shared" ca="1" si="0"/>
        <v>1</v>
      </c>
      <c r="Y26" s="328" t="str">
        <f t="shared" ca="1" si="1"/>
        <v>Borussia Dortmund</v>
      </c>
      <c r="Z26" s="328" t="str">
        <f t="shared" ref="Z26:Z27" ca="1" si="16">IF(NOT(X26),"",IF($L26&lt;$N26,$I26,IF($L26&gt;$N26,$K26,IF(OR($O26="",$Q26="",$O26=$Q26),"",IF($O26&lt;$Q26,$I26,$K26)))))</f>
        <v>Inter Mailand</v>
      </c>
      <c r="AA26" s="328" t="b">
        <f t="shared" ref="AA26:AA27" ca="1" si="17">AND(X26,$L26=$N26)</f>
        <v>0</v>
      </c>
    </row>
    <row r="27" spans="1:31" ht="24" customHeight="1" thickBot="1" x14ac:dyDescent="0.25">
      <c r="C27" s="380">
        <f t="shared" ref="C26:C27" ca="1" si="18">C26+1</f>
        <v>52</v>
      </c>
      <c r="D27" s="383">
        <f ca="1">IF(Planung!$U$15,"",$D$26+($R$26+Planung!$R$9+Planung!$R$7)/1440)</f>
        <v>0.69097222222222232</v>
      </c>
      <c r="E27" s="361">
        <f>IF(Planung!$U$15,"",1)</f>
        <v>1</v>
      </c>
      <c r="F27" s="872" t="str">
        <f>Sprache!$E$121</f>
        <v>Finale</v>
      </c>
      <c r="G27" s="873"/>
      <c r="H27" s="874"/>
      <c r="I27" s="334" t="str">
        <f ca="1">$Y20</f>
        <v>Real Madrid</v>
      </c>
      <c r="J27" s="156" t="s">
        <v>5</v>
      </c>
      <c r="K27" s="335" t="str">
        <f ca="1">$Y21</f>
        <v>Manchester City</v>
      </c>
      <c r="L27" s="338">
        <v>2</v>
      </c>
      <c r="M27" s="362" t="str">
        <f>Sprache!$E$111</f>
        <v>:</v>
      </c>
      <c r="N27" s="664">
        <v>3</v>
      </c>
      <c r="O27" s="338"/>
      <c r="P27" s="362" t="str">
        <f>Sprache!$E$111</f>
        <v>:</v>
      </c>
      <c r="Q27" s="333"/>
      <c r="R27" s="350"/>
      <c r="X27" s="328" t="b">
        <f t="shared" ca="1" si="0"/>
        <v>1</v>
      </c>
      <c r="Y27" s="328" t="str">
        <f t="shared" ca="1" si="1"/>
        <v>Manchester City</v>
      </c>
      <c r="Z27" s="328" t="str">
        <f t="shared" ca="1" si="16"/>
        <v>Real Madrid</v>
      </c>
      <c r="AA27" s="328" t="b">
        <f t="shared" ca="1" si="17"/>
        <v>0</v>
      </c>
    </row>
    <row r="28" spans="1:31" ht="24" customHeight="1" thickTop="1" x14ac:dyDescent="0.2">
      <c r="D28" s="344"/>
    </row>
    <row r="29" spans="1:31" ht="24" customHeight="1" x14ac:dyDescent="0.2">
      <c r="C29" s="346"/>
      <c r="D29" s="346"/>
      <c r="E29" s="346"/>
      <c r="F29" s="346"/>
      <c r="G29" s="346"/>
      <c r="H29" s="346"/>
      <c r="I29" s="347" t="str">
        <f>Sprache!$E$29</f>
        <v>Turnierende:</v>
      </c>
      <c r="J29" s="346"/>
      <c r="K29" s="348">
        <f ca="1">IF(Planung!$R$13="","",$D$27+Planung!$R$7/1440)</f>
        <v>0.71180555555555569</v>
      </c>
      <c r="L29" s="349"/>
      <c r="M29" s="349"/>
      <c r="N29" s="349"/>
      <c r="O29" s="349"/>
      <c r="P29" s="349"/>
      <c r="Q29" s="349"/>
      <c r="R29" s="349"/>
    </row>
    <row r="30" spans="1:31" ht="24" customHeight="1" thickBot="1" x14ac:dyDescent="0.25">
      <c r="D30" s="344"/>
      <c r="Y30" s="575"/>
      <c r="Z30" s="581"/>
      <c r="AA30" s="581"/>
    </row>
    <row r="31" spans="1:31" ht="24" customHeight="1" thickBot="1" x14ac:dyDescent="0.25">
      <c r="F31" s="827" t="str">
        <f>Sprache!$E$119</f>
        <v>Rang</v>
      </c>
      <c r="G31" s="828"/>
      <c r="H31" s="828"/>
      <c r="I31" s="867" t="str">
        <f>"  "&amp;Sprache!$E$10</f>
        <v xml:space="preserve">  Teilnehmer bzw. Mannschaft</v>
      </c>
      <c r="J31" s="867"/>
      <c r="K31" s="868"/>
      <c r="Y31" s="575"/>
      <c r="Z31" s="581"/>
      <c r="AA31" s="581"/>
    </row>
    <row r="32" spans="1:31" ht="24" customHeight="1" thickTop="1" x14ac:dyDescent="0.2">
      <c r="E32" s="345">
        <v>1</v>
      </c>
      <c r="F32" s="829">
        <v>1</v>
      </c>
      <c r="G32" s="830"/>
      <c r="H32" s="830"/>
      <c r="I32" s="853" t="str">
        <f ca="1">$Y27</f>
        <v>Manchester City</v>
      </c>
      <c r="J32" s="853"/>
      <c r="K32" s="854"/>
      <c r="Y32" s="575"/>
      <c r="Z32" s="581"/>
      <c r="AA32" s="581"/>
    </row>
    <row r="33" spans="5:27" ht="24" customHeight="1" x14ac:dyDescent="0.2">
      <c r="E33" s="345">
        <v>2</v>
      </c>
      <c r="F33" s="831">
        <v>2</v>
      </c>
      <c r="G33" s="832"/>
      <c r="H33" s="832"/>
      <c r="I33" s="855" t="str">
        <f ca="1">$Z27</f>
        <v>Real Madrid</v>
      </c>
      <c r="J33" s="855"/>
      <c r="K33" s="856"/>
      <c r="Y33" s="575"/>
      <c r="Z33" s="581"/>
      <c r="AA33" s="581"/>
    </row>
    <row r="34" spans="5:27" ht="24" customHeight="1" x14ac:dyDescent="0.2">
      <c r="E34" s="345">
        <v>3</v>
      </c>
      <c r="F34" s="833">
        <v>3</v>
      </c>
      <c r="G34" s="834"/>
      <c r="H34" s="834"/>
      <c r="I34" s="857" t="str">
        <f ca="1">$Y26</f>
        <v>Borussia Dortmund</v>
      </c>
      <c r="J34" s="857"/>
      <c r="K34" s="858"/>
    </row>
    <row r="35" spans="5:27" ht="24" customHeight="1" x14ac:dyDescent="0.2">
      <c r="E35" s="345">
        <v>4</v>
      </c>
      <c r="F35" s="835">
        <v>4</v>
      </c>
      <c r="G35" s="836"/>
      <c r="H35" s="836"/>
      <c r="I35" s="819" t="str">
        <f ca="1">$Z26</f>
        <v>Inter Mailand</v>
      </c>
      <c r="J35" s="819"/>
      <c r="K35" s="820"/>
    </row>
    <row r="36" spans="5:27" ht="24" customHeight="1" x14ac:dyDescent="0.2">
      <c r="F36" s="835">
        <v>5</v>
      </c>
      <c r="G36" s="836"/>
      <c r="H36" s="836"/>
      <c r="I36" s="819" t="str">
        <f ca="1">$Y24</f>
        <v>Eintracht Frankfurt</v>
      </c>
      <c r="J36" s="819"/>
      <c r="K36" s="820"/>
    </row>
    <row r="37" spans="5:27" ht="24" customHeight="1" x14ac:dyDescent="0.2">
      <c r="F37" s="835">
        <v>6</v>
      </c>
      <c r="G37" s="836"/>
      <c r="H37" s="836"/>
      <c r="I37" s="819" t="str">
        <f ca="1">$Z24</f>
        <v>RB Leipzig</v>
      </c>
      <c r="J37" s="819"/>
      <c r="K37" s="820"/>
    </row>
    <row r="38" spans="5:27" ht="24" customHeight="1" x14ac:dyDescent="0.2">
      <c r="F38" s="835">
        <v>7</v>
      </c>
      <c r="G38" s="836"/>
      <c r="H38" s="836"/>
      <c r="I38" s="819" t="str">
        <f ca="1">$Y23</f>
        <v>FC Barcelona</v>
      </c>
      <c r="J38" s="819"/>
      <c r="K38" s="820"/>
    </row>
    <row r="39" spans="5:27" ht="24" customHeight="1" thickBot="1" x14ac:dyDescent="0.25">
      <c r="F39" s="837">
        <v>8</v>
      </c>
      <c r="G39" s="838"/>
      <c r="H39" s="838"/>
      <c r="I39" s="863" t="str">
        <f ca="1">$Z23</f>
        <v>Paris St. Germain</v>
      </c>
      <c r="J39" s="863"/>
      <c r="K39" s="864"/>
    </row>
    <row r="40" spans="5:27" ht="12.75" customHeight="1" thickTop="1" x14ac:dyDescent="0.2"/>
    <row r="41" spans="5:27" ht="12.75" customHeight="1" x14ac:dyDescent="0.2"/>
    <row r="42" spans="5:27" ht="12.75" customHeight="1" x14ac:dyDescent="0.2"/>
  </sheetData>
  <sheetProtection sheet="1" selectLockedCells="1"/>
  <mergeCells count="39">
    <mergeCell ref="H2:U2"/>
    <mergeCell ref="H3:U3"/>
    <mergeCell ref="H4:U4"/>
    <mergeCell ref="H5:U5"/>
    <mergeCell ref="J7:R8"/>
    <mergeCell ref="I31:K31"/>
    <mergeCell ref="O11:Q11"/>
    <mergeCell ref="T11:U11"/>
    <mergeCell ref="C19:H19"/>
    <mergeCell ref="T18:U18"/>
    <mergeCell ref="R9:R11"/>
    <mergeCell ref="C10:H10"/>
    <mergeCell ref="F11:H11"/>
    <mergeCell ref="I11:K11"/>
    <mergeCell ref="L11:N11"/>
    <mergeCell ref="F35:H35"/>
    <mergeCell ref="I35:K35"/>
    <mergeCell ref="C22:H22"/>
    <mergeCell ref="C16:H16"/>
    <mergeCell ref="F23:H23"/>
    <mergeCell ref="F24:H24"/>
    <mergeCell ref="F32:H32"/>
    <mergeCell ref="I32:K32"/>
    <mergeCell ref="F33:H33"/>
    <mergeCell ref="I33:K33"/>
    <mergeCell ref="F34:H34"/>
    <mergeCell ref="I34:K34"/>
    <mergeCell ref="C25:H25"/>
    <mergeCell ref="F26:H26"/>
    <mergeCell ref="F27:H27"/>
    <mergeCell ref="F31:H31"/>
    <mergeCell ref="F39:H39"/>
    <mergeCell ref="I39:K39"/>
    <mergeCell ref="F36:H36"/>
    <mergeCell ref="I36:K36"/>
    <mergeCell ref="F37:H37"/>
    <mergeCell ref="I37:K37"/>
    <mergeCell ref="F38:H38"/>
    <mergeCell ref="I38:K38"/>
  </mergeCells>
  <conditionalFormatting sqref="C12:Q15 L17:Q18 L20:Q21 L23:Q24 L26:Q27">
    <cfRule type="expression" dxfId="18" priority="3">
      <formula>OR($I12="",$K12="")</formula>
    </cfRule>
  </conditionalFormatting>
  <conditionalFormatting sqref="O12:Q15 O17:Q18 O20:Q21 O23:Q24 O26:Q27">
    <cfRule type="expression" dxfId="17" priority="1">
      <formula>AND($AA12,$O12&lt;&gt;"",$Q12&lt;&gt;"",$O12=$Q12)</formula>
    </cfRule>
    <cfRule type="expression" dxfId="16" priority="2">
      <formula>NOT($AA12)</formula>
    </cfRule>
  </conditionalFormatting>
  <pageMargins left="0.7" right="0.7" top="0.78740157499999996" bottom="0.78740157499999996" header="0.3" footer="0.3"/>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E1F9-EFC3-4335-BE3C-B5B898EF62F3}">
  <dimension ref="A1:AE72"/>
  <sheetViews>
    <sheetView showGridLines="0" showRowColHeaders="0" workbookViewId="0">
      <selection activeCell="L13" sqref="L13"/>
    </sheetView>
  </sheetViews>
  <sheetFormatPr baseColWidth="10" defaultColWidth="0" defaultRowHeight="12.75" customHeight="1" zeroHeight="1" x14ac:dyDescent="0.2"/>
  <cols>
    <col min="1" max="1" width="10.42578125" style="49" customWidth="1"/>
    <col min="2" max="2" width="6.7109375" style="49" customWidth="1"/>
    <col min="3" max="3" width="5.28515625" style="49" customWidth="1"/>
    <col min="4" max="4" width="11.42578125" style="49" customWidth="1"/>
    <col min="5" max="5" width="9.140625" style="49" customWidth="1"/>
    <col min="6" max="6" width="6.7109375" style="49" customWidth="1"/>
    <col min="7" max="7" width="2" style="49" customWidth="1"/>
    <col min="8" max="8" width="6.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 customWidth="1"/>
    <col min="24" max="24" width="8.140625" hidden="1" customWidth="1"/>
    <col min="25" max="25" width="17.7109375" hidden="1" customWidth="1"/>
    <col min="26" max="26" width="18.7109375" hidden="1" customWidth="1"/>
    <col min="27" max="27" width="10" hidden="1" customWidth="1"/>
    <col min="28" max="31" width="6.7109375" hidden="1" customWidth="1"/>
    <col min="32" max="16384" width="11.42578125" hidden="1"/>
  </cols>
  <sheetData>
    <row r="1" spans="2:27" ht="13.5" thickBot="1" x14ac:dyDescent="0.25"/>
    <row r="2" spans="2:27" ht="36.75" thickTop="1" x14ac:dyDescent="0.2">
      <c r="H2" s="839" t="str">
        <f>Vorrunde!$G$2</f>
        <v>Internationales U10-Turnier am 12.04.2025</v>
      </c>
      <c r="I2" s="840"/>
      <c r="J2" s="840"/>
      <c r="K2" s="840"/>
      <c r="L2" s="840"/>
      <c r="M2" s="840"/>
      <c r="N2" s="840"/>
      <c r="O2" s="840"/>
      <c r="P2" s="840"/>
      <c r="Q2" s="840"/>
      <c r="R2" s="840"/>
      <c r="S2" s="840"/>
      <c r="T2" s="840"/>
      <c r="U2" s="841"/>
    </row>
    <row r="3" spans="2:27" ht="30" customHeight="1" x14ac:dyDescent="0.2">
      <c r="H3" s="842" t="str">
        <f>Vorrunde!$G$3</f>
        <v>Veranstalter:  1. FC Riedwald</v>
      </c>
      <c r="I3" s="843"/>
      <c r="J3" s="843"/>
      <c r="K3" s="843"/>
      <c r="L3" s="843"/>
      <c r="M3" s="843"/>
      <c r="N3" s="843"/>
      <c r="O3" s="843"/>
      <c r="P3" s="843"/>
      <c r="Q3" s="843"/>
      <c r="R3" s="843"/>
      <c r="S3" s="843"/>
      <c r="T3" s="843"/>
      <c r="U3" s="844"/>
    </row>
    <row r="4" spans="2:27" ht="30" customHeight="1" x14ac:dyDescent="0.2">
      <c r="H4" s="845" t="str">
        <f>Vorrunde!$G$4</f>
        <v>Sporthalle Wiesengrund, Wendiger Str. 51, 65432 Riedwald</v>
      </c>
      <c r="I4" s="846"/>
      <c r="J4" s="846"/>
      <c r="K4" s="846"/>
      <c r="L4" s="846"/>
      <c r="M4" s="846"/>
      <c r="N4" s="846"/>
      <c r="O4" s="846"/>
      <c r="P4" s="846"/>
      <c r="Q4" s="846"/>
      <c r="R4" s="846"/>
      <c r="S4" s="846"/>
      <c r="T4" s="846"/>
      <c r="U4" s="847"/>
    </row>
    <row r="5" spans="2:27" ht="30" customHeight="1" thickBot="1" x14ac:dyDescent="0.25">
      <c r="H5" s="848" t="str">
        <f>Vorrunde!$G$5</f>
        <v>Beginn:  9:00 Uhr</v>
      </c>
      <c r="I5" s="849"/>
      <c r="J5" s="849"/>
      <c r="K5" s="849"/>
      <c r="L5" s="849"/>
      <c r="M5" s="849"/>
      <c r="N5" s="849"/>
      <c r="O5" s="849"/>
      <c r="P5" s="849"/>
      <c r="Q5" s="849"/>
      <c r="R5" s="849"/>
      <c r="S5" s="849"/>
      <c r="T5" s="849"/>
      <c r="U5" s="850"/>
    </row>
    <row r="6" spans="2:27" ht="18" customHeight="1" thickTop="1" thickBot="1" x14ac:dyDescent="0.25"/>
    <row r="7" spans="2:27" ht="30" customHeight="1" thickTop="1" x14ac:dyDescent="0.9">
      <c r="J7" s="877" t="str">
        <f>Sprache!$E$19</f>
        <v>Endrunde</v>
      </c>
      <c r="K7" s="878"/>
      <c r="L7" s="878"/>
      <c r="M7" s="878"/>
      <c r="N7" s="878"/>
      <c r="O7" s="878"/>
      <c r="P7" s="878"/>
      <c r="Q7" s="878"/>
      <c r="R7" s="878"/>
      <c r="S7" s="591"/>
    </row>
    <row r="8" spans="2:27" ht="30" customHeight="1" thickBot="1" x14ac:dyDescent="0.95">
      <c r="J8" s="879"/>
      <c r="K8" s="880"/>
      <c r="L8" s="880"/>
      <c r="M8" s="880"/>
      <c r="N8" s="880"/>
      <c r="O8" s="880"/>
      <c r="P8" s="880"/>
      <c r="Q8" s="880"/>
      <c r="R8" s="880"/>
      <c r="S8" s="591"/>
    </row>
    <row r="9" spans="2:27" ht="8.25" customHeight="1" thickTop="1" x14ac:dyDescent="0.9">
      <c r="J9" s="703"/>
      <c r="K9" s="703"/>
      <c r="L9" s="703"/>
      <c r="M9" s="703"/>
      <c r="N9" s="703"/>
      <c r="O9" s="703"/>
      <c r="P9" s="703"/>
      <c r="Q9" s="703"/>
      <c r="R9" s="703"/>
      <c r="S9" s="702"/>
    </row>
    <row r="10" spans="2:27" ht="10.5" customHeight="1" x14ac:dyDescent="0.2">
      <c r="C10" s="583"/>
      <c r="D10" s="583"/>
      <c r="E10" s="583"/>
      <c r="F10" s="583"/>
      <c r="G10" s="583"/>
      <c r="H10" s="583"/>
      <c r="I10" s="583"/>
      <c r="R10" s="775" t="str">
        <f>Sprache!$E$20</f>
        <v>Zusätzl. Pause (min)</v>
      </c>
      <c r="X10" s="658" t="s">
        <v>445</v>
      </c>
      <c r="Y10" s="658"/>
    </row>
    <row r="11" spans="2:27" ht="24" customHeight="1" thickBot="1" x14ac:dyDescent="0.35">
      <c r="C11" s="875" t="str">
        <f>Sprache!$E$75</f>
        <v>Viertelfinale Gruppendritte und -vierte</v>
      </c>
      <c r="D11" s="875"/>
      <c r="E11" s="875"/>
      <c r="F11" s="875"/>
      <c r="G11" s="875"/>
      <c r="H11" s="875"/>
      <c r="I11" s="875"/>
      <c r="R11" s="775"/>
      <c r="X11" s="658"/>
      <c r="Y11" s="658"/>
    </row>
    <row r="12" spans="2:27" ht="24" customHeight="1" thickTop="1" thickBot="1" x14ac:dyDescent="0.45">
      <c r="C12" s="386" t="str">
        <f>Sprache!$E$9</f>
        <v>Nr.</v>
      </c>
      <c r="D12" s="713" t="str">
        <f>Sprache!$E$39</f>
        <v>Beginn:</v>
      </c>
      <c r="E12" s="712" t="str">
        <f>Sprache!$E$48</f>
        <v>Feld</v>
      </c>
      <c r="F12" s="824"/>
      <c r="G12" s="825"/>
      <c r="H12" s="826"/>
      <c r="I12" s="783" t="str">
        <f>Sprache!$E$14</f>
        <v>Spielpaarung</v>
      </c>
      <c r="J12" s="783"/>
      <c r="K12" s="783"/>
      <c r="L12" s="783" t="str">
        <f>Sprache!$E$15</f>
        <v>Ergebnis</v>
      </c>
      <c r="M12" s="783"/>
      <c r="N12" s="783"/>
      <c r="O12" s="783" t="str">
        <f>Sprache!$E$101</f>
        <v>Elfmeter</v>
      </c>
      <c r="P12" s="783"/>
      <c r="Q12" s="784"/>
      <c r="R12" s="776"/>
      <c r="T12" s="796" t="str">
        <f>Sprache!$E$62</f>
        <v>Gruppenvierte</v>
      </c>
      <c r="U12" s="796"/>
      <c r="X12" s="711">
        <f t="array" aca="1" ref="X12" ca="1">61-SUM(((Planung!$L$6:$L$65="")+(Planung!$N$6:$N$65="")&gt;0)*1)</f>
        <v>41</v>
      </c>
    </row>
    <row r="13" spans="2:27" ht="24" customHeight="1" thickTop="1" x14ac:dyDescent="0.2">
      <c r="B13" s="547" t="str">
        <f>Sprache!$E$70&amp;1</f>
        <v>VF 1</v>
      </c>
      <c r="C13" s="726">
        <f ca="1">$X$12</f>
        <v>41</v>
      </c>
      <c r="D13" s="727">
        <f ca="1">IF(Planung!$U$15,"",Planung!$R$13+(Planung!$R$9+Planung!$P$65)/1440)</f>
        <v>0.61805555555555558</v>
      </c>
      <c r="E13" s="728">
        <f>IF(Planung!$U$15,"",1)</f>
        <v>1</v>
      </c>
      <c r="F13" s="729" t="s">
        <v>298</v>
      </c>
      <c r="G13" s="730" t="s">
        <v>5</v>
      </c>
      <c r="H13" s="731" t="s">
        <v>303</v>
      </c>
      <c r="I13" s="732" t="str">
        <f ca="1">VLOOKUP($F13,$T$12:$U$51,2,0)</f>
        <v>1. FC Riedwald</v>
      </c>
      <c r="J13" s="733" t="s">
        <v>5</v>
      </c>
      <c r="K13" s="734" t="str">
        <f ca="1">VLOOKUP($H13,$T$12:$U$51,2,0)</f>
        <v>Kickers Rodendorf</v>
      </c>
      <c r="L13" s="735">
        <v>2</v>
      </c>
      <c r="M13" s="339" t="str">
        <f>Sprache!$E$111</f>
        <v>:</v>
      </c>
      <c r="N13" s="736">
        <v>3</v>
      </c>
      <c r="O13" s="735"/>
      <c r="P13" s="339" t="str">
        <f>Sprache!$E$111</f>
        <v>:</v>
      </c>
      <c r="Q13" s="737"/>
      <c r="R13" s="340"/>
      <c r="S13" s="328"/>
      <c r="T13" s="441"/>
      <c r="U13" s="471" t="str">
        <f>Sprache!$E$10</f>
        <v>Teilnehmer bzw. Mannschaft</v>
      </c>
      <c r="X13" s="328" t="b">
        <f ca="1">AND($I13&lt;&gt;"",$K13&lt;&gt;"",$L13&lt;&gt;"",$N13&lt;&gt;"")</f>
        <v>1</v>
      </c>
      <c r="Y13" s="328" t="str">
        <f ca="1">IF(NOT(X13),"",IF($L13&gt;$N13,$I13,IF($L13&lt;$N13,$K13,IF(OR($O13="",$Q13="",$O13=$Q13),"",IF($O13&gt;$Q13,$I13,$K13)))))</f>
        <v>Kickers Rodendorf</v>
      </c>
      <c r="Z13" s="328" t="str">
        <f ca="1">IF(NOT(X13),"",IF($L13&lt;$N13,$I13,IF($L13&gt;$N13,$K13,IF(OR($O13="",$Q13="",$O13=$Q13),"",IF($O13&lt;$Q13,$I13,$K13)))))</f>
        <v>1. FC Riedwald</v>
      </c>
      <c r="AA13" s="328" t="b">
        <f ca="1">AND(X13,$L13=$N13)</f>
        <v>0</v>
      </c>
    </row>
    <row r="14" spans="2:27" ht="24" customHeight="1" x14ac:dyDescent="0.2">
      <c r="B14" s="548" t="str">
        <f>Sprache!$E$70&amp;2</f>
        <v>VF 2</v>
      </c>
      <c r="C14" s="379">
        <f ca="1">C13+1</f>
        <v>42</v>
      </c>
      <c r="D14" s="382">
        <f t="array" aca="1" ref="D14" ca="1">IF(Planung!$U$15,"",$D$13+QUOTIENT(($C14-$C$13),Planung!$U$11)*(Planung!$R$7+Planung!$R$9)/1440+SUM($R$13:$R13)/1440)</f>
        <v>0.61805555555555558</v>
      </c>
      <c r="E14" s="665">
        <f ca="1">IF(Planung!$U$15,"",MOD($C14-$C$13,Planung!$U$11)+1)</f>
        <v>2</v>
      </c>
      <c r="F14" s="416" t="s">
        <v>299</v>
      </c>
      <c r="G14" s="417" t="s">
        <v>5</v>
      </c>
      <c r="H14" s="418" t="s">
        <v>351</v>
      </c>
      <c r="I14" s="666" t="str">
        <f ca="1">VLOOKUP($F14,$T$12:$U$51,2,0)</f>
        <v>Mainz 05</v>
      </c>
      <c r="J14" s="155" t="s">
        <v>5</v>
      </c>
      <c r="K14" s="667" t="str">
        <f ca="1">VLOOKUP($H14,$T$12:$U$51,2,0)</f>
        <v>SV Oberredenburg</v>
      </c>
      <c r="L14" s="337">
        <v>4</v>
      </c>
      <c r="M14" s="339" t="str">
        <f>Sprache!$E$111</f>
        <v>:</v>
      </c>
      <c r="N14" s="663">
        <v>3</v>
      </c>
      <c r="O14" s="337"/>
      <c r="P14" s="339" t="str">
        <f>Sprache!$E$111</f>
        <v>:</v>
      </c>
      <c r="Q14" s="332"/>
      <c r="R14" s="341"/>
      <c r="S14" s="328"/>
      <c r="T14" s="710" t="s">
        <v>301</v>
      </c>
      <c r="U14" s="472" t="str">
        <f ca="1">IF(Vorrunde!$N$15="","",Vorrunde!$N$15)</f>
        <v>VFB Essenheim</v>
      </c>
      <c r="X14" s="328" t="b">
        <f ca="1">AND($I14&lt;&gt;"",$K14&lt;&gt;"",$L14&lt;&gt;"",$N14&lt;&gt;"")</f>
        <v>1</v>
      </c>
      <c r="Y14" s="328" t="str">
        <f ca="1">IF(NOT(X14),"",IF($L14&gt;$N14,$I14,IF($L14&lt;$N14,$K14,IF(OR($O14="",$Q14="",$O14=$Q14),"",IF($O14&gt;$Q14,$I14,$K14)))))</f>
        <v>Mainz 05</v>
      </c>
      <c r="Z14" s="328" t="str">
        <f ca="1">IF(NOT(X14),"",IF($L14&lt;$N14,$I14,IF($L14&gt;$N14,$K14,IF(OR($O14="",$Q14="",$O14=$Q14),"",IF($O14&lt;$Q14,$I14,$K14)))))</f>
        <v>SV Oberredenburg</v>
      </c>
      <c r="AA14" s="328" t="b">
        <f ca="1">AND(X14,$L14=$N14)</f>
        <v>0</v>
      </c>
    </row>
    <row r="15" spans="2:27" ht="24" customHeight="1" x14ac:dyDescent="0.2">
      <c r="B15" s="548" t="str">
        <f>Sprache!$E$70&amp;3</f>
        <v>VF 3</v>
      </c>
      <c r="C15" s="379">
        <f t="shared" ref="C15:C16" ca="1" si="0">C14+1</f>
        <v>43</v>
      </c>
      <c r="D15" s="382">
        <f t="array" aca="1" ref="D15" ca="1">IF(Planung!$U$15,"",$D$13+QUOTIENT(($C15-$C$13),Planung!$U$11)*(Planung!$R$7+Planung!$R$9)/1440+SUM($R$13:$R14)/1440)</f>
        <v>0.61805555555555558</v>
      </c>
      <c r="E15" s="665">
        <f ca="1">IF(Planung!$U$15,"",MOD($C15-$C$13,Planung!$U$11)+1)</f>
        <v>3</v>
      </c>
      <c r="F15" s="416" t="s">
        <v>300</v>
      </c>
      <c r="G15" s="417" t="s">
        <v>5</v>
      </c>
      <c r="H15" s="418" t="s">
        <v>301</v>
      </c>
      <c r="I15" s="666" t="str">
        <f ca="1">VLOOKUP($F15,$T$12:$U$51,2,0)</f>
        <v>1. FC Nürnberg</v>
      </c>
      <c r="J15" s="155" t="s">
        <v>5</v>
      </c>
      <c r="K15" s="667" t="str">
        <f ca="1">VLOOKUP($H15,$T$12:$U$51,2,0)</f>
        <v>VFB Essenheim</v>
      </c>
      <c r="L15" s="337">
        <v>5</v>
      </c>
      <c r="M15" s="339" t="str">
        <f>Sprache!$E$111</f>
        <v>:</v>
      </c>
      <c r="N15" s="663">
        <v>3</v>
      </c>
      <c r="O15" s="337"/>
      <c r="P15" s="339" t="str">
        <f>Sprache!$E$111</f>
        <v>:</v>
      </c>
      <c r="Q15" s="332"/>
      <c r="R15" s="341"/>
      <c r="S15" s="328"/>
      <c r="T15" s="440" t="s">
        <v>302</v>
      </c>
      <c r="U15" s="473" t="str">
        <f ca="1">IF(Vorrunde!$N$25="","",Vorrunde!$N$25)</f>
        <v>FC Grönlingen</v>
      </c>
      <c r="X15" s="328" t="b">
        <f ca="1">AND($I15&lt;&gt;"",$K15&lt;&gt;"",$L15&lt;&gt;"",$N15&lt;&gt;"")</f>
        <v>1</v>
      </c>
      <c r="Y15" s="328" t="str">
        <f ca="1">IF(NOT(X15),"",IF($L15&gt;$N15,$I15,IF($L15&lt;$N15,$K15,IF(OR($O15="",$Q15="",$O15=$Q15),"",IF($O15&gt;$Q15,$I15,$K15)))))</f>
        <v>1. FC Nürnberg</v>
      </c>
      <c r="Z15" s="328" t="str">
        <f ca="1">IF(NOT(X15),"",IF($L15&lt;$N15,$I15,IF($L15&gt;$N15,$K15,IF(OR($O15="",$Q15="",$O15=$Q15),"",IF($O15&lt;$Q15,$I15,$K15)))))</f>
        <v>VFB Essenheim</v>
      </c>
      <c r="AA15" s="328" t="b">
        <f ca="1">AND(X15,$L15=$N15)</f>
        <v>0</v>
      </c>
    </row>
    <row r="16" spans="2:27" ht="24" customHeight="1" thickBot="1" x14ac:dyDescent="0.25">
      <c r="B16" s="549" t="str">
        <f>Sprache!$E$70&amp;4</f>
        <v>VF 4</v>
      </c>
      <c r="C16" s="380">
        <f t="shared" ca="1" si="0"/>
        <v>44</v>
      </c>
      <c r="D16" s="383">
        <f t="array" aca="1" ref="D16" ca="1">IF(Planung!$U$15,"",$D$13+QUOTIENT(($C16-$C$13),Planung!$U$11)*(Planung!$R$7+Planung!$R$9)/1440+SUM($R$13:$R15)/1440)</f>
        <v>0.61805555555555558</v>
      </c>
      <c r="E16" s="361">
        <f ca="1">IF(Planung!$U$15,"",MOD($C16-$C$13,Planung!$U$11)+1)</f>
        <v>4</v>
      </c>
      <c r="F16" s="419" t="s">
        <v>350</v>
      </c>
      <c r="G16" s="715" t="s">
        <v>5</v>
      </c>
      <c r="H16" s="421" t="s">
        <v>302</v>
      </c>
      <c r="I16" s="334" t="str">
        <f ca="1">VLOOKUP($F16,$T$12:$U$51,2,0)</f>
        <v>HSV</v>
      </c>
      <c r="J16" s="156" t="s">
        <v>5</v>
      </c>
      <c r="K16" s="335" t="str">
        <f ca="1">VLOOKUP($H16,$T$12:$U$51,2,0)</f>
        <v>FC Grönlingen</v>
      </c>
      <c r="L16" s="338">
        <v>2</v>
      </c>
      <c r="M16" s="362" t="str">
        <f>Sprache!$E$111</f>
        <v>:</v>
      </c>
      <c r="N16" s="664">
        <v>4</v>
      </c>
      <c r="O16" s="338"/>
      <c r="P16" s="362" t="str">
        <f>Sprache!$E$111</f>
        <v>:</v>
      </c>
      <c r="Q16" s="333"/>
      <c r="R16" s="363"/>
      <c r="S16" s="328"/>
      <c r="T16" s="709" t="s">
        <v>303</v>
      </c>
      <c r="U16" s="473" t="str">
        <f ca="1">IF(Vorrunde!$N$35="","",Vorrunde!$N$35)</f>
        <v>Kickers Rodendorf</v>
      </c>
      <c r="X16" s="328" t="b">
        <f ca="1">AND($I16&lt;&gt;"",$K16&lt;&gt;"",$L16&lt;&gt;"",$N16&lt;&gt;"")</f>
        <v>1</v>
      </c>
      <c r="Y16" s="328" t="str">
        <f ca="1">IF(NOT(X16),"",IF($L16&gt;$N16,$I16,IF($L16&lt;$N16,$K16,IF(OR($O16="",$Q16="",$O16=$Q16),"",IF($O16&gt;$Q16,$I16,$K16)))))</f>
        <v>FC Grönlingen</v>
      </c>
      <c r="Z16" s="328" t="str">
        <f ca="1">IF(NOT(X16),"",IF($L16&lt;$N16,$I16,IF($L16&gt;$N16,$K16,IF(OR($O16="",$Q16="",$O16=$Q16),"",IF($O16&lt;$Q16,$I16,$K16)))))</f>
        <v>HSV</v>
      </c>
      <c r="AA16" s="328" t="b">
        <f ca="1">AND(X16,$L16=$N16)</f>
        <v>0</v>
      </c>
    </row>
    <row r="17" spans="1:27" ht="24" customHeight="1" thickTop="1" thickBot="1" x14ac:dyDescent="0.35">
      <c r="C17" s="876" t="str">
        <f>Sprache!$E$74</f>
        <v>Viertelfinale Gruppenerste und -zweite</v>
      </c>
      <c r="D17" s="876"/>
      <c r="E17" s="876"/>
      <c r="F17" s="876"/>
      <c r="G17" s="876"/>
      <c r="H17" s="876"/>
      <c r="I17" s="876"/>
      <c r="R17" s="704"/>
      <c r="T17" s="405" t="s">
        <v>351</v>
      </c>
      <c r="U17" s="474" t="str">
        <f ca="1">IF(Vorrunde!$N$45="","",Vorrunde!$N$45)</f>
        <v>SV Oberredenburg</v>
      </c>
    </row>
    <row r="18" spans="1:27" ht="24" customHeight="1" thickTop="1" x14ac:dyDescent="0.2">
      <c r="B18" s="547" t="str">
        <f>Sprache!$E$70&amp;5</f>
        <v>VF 5</v>
      </c>
      <c r="C18" s="384">
        <f ca="1">C16+1</f>
        <v>45</v>
      </c>
      <c r="D18" s="385">
        <f t="array" aca="1" ref="D18" ca="1">IF(Planung!$U$15,"",$D$13+QUOTIENT(($C18-$C$13),Planung!$U$11)*(Planung!$R$7+Planung!$R$9)/1440+SUM($R$13:$R17)/1440)</f>
        <v>0.64236111111111116</v>
      </c>
      <c r="E18" s="354">
        <f ca="1">IF(Planung!$U$15,"",MOD($C18-$C$13,Planung!$U$11)+1)</f>
        <v>1</v>
      </c>
      <c r="F18" s="487" t="s">
        <v>292</v>
      </c>
      <c r="G18" s="714" t="s">
        <v>5</v>
      </c>
      <c r="H18" s="489" t="s">
        <v>297</v>
      </c>
      <c r="I18" s="355" t="str">
        <f ca="1">VLOOKUP($F18,$T$12:$U$51,2,0)</f>
        <v>FC Barcelona</v>
      </c>
      <c r="J18" s="356" t="s">
        <v>5</v>
      </c>
      <c r="K18" s="357" t="str">
        <f ca="1">VLOOKUP($H18,$T$12:$U$51,2,0)</f>
        <v>Real Madrid</v>
      </c>
      <c r="L18" s="358">
        <v>2</v>
      </c>
      <c r="M18" s="359" t="str">
        <f>Sprache!$E$111</f>
        <v>:</v>
      </c>
      <c r="N18" s="668">
        <v>3</v>
      </c>
      <c r="O18" s="358"/>
      <c r="P18" s="359" t="str">
        <f>Sprache!$E$111</f>
        <v>:</v>
      </c>
      <c r="Q18" s="360"/>
      <c r="R18" s="340"/>
      <c r="S18" s="328"/>
      <c r="X18" s="328" t="b">
        <f ca="1">AND($I18&lt;&gt;"",$K18&lt;&gt;"",$L18&lt;&gt;"",$N18&lt;&gt;"")</f>
        <v>1</v>
      </c>
      <c r="Y18" s="328" t="str">
        <f ca="1">IF(NOT(X18),"",IF($L18&gt;$N18,$I18,IF($L18&lt;$N18,$K18,IF(OR($O18="",$Q18="",$O18=$Q18),"",IF($O18&gt;$Q18,$I18,$K18)))))</f>
        <v>Real Madrid</v>
      </c>
      <c r="Z18" s="328" t="str">
        <f ca="1">IF(NOT(X18),"",IF($L18&lt;$N18,$I18,IF($L18&gt;$N18,$K18,IF(OR($O18="",$Q18="",$O18=$Q18),"",IF($O18&lt;$Q18,$I18,$K18)))))</f>
        <v>FC Barcelona</v>
      </c>
      <c r="AA18" s="328" t="b">
        <f ca="1">AND(X18,$L18=$N18)</f>
        <v>0</v>
      </c>
    </row>
    <row r="19" spans="1:27" ht="24" customHeight="1" thickBot="1" x14ac:dyDescent="0.45">
      <c r="B19" s="548" t="str">
        <f>Sprache!$E$70&amp;6</f>
        <v>VF 6</v>
      </c>
      <c r="C19" s="379">
        <f t="shared" ref="C19:C21" ca="1" si="1">C18+1</f>
        <v>46</v>
      </c>
      <c r="D19" s="382">
        <f t="array" aca="1" ref="D19" ca="1">IF(Planung!$U$15,"",$D$13+QUOTIENT(($C19-$C$13),Planung!$U$11)*(Planung!$R$7+Planung!$R$9)/1440+SUM($R$13:$R18)/1440)</f>
        <v>0.64236111111111116</v>
      </c>
      <c r="E19" s="665">
        <f ca="1">IF(Planung!$U$15,"",MOD($C19-$C$13,Planung!$U$11)+1)</f>
        <v>2</v>
      </c>
      <c r="F19" s="416" t="s">
        <v>293</v>
      </c>
      <c r="G19" s="417" t="s">
        <v>5</v>
      </c>
      <c r="H19" s="418" t="s">
        <v>349</v>
      </c>
      <c r="I19" s="666" t="str">
        <f ca="1">VLOOKUP($F19,$T$12:$U$51,2,0)</f>
        <v>Manchester City</v>
      </c>
      <c r="J19" s="155" t="s">
        <v>5</v>
      </c>
      <c r="K19" s="667" t="str">
        <f ca="1">VLOOKUP($H19,$T$12:$U$51,2,0)</f>
        <v>RB Leipzig</v>
      </c>
      <c r="L19" s="337">
        <v>4</v>
      </c>
      <c r="M19" s="339" t="str">
        <f>Sprache!$E$111</f>
        <v>:</v>
      </c>
      <c r="N19" s="663">
        <v>3</v>
      </c>
      <c r="O19" s="337"/>
      <c r="P19" s="339" t="str">
        <f>Sprache!$E$111</f>
        <v>:</v>
      </c>
      <c r="Q19" s="332"/>
      <c r="R19" s="341"/>
      <c r="S19" s="328"/>
      <c r="T19" s="796" t="str">
        <f>Sprache!$E$61</f>
        <v>Gruppendritte</v>
      </c>
      <c r="U19" s="796"/>
      <c r="X19" s="328" t="b">
        <f ca="1">AND($I19&lt;&gt;"",$K19&lt;&gt;"",$L19&lt;&gt;"",$N19&lt;&gt;"")</f>
        <v>1</v>
      </c>
      <c r="Y19" s="328" t="str">
        <f ca="1">IF(NOT(X19),"",IF($L19&gt;$N19,$I19,IF($L19&lt;$N19,$K19,IF(OR($O19="",$Q19="",$O19=$Q19),"",IF($O19&gt;$Q19,$I19,$K19)))))</f>
        <v>Manchester City</v>
      </c>
      <c r="Z19" s="328" t="str">
        <f ca="1">IF(NOT(X19),"",IF($L19&lt;$N19,$I19,IF($L19&gt;$N19,$K19,IF(OR($O19="",$Q19="",$O19=$Q19),"",IF($O19&lt;$Q19,$I19,$K19)))))</f>
        <v>RB Leipzig</v>
      </c>
      <c r="AA19" s="328" t="b">
        <f ca="1">AND(X19,$L19=$N19)</f>
        <v>0</v>
      </c>
    </row>
    <row r="20" spans="1:27" ht="24" customHeight="1" thickTop="1" x14ac:dyDescent="0.2">
      <c r="B20" s="548" t="str">
        <f>Sprache!$E$70&amp;7</f>
        <v>VF 7</v>
      </c>
      <c r="C20" s="379">
        <f t="shared" ca="1" si="1"/>
        <v>47</v>
      </c>
      <c r="D20" s="382">
        <f t="array" aca="1" ref="D20" ca="1">IF(Planung!$U$15,"",$D$13+QUOTIENT(($C20-$C$13),Planung!$U$11)*(Planung!$R$7+Planung!$R$9)/1440+SUM($R$13:$R19)/1440)</f>
        <v>0.64236111111111116</v>
      </c>
      <c r="E20" s="665">
        <f ca="1">IF(Planung!$U$15,"",MOD($C20-$C$13,Planung!$U$11)+1)</f>
        <v>3</v>
      </c>
      <c r="F20" s="416" t="s">
        <v>294</v>
      </c>
      <c r="G20" s="417" t="s">
        <v>5</v>
      </c>
      <c r="H20" s="418" t="s">
        <v>295</v>
      </c>
      <c r="I20" s="666" t="str">
        <f ca="1">VLOOKUP($F20,$T$12:$U$51,2,0)</f>
        <v>Borussia Dortmund</v>
      </c>
      <c r="J20" s="155" t="s">
        <v>5</v>
      </c>
      <c r="K20" s="667" t="str">
        <f ca="1">VLOOKUP($H20,$T$12:$U$51,2,0)</f>
        <v>Eintracht Frankfurt</v>
      </c>
      <c r="L20" s="337">
        <v>5</v>
      </c>
      <c r="M20" s="339" t="str">
        <f>Sprache!$E$111</f>
        <v>:</v>
      </c>
      <c r="N20" s="663">
        <v>3</v>
      </c>
      <c r="O20" s="337"/>
      <c r="P20" s="339" t="str">
        <f>Sprache!$E$111</f>
        <v>:</v>
      </c>
      <c r="Q20" s="332"/>
      <c r="R20" s="341"/>
      <c r="S20" s="328"/>
      <c r="T20" s="441"/>
      <c r="U20" s="471" t="str">
        <f>Sprache!$E$10</f>
        <v>Teilnehmer bzw. Mannschaft</v>
      </c>
      <c r="X20" s="328" t="b">
        <f ca="1">AND($I20&lt;&gt;"",$K20&lt;&gt;"",$L20&lt;&gt;"",$N20&lt;&gt;"")</f>
        <v>1</v>
      </c>
      <c r="Y20" s="328" t="str">
        <f ca="1">IF(NOT(X20),"",IF($L20&gt;$N20,$I20,IF($L20&lt;$N20,$K20,IF(OR($O20="",$Q20="",$O20=$Q20),"",IF($O20&gt;$Q20,$I20,$K20)))))</f>
        <v>Borussia Dortmund</v>
      </c>
      <c r="Z20" s="328" t="str">
        <f ca="1">IF(NOT(X20),"",IF($L20&lt;$N20,$I20,IF($L20&gt;$N20,$K20,IF(OR($O20="",$Q20="",$O20=$Q20),"",IF($O20&lt;$Q20,$I20,$K20)))))</f>
        <v>Eintracht Frankfurt</v>
      </c>
      <c r="AA20" s="328" t="b">
        <f ca="1">AND(X20,$L20=$N20)</f>
        <v>0</v>
      </c>
    </row>
    <row r="21" spans="1:27" ht="24" customHeight="1" thickBot="1" x14ac:dyDescent="0.25">
      <c r="B21" s="549" t="str">
        <f>Sprache!$E$70&amp;8</f>
        <v>VF 8</v>
      </c>
      <c r="C21" s="380">
        <f t="shared" ca="1" si="1"/>
        <v>48</v>
      </c>
      <c r="D21" s="383">
        <f t="array" aca="1" ref="D21" ca="1">IF(Planung!$U$15,"",$D$13+QUOTIENT(($C21-$C$13),Planung!$U$11)*(Planung!$R$7+Planung!$R$9)/1440+SUM($R$13:$R20)/1440)</f>
        <v>0.64236111111111116</v>
      </c>
      <c r="E21" s="361">
        <f ca="1">IF(Planung!$U$15,"",MOD($C21-$C$13,Planung!$U$11)+1)</f>
        <v>4</v>
      </c>
      <c r="F21" s="419" t="s">
        <v>348</v>
      </c>
      <c r="G21" s="715" t="s">
        <v>5</v>
      </c>
      <c r="H21" s="421" t="s">
        <v>296</v>
      </c>
      <c r="I21" s="334" t="str">
        <f ca="1">VLOOKUP($F21,$T$12:$U$51,2,0)</f>
        <v>Paris St. Germain</v>
      </c>
      <c r="J21" s="156" t="s">
        <v>5</v>
      </c>
      <c r="K21" s="335" t="str">
        <f ca="1">VLOOKUP($H21,$T$12:$U$51,2,0)</f>
        <v>Inter Mailand</v>
      </c>
      <c r="L21" s="338">
        <v>2</v>
      </c>
      <c r="M21" s="362" t="str">
        <f>Sprache!$E$111</f>
        <v>:</v>
      </c>
      <c r="N21" s="664">
        <v>4</v>
      </c>
      <c r="O21" s="338"/>
      <c r="P21" s="362" t="str">
        <f>Sprache!$E$111</f>
        <v>:</v>
      </c>
      <c r="Q21" s="333"/>
      <c r="R21" s="363"/>
      <c r="S21" s="328"/>
      <c r="T21" s="710" t="s">
        <v>298</v>
      </c>
      <c r="U21" s="472" t="str">
        <f ca="1">IF(Vorrunde!$N$14="","",Vorrunde!$N$14)</f>
        <v>1. FC Riedwald</v>
      </c>
      <c r="X21" s="328" t="b">
        <f ca="1">AND($I21&lt;&gt;"",$K21&lt;&gt;"",$L21&lt;&gt;"",$N21&lt;&gt;"")</f>
        <v>1</v>
      </c>
      <c r="Y21" s="328" t="str">
        <f ca="1">IF(NOT(X21),"",IF($L21&gt;$N21,$I21,IF($L21&lt;$N21,$K21,IF(OR($O21="",$Q21="",$O21=$Q21),"",IF($O21&gt;$Q21,$I21,$K21)))))</f>
        <v>Inter Mailand</v>
      </c>
      <c r="Z21" s="328" t="str">
        <f ca="1">IF(NOT(X21),"",IF($L21&lt;$N21,$I21,IF($L21&gt;$N21,$K21,IF(OR($O21="",$Q21="",$O21=$Q21),"",IF($O21&lt;$Q21,$I21,$K21)))))</f>
        <v>Paris St. Germain</v>
      </c>
      <c r="AA21" s="328" t="b">
        <f ca="1">AND(X21,$L21=$N21)</f>
        <v>0</v>
      </c>
    </row>
    <row r="22" spans="1:27" ht="24" customHeight="1" thickTop="1" x14ac:dyDescent="0.2">
      <c r="B22" s="722"/>
      <c r="C22" s="723"/>
      <c r="D22" s="724"/>
      <c r="E22" s="725"/>
      <c r="F22" s="719"/>
      <c r="G22" s="718"/>
      <c r="H22" s="720"/>
      <c r="I22" s="721"/>
      <c r="J22" s="351"/>
      <c r="K22" s="483"/>
      <c r="L22" s="351"/>
      <c r="M22" s="351"/>
      <c r="N22" s="351"/>
      <c r="O22" s="351"/>
      <c r="P22" s="351"/>
      <c r="Q22" s="351"/>
      <c r="R22" s="479"/>
      <c r="S22" s="328"/>
      <c r="T22" s="440" t="s">
        <v>299</v>
      </c>
      <c r="U22" s="473" t="str">
        <f ca="1">IF(Vorrunde!$N$24="","",Vorrunde!$N$24)</f>
        <v>Mainz 05</v>
      </c>
      <c r="X22" s="328"/>
      <c r="Y22" s="328"/>
      <c r="Z22" s="328"/>
      <c r="AA22" s="328"/>
    </row>
    <row r="23" spans="1:27" ht="24" customHeight="1" thickBot="1" x14ac:dyDescent="0.35">
      <c r="B23" s="722"/>
      <c r="C23" s="875" t="str">
        <f>Sprache!$E$80</f>
        <v>Halbfinale Plätze 13 - 16</v>
      </c>
      <c r="D23" s="875"/>
      <c r="E23" s="875"/>
      <c r="F23" s="875"/>
      <c r="G23" s="875"/>
      <c r="H23" s="875"/>
      <c r="I23" s="875"/>
      <c r="J23" s="351"/>
      <c r="K23" s="483"/>
      <c r="L23" s="351"/>
      <c r="M23" s="351"/>
      <c r="N23" s="351"/>
      <c r="O23" s="351"/>
      <c r="P23" s="351"/>
      <c r="Q23" s="351"/>
      <c r="R23" s="479"/>
      <c r="S23" s="328"/>
      <c r="T23" s="709" t="s">
        <v>300</v>
      </c>
      <c r="U23" s="473" t="str">
        <f ca="1">IF(Vorrunde!$N$34="","",Vorrunde!$N$34)</f>
        <v>1. FC Nürnberg</v>
      </c>
      <c r="X23" s="328"/>
      <c r="Y23" s="328"/>
      <c r="Z23" s="328"/>
      <c r="AA23" s="328"/>
    </row>
    <row r="24" spans="1:27" ht="24" customHeight="1" thickTop="1" thickBot="1" x14ac:dyDescent="0.25">
      <c r="A24" s="328"/>
      <c r="C24" s="386" t="str">
        <f>Sprache!$E$9</f>
        <v>Nr.</v>
      </c>
      <c r="D24" s="713" t="str">
        <f>Sprache!$E$39</f>
        <v>Beginn:</v>
      </c>
      <c r="E24" s="712" t="str">
        <f>Sprache!$E$48</f>
        <v>Feld</v>
      </c>
      <c r="F24" s="824"/>
      <c r="G24" s="825"/>
      <c r="H24" s="826"/>
      <c r="I24" s="783" t="str">
        <f>Sprache!$E$14</f>
        <v>Spielpaarung</v>
      </c>
      <c r="J24" s="783"/>
      <c r="K24" s="783"/>
      <c r="L24" s="783" t="str">
        <f>Sprache!$E$15</f>
        <v>Ergebnis</v>
      </c>
      <c r="M24" s="783"/>
      <c r="N24" s="783"/>
      <c r="O24" s="783" t="str">
        <f>Sprache!$E$101</f>
        <v>Elfmeter</v>
      </c>
      <c r="P24" s="783"/>
      <c r="Q24" s="784"/>
      <c r="R24" s="353"/>
      <c r="S24" s="328"/>
      <c r="T24" s="405" t="s">
        <v>350</v>
      </c>
      <c r="U24" s="474" t="str">
        <f ca="1">IF(Vorrunde!$N$44="","",Vorrunde!$N$44)</f>
        <v>HSV</v>
      </c>
    </row>
    <row r="25" spans="1:27" ht="24" customHeight="1" thickTop="1" x14ac:dyDescent="0.2">
      <c r="A25" s="328"/>
      <c r="C25" s="726">
        <f ca="1">C21+1</f>
        <v>49</v>
      </c>
      <c r="D25" s="727">
        <f t="array" aca="1" ref="D25" ca="1">IF(Planung!$U$15,"",$D$13+QUOTIENT(($C25-$C$13),Planung!$U$11)*(Planung!$R$7+Planung!$R$9)/1440+SUM($R$13:$R24)/1440)</f>
        <v>0.66666666666666674</v>
      </c>
      <c r="E25" s="728">
        <f ca="1">IF(Planung!$U$15,"",MOD($C25-$C$13,Planung!$U$11)+1)</f>
        <v>1</v>
      </c>
      <c r="F25" s="729" t="str">
        <f>B13</f>
        <v>VF 1</v>
      </c>
      <c r="G25" s="730" t="s">
        <v>5</v>
      </c>
      <c r="H25" s="731" t="str">
        <f>B15</f>
        <v>VF 3</v>
      </c>
      <c r="I25" s="732" t="str">
        <f ca="1">VLOOKUP(F25,$B$12:$Z$21,25,0)</f>
        <v>1. FC Riedwald</v>
      </c>
      <c r="J25" s="733" t="s">
        <v>5</v>
      </c>
      <c r="K25" s="734" t="str">
        <f ca="1">VLOOKUP(H25,$B$12:$Z$21,25,0)</f>
        <v>VFB Essenheim</v>
      </c>
      <c r="L25" s="735">
        <v>2</v>
      </c>
      <c r="M25" s="339" t="str">
        <f>Sprache!$E$111</f>
        <v>:</v>
      </c>
      <c r="N25" s="736">
        <v>3</v>
      </c>
      <c r="O25" s="735"/>
      <c r="P25" s="339" t="str">
        <f>Sprache!$E$111</f>
        <v>:</v>
      </c>
      <c r="Q25" s="737"/>
      <c r="R25" s="340"/>
      <c r="S25" s="328"/>
      <c r="X25" s="328" t="b">
        <f ca="1">AND($I25&lt;&gt;"",$K25&lt;&gt;"",$L25&lt;&gt;"",$N25&lt;&gt;"")</f>
        <v>1</v>
      </c>
      <c r="Y25" s="328" t="str">
        <f ca="1">IF(NOT(X25),"",IF($L25&gt;$N25,$I25,IF($L25&lt;$N25,$K25,IF(OR($O25="",$Q25="",$O25=$Q25),"",IF($O25&gt;$Q25,$I25,$K25)))))</f>
        <v>VFB Essenheim</v>
      </c>
      <c r="Z25" s="328" t="str">
        <f ca="1">IF(NOT(X25),"",IF($L25&lt;$N25,$I25,IF($L25&gt;$N25,$K25,IF(OR($O25="",$Q25="",$O25=$Q25),"",IF($O25&lt;$Q25,$I25,$K25)))))</f>
        <v>1. FC Riedwald</v>
      </c>
      <c r="AA25" s="328" t="b">
        <f ca="1">AND(X25,$L25=$N25)</f>
        <v>0</v>
      </c>
    </row>
    <row r="26" spans="1:27" ht="24" customHeight="1" thickBot="1" x14ac:dyDescent="0.45">
      <c r="A26" s="328"/>
      <c r="C26" s="380">
        <f ca="1">C25+1</f>
        <v>50</v>
      </c>
      <c r="D26" s="383">
        <f t="array" aca="1" ref="D26" ca="1">IF(Planung!$U$15,"",$D$13+QUOTIENT(($C26-$C$13),Planung!$U$11)*(Planung!$R$7+Planung!$R$9)/1440+SUM($R$13:$R25)/1440)</f>
        <v>0.66666666666666674</v>
      </c>
      <c r="E26" s="361">
        <f ca="1">IF(Planung!$U$15,"",MOD($C26-$C$13,Planung!$U$11)+1)</f>
        <v>2</v>
      </c>
      <c r="F26" s="419" t="str">
        <f>B14</f>
        <v>VF 2</v>
      </c>
      <c r="G26" s="715" t="s">
        <v>5</v>
      </c>
      <c r="H26" s="421" t="str">
        <f>B16</f>
        <v>VF 4</v>
      </c>
      <c r="I26" s="334" t="str">
        <f ca="1">VLOOKUP(F26,$B$12:$Z$21,25,0)</f>
        <v>SV Oberredenburg</v>
      </c>
      <c r="J26" s="156" t="s">
        <v>5</v>
      </c>
      <c r="K26" s="335" t="str">
        <f ca="1">VLOOKUP(H26,$B$12:$Z$21,25,0)</f>
        <v>HSV</v>
      </c>
      <c r="L26" s="338">
        <v>2</v>
      </c>
      <c r="M26" s="362" t="str">
        <f>Sprache!$E$111</f>
        <v>:</v>
      </c>
      <c r="N26" s="664">
        <v>1</v>
      </c>
      <c r="O26" s="338"/>
      <c r="P26" s="362" t="str">
        <f>Sprache!$E$111</f>
        <v>:</v>
      </c>
      <c r="Q26" s="333"/>
      <c r="R26" s="363"/>
      <c r="S26" s="328"/>
      <c r="T26" s="796" t="str">
        <f>Sprache!$E$60</f>
        <v>Gruppenzweite</v>
      </c>
      <c r="U26" s="796"/>
      <c r="X26" s="328" t="b">
        <f ca="1">AND($I26&lt;&gt;"",$K26&lt;&gt;"",$L26&lt;&gt;"",$N26&lt;&gt;"")</f>
        <v>1</v>
      </c>
      <c r="Y26" s="328" t="str">
        <f ca="1">IF(NOT(X26),"",IF($L26&gt;$N26,$I26,IF($L26&lt;$N26,$K26,IF(OR($O26="",$Q26="",$O26=$Q26),"",IF($O26&gt;$Q26,$I26,$K26)))))</f>
        <v>SV Oberredenburg</v>
      </c>
      <c r="Z26" s="328" t="str">
        <f ca="1">IF(NOT(X26),"",IF($L26&lt;$N26,$I26,IF($L26&gt;$N26,$K26,IF(OR($O26="",$Q26="",$O26=$Q26),"",IF($O26&lt;$Q26,$I26,$K26)))))</f>
        <v>HSV</v>
      </c>
      <c r="AA26" s="328" t="b">
        <f ca="1">AND(X26,$L26=$N26)</f>
        <v>0</v>
      </c>
    </row>
    <row r="27" spans="1:27" ht="24" customHeight="1" thickTop="1" thickBot="1" x14ac:dyDescent="0.35">
      <c r="A27" s="328"/>
      <c r="C27" s="876" t="str">
        <f>Sprache!$E$79</f>
        <v>Halbfinale Plätze 9 - 12</v>
      </c>
      <c r="D27" s="876"/>
      <c r="E27" s="876"/>
      <c r="F27" s="876"/>
      <c r="G27" s="876"/>
      <c r="H27" s="876"/>
      <c r="I27" s="876"/>
      <c r="J27" s="122"/>
      <c r="K27" s="390" t="s">
        <v>270</v>
      </c>
      <c r="L27" s="351"/>
      <c r="M27" s="351"/>
      <c r="N27" s="351"/>
      <c r="O27" s="351"/>
      <c r="P27" s="351"/>
      <c r="Q27" s="351"/>
      <c r="R27" s="353"/>
      <c r="S27" s="328"/>
      <c r="T27" s="441"/>
      <c r="U27" s="471" t="str">
        <f>Sprache!$E$10</f>
        <v>Teilnehmer bzw. Mannschaft</v>
      </c>
      <c r="X27" s="49"/>
      <c r="Y27" s="49"/>
      <c r="Z27" s="49"/>
      <c r="AA27" s="49"/>
    </row>
    <row r="28" spans="1:27" ht="24" customHeight="1" thickTop="1" x14ac:dyDescent="0.2">
      <c r="A28" s="328"/>
      <c r="C28" s="384">
        <f ca="1">C26+1</f>
        <v>51</v>
      </c>
      <c r="D28" s="385">
        <f t="array" aca="1" ref="D28" ca="1">IF(Planung!$U$15,"",$D$13+QUOTIENT(($C28-$C$13),Planung!$U$11)*(Planung!$R$7+Planung!$R$9)/1440+SUM($R$13:$R27)/1440)</f>
        <v>0.66666666666666674</v>
      </c>
      <c r="E28" s="354">
        <f ca="1">IF(Planung!$U$15,"",MOD($C28-$C$13,Planung!$U$11)+1)</f>
        <v>3</v>
      </c>
      <c r="F28" s="487" t="str">
        <f>B13</f>
        <v>VF 1</v>
      </c>
      <c r="G28" s="714" t="s">
        <v>5</v>
      </c>
      <c r="H28" s="489" t="str">
        <f>B15</f>
        <v>VF 3</v>
      </c>
      <c r="I28" s="355" t="str">
        <f ca="1">VLOOKUP(F28,$B$12:$Z$21,24,0)</f>
        <v>Kickers Rodendorf</v>
      </c>
      <c r="J28" s="356" t="s">
        <v>5</v>
      </c>
      <c r="K28" s="357" t="str">
        <f ca="1">VLOOKUP(H28,$B$12:$Z$21,24,0)</f>
        <v>1. FC Nürnberg</v>
      </c>
      <c r="L28" s="358">
        <v>2</v>
      </c>
      <c r="M28" s="359" t="str">
        <f>Sprache!$E$111</f>
        <v>:</v>
      </c>
      <c r="N28" s="668">
        <v>1</v>
      </c>
      <c r="O28" s="358"/>
      <c r="P28" s="359" t="str">
        <f>Sprache!$E$111</f>
        <v>:</v>
      </c>
      <c r="Q28" s="360"/>
      <c r="R28" s="340"/>
      <c r="S28" s="328"/>
      <c r="T28" s="710" t="s">
        <v>295</v>
      </c>
      <c r="U28" s="472" t="str">
        <f ca="1">IF(Vorrunde!$N$13="","",Vorrunde!$N$13)</f>
        <v>Eintracht Frankfurt</v>
      </c>
      <c r="X28" s="328" t="b">
        <f ca="1">AND($I28&lt;&gt;"",$K28&lt;&gt;"",$L28&lt;&gt;"",$N28&lt;&gt;"")</f>
        <v>1</v>
      </c>
      <c r="Y28" s="328" t="str">
        <f ca="1">IF(NOT(X28),"",IF($L28&gt;$N28,$I28,IF($L28&lt;$N28,$K28,IF(OR($O28="",$Q28="",$O28=$Q28),"",IF($O28&gt;$Q28,$I28,$K28)))))</f>
        <v>Kickers Rodendorf</v>
      </c>
      <c r="Z28" s="328" t="str">
        <f ca="1">IF(NOT(X28),"",IF($L28&lt;$N28,$I28,IF($L28&gt;$N28,$K28,IF(OR($O28="",$Q28="",$O28=$Q28),"",IF($O28&lt;$Q28,$I28,$K28)))))</f>
        <v>1. FC Nürnberg</v>
      </c>
      <c r="AA28" s="328" t="b">
        <f ca="1">AND(X28,$L28=$N28)</f>
        <v>0</v>
      </c>
    </row>
    <row r="29" spans="1:27" ht="24" customHeight="1" thickBot="1" x14ac:dyDescent="0.25">
      <c r="A29" s="328"/>
      <c r="C29" s="380">
        <f t="shared" ref="C29" ca="1" si="2">C28+1</f>
        <v>52</v>
      </c>
      <c r="D29" s="383">
        <f t="array" aca="1" ref="D29" ca="1">IF(Planung!$U$15,"",$D$13+QUOTIENT(($C29-$C$13),Planung!$U$11)*(Planung!$R$7+Planung!$R$9)/1440+SUM($R$13:$R28)/1440)</f>
        <v>0.66666666666666674</v>
      </c>
      <c r="E29" s="361">
        <f ca="1">IF(Planung!$U$15,"",MOD($C29-$C$13,Planung!$U$11)+1)</f>
        <v>4</v>
      </c>
      <c r="F29" s="419" t="str">
        <f>B14</f>
        <v>VF 2</v>
      </c>
      <c r="G29" s="715" t="s">
        <v>5</v>
      </c>
      <c r="H29" s="421" t="str">
        <f>B16</f>
        <v>VF 4</v>
      </c>
      <c r="I29" s="334" t="str">
        <f ca="1">VLOOKUP(F29,$B$12:$Z$21,24,0)</f>
        <v>Mainz 05</v>
      </c>
      <c r="J29" s="156" t="s">
        <v>5</v>
      </c>
      <c r="K29" s="335" t="str">
        <f ca="1">VLOOKUP(H29,$B$12:$Z$21,24,0)</f>
        <v>FC Grönlingen</v>
      </c>
      <c r="L29" s="338">
        <v>1</v>
      </c>
      <c r="M29" s="362" t="str">
        <f>Sprache!$E$111</f>
        <v>:</v>
      </c>
      <c r="N29" s="664">
        <v>1</v>
      </c>
      <c r="O29" s="338">
        <v>5</v>
      </c>
      <c r="P29" s="362" t="str">
        <f>Sprache!$E$111</f>
        <v>:</v>
      </c>
      <c r="Q29" s="333">
        <v>3</v>
      </c>
      <c r="R29" s="363"/>
      <c r="S29" s="328"/>
      <c r="T29" s="440" t="s">
        <v>296</v>
      </c>
      <c r="U29" s="473" t="str">
        <f ca="1">IF(Vorrunde!$N$23="","",Vorrunde!$N$23)</f>
        <v>Inter Mailand</v>
      </c>
      <c r="X29" s="328" t="b">
        <f ca="1">AND($I29&lt;&gt;"",$K29&lt;&gt;"",$L29&lt;&gt;"",$N29&lt;&gt;"")</f>
        <v>1</v>
      </c>
      <c r="Y29" s="328" t="str">
        <f ca="1">IF(NOT(X29),"",IF($L29&gt;$N29,$I29,IF($L29&lt;$N29,$K29,IF(OR($O29="",$Q29="",$O29=$Q29),"",IF($O29&gt;$Q29,$I29,$K29)))))</f>
        <v>Mainz 05</v>
      </c>
      <c r="Z29" s="328" t="str">
        <f ca="1">IF(NOT(X29),"",IF($L29&lt;$N29,$I29,IF($L29&gt;$N29,$K29,IF(OR($O29="",$Q29="",$O29=$Q29),"",IF($O29&lt;$Q29,$I29,$K29)))))</f>
        <v>FC Grönlingen</v>
      </c>
      <c r="AA29" s="328" t="b">
        <f ca="1">AND(X29,$L29=$N29)</f>
        <v>1</v>
      </c>
    </row>
    <row r="30" spans="1:27" ht="24" customHeight="1" thickTop="1" thickBot="1" x14ac:dyDescent="0.35">
      <c r="A30" s="328"/>
      <c r="C30" s="876" t="str">
        <f>Sprache!$E$78</f>
        <v>Halbfinale Plätze 5 - 8</v>
      </c>
      <c r="D30" s="876"/>
      <c r="E30" s="876"/>
      <c r="F30" s="876"/>
      <c r="G30" s="876"/>
      <c r="H30" s="876"/>
      <c r="I30" s="876"/>
      <c r="J30" s="122"/>
      <c r="K30" s="390" t="s">
        <v>270</v>
      </c>
      <c r="L30" s="351"/>
      <c r="M30" s="351"/>
      <c r="N30" s="351"/>
      <c r="O30" s="351"/>
      <c r="P30" s="351"/>
      <c r="Q30" s="351"/>
      <c r="R30" s="353"/>
      <c r="S30" s="328"/>
      <c r="T30" s="709" t="s">
        <v>297</v>
      </c>
      <c r="U30" s="473" t="str">
        <f ca="1">IF(Vorrunde!$N$33="","",Vorrunde!$N$33)</f>
        <v>Real Madrid</v>
      </c>
      <c r="X30" s="49"/>
      <c r="Y30" s="49"/>
      <c r="Z30" s="49"/>
      <c r="AA30" s="49"/>
    </row>
    <row r="31" spans="1:27" ht="24" customHeight="1" thickTop="1" thickBot="1" x14ac:dyDescent="0.25">
      <c r="A31" s="328"/>
      <c r="C31" s="384">
        <f ca="1">C29+1</f>
        <v>53</v>
      </c>
      <c r="D31" s="385">
        <f t="array" aca="1" ref="D31" ca="1">IF(Planung!$U$15,"",$D$13+QUOTIENT(($C31-$C$13),Planung!$U$11)*(Planung!$R$7+Planung!$R$9)/1440+SUM($R$13:$R30)/1440)</f>
        <v>0.69097222222222221</v>
      </c>
      <c r="E31" s="354">
        <f ca="1">IF(Planung!$U$15,"",MOD($C31-$C$13,Planung!$U$11)+1)</f>
        <v>1</v>
      </c>
      <c r="F31" s="487" t="str">
        <f>B18</f>
        <v>VF 5</v>
      </c>
      <c r="G31" s="714" t="s">
        <v>5</v>
      </c>
      <c r="H31" s="489" t="str">
        <f>B20</f>
        <v>VF 7</v>
      </c>
      <c r="I31" s="355" t="str">
        <f ca="1">VLOOKUP(F31,$B$12:$Z$21,25,0)</f>
        <v>FC Barcelona</v>
      </c>
      <c r="J31" s="356" t="s">
        <v>5</v>
      </c>
      <c r="K31" s="357" t="str">
        <f ca="1">VLOOKUP(H31,$B$12:$Z$21,25,0)</f>
        <v>Eintracht Frankfurt</v>
      </c>
      <c r="L31" s="358">
        <v>2</v>
      </c>
      <c r="M31" s="359" t="str">
        <f>Sprache!$E$111</f>
        <v>:</v>
      </c>
      <c r="N31" s="668">
        <v>1</v>
      </c>
      <c r="O31" s="358"/>
      <c r="P31" s="359" t="str">
        <f>Sprache!$E$111</f>
        <v>:</v>
      </c>
      <c r="Q31" s="360"/>
      <c r="R31" s="340"/>
      <c r="S31" s="328"/>
      <c r="T31" s="405" t="s">
        <v>349</v>
      </c>
      <c r="U31" s="474" t="str">
        <f ca="1">IF(Vorrunde!$N$43="","",Vorrunde!$N$43)</f>
        <v>RB Leipzig</v>
      </c>
      <c r="X31" s="328" t="b">
        <f ca="1">AND($I31&lt;&gt;"",$K31&lt;&gt;"",$L31&lt;&gt;"",$N31&lt;&gt;"")</f>
        <v>1</v>
      </c>
      <c r="Y31" s="328" t="str">
        <f ca="1">IF(NOT(X31),"",IF($L31&gt;$N31,$I31,IF($L31&lt;$N31,$K31,IF(OR($O31="",$Q31="",$O31=$Q31),"",IF($O31&gt;$Q31,$I31,$K31)))))</f>
        <v>FC Barcelona</v>
      </c>
      <c r="Z31" s="328" t="str">
        <f ca="1">IF(NOT(X31),"",IF($L31&lt;$N31,$I31,IF($L31&gt;$N31,$K31,IF(OR($O31="",$Q31="",$O31=$Q31),"",IF($O31&lt;$Q31,$I31,$K31)))))</f>
        <v>Eintracht Frankfurt</v>
      </c>
      <c r="AA31" s="328" t="b">
        <f ca="1">AND(X31,$L31=$N31)</f>
        <v>0</v>
      </c>
    </row>
    <row r="32" spans="1:27" ht="24" customHeight="1" thickTop="1" thickBot="1" x14ac:dyDescent="0.25">
      <c r="A32" s="328"/>
      <c r="C32" s="380">
        <f t="shared" ref="C32" ca="1" si="3">C31+1</f>
        <v>54</v>
      </c>
      <c r="D32" s="383">
        <f t="array" aca="1" ref="D32" ca="1">IF(Planung!$U$15,"",$D$13+QUOTIENT(($C32-$C$13),Planung!$U$11)*(Planung!$R$7+Planung!$R$9)/1440+SUM($R$13:$R31)/1440)</f>
        <v>0.69097222222222221</v>
      </c>
      <c r="E32" s="361">
        <f ca="1">IF(Planung!$U$15,"",MOD($C32-$C$13,Planung!$U$11)+1)</f>
        <v>2</v>
      </c>
      <c r="F32" s="419" t="str">
        <f>B19</f>
        <v>VF 6</v>
      </c>
      <c r="G32" s="715" t="s">
        <v>5</v>
      </c>
      <c r="H32" s="421" t="str">
        <f>B21</f>
        <v>VF 8</v>
      </c>
      <c r="I32" s="334" t="str">
        <f ca="1">VLOOKUP(F32,$B$12:$Z$21,25,0)</f>
        <v>RB Leipzig</v>
      </c>
      <c r="J32" s="156" t="s">
        <v>5</v>
      </c>
      <c r="K32" s="335" t="str">
        <f ca="1">VLOOKUP(H32,$B$12:$Z$21,25,0)</f>
        <v>Paris St. Germain</v>
      </c>
      <c r="L32" s="338">
        <v>1</v>
      </c>
      <c r="M32" s="362" t="str">
        <f>Sprache!$E$111</f>
        <v>:</v>
      </c>
      <c r="N32" s="664">
        <v>1</v>
      </c>
      <c r="O32" s="338">
        <v>5</v>
      </c>
      <c r="P32" s="362" t="str">
        <f>Sprache!$E$111</f>
        <v>:</v>
      </c>
      <c r="Q32" s="333">
        <v>3</v>
      </c>
      <c r="R32" s="363"/>
      <c r="S32" s="328"/>
      <c r="X32" s="328" t="b">
        <f ca="1">AND($I32&lt;&gt;"",$K32&lt;&gt;"",$L32&lt;&gt;"",$N32&lt;&gt;"")</f>
        <v>1</v>
      </c>
      <c r="Y32" s="328" t="str">
        <f ca="1">IF(NOT(X32),"",IF($L32&gt;$N32,$I32,IF($L32&lt;$N32,$K32,IF(OR($O32="",$Q32="",$O32=$Q32),"",IF($O32&gt;$Q32,$I32,$K32)))))</f>
        <v>RB Leipzig</v>
      </c>
      <c r="Z32" s="328" t="str">
        <f ca="1">IF(NOT(X32),"",IF($L32&lt;$N32,$I32,IF($L32&gt;$N32,$K32,IF(OR($O32="",$Q32="",$O32=$Q32),"",IF($O32&lt;$Q32,$I32,$K32)))))</f>
        <v>Paris St. Germain</v>
      </c>
      <c r="AA32" s="328" t="b">
        <f ca="1">AND(X32,$L32=$N32)</f>
        <v>1</v>
      </c>
    </row>
    <row r="33" spans="1:31" ht="24" customHeight="1" thickTop="1" thickBot="1" x14ac:dyDescent="0.45">
      <c r="A33" s="328"/>
      <c r="C33" s="876" t="str">
        <f>Sprache!$E$77</f>
        <v>Halbfinale Plätze 1 - 4</v>
      </c>
      <c r="D33" s="876"/>
      <c r="E33" s="876"/>
      <c r="F33" s="876"/>
      <c r="G33" s="876"/>
      <c r="H33" s="876"/>
      <c r="I33" s="876"/>
      <c r="J33" s="122"/>
      <c r="K33" s="390" t="s">
        <v>270</v>
      </c>
      <c r="L33" s="351"/>
      <c r="M33" s="351"/>
      <c r="N33" s="351"/>
      <c r="O33" s="351"/>
      <c r="P33" s="351"/>
      <c r="Q33" s="351"/>
      <c r="R33" s="353"/>
      <c r="S33" s="328"/>
      <c r="T33" s="796" t="str">
        <f>Sprache!$E$59</f>
        <v>Gruppenerste</v>
      </c>
      <c r="U33" s="796"/>
      <c r="X33" s="49"/>
      <c r="Y33" s="49"/>
      <c r="Z33" s="49"/>
      <c r="AA33" s="49"/>
    </row>
    <row r="34" spans="1:31" ht="24" customHeight="1" thickTop="1" x14ac:dyDescent="0.2">
      <c r="A34" s="328"/>
      <c r="C34" s="384">
        <f ca="1">C32+1</f>
        <v>55</v>
      </c>
      <c r="D34" s="385">
        <f t="array" aca="1" ref="D34" ca="1">IF(Planung!$U$15,"",$D$13+QUOTIENT(($C34-$C$13),Planung!$U$11)*(Planung!$R$7+Planung!$R$9)/1440+SUM($R$13:$R33)/1440)</f>
        <v>0.69097222222222221</v>
      </c>
      <c r="E34" s="354">
        <f ca="1">IF(Planung!$U$15,"",MOD($C34-$C$13,Planung!$U$11)+1)</f>
        <v>3</v>
      </c>
      <c r="F34" s="487" t="str">
        <f>B18</f>
        <v>VF 5</v>
      </c>
      <c r="G34" s="714" t="s">
        <v>5</v>
      </c>
      <c r="H34" s="489" t="str">
        <f>B20</f>
        <v>VF 7</v>
      </c>
      <c r="I34" s="355" t="str">
        <f ca="1">VLOOKUP(F34,$B$12:$Z$21,24,0)</f>
        <v>Real Madrid</v>
      </c>
      <c r="J34" s="356" t="s">
        <v>5</v>
      </c>
      <c r="K34" s="357" t="str">
        <f ca="1">VLOOKUP(H34,$B$12:$Z$21,24,0)</f>
        <v>Borussia Dortmund</v>
      </c>
      <c r="L34" s="358">
        <v>2</v>
      </c>
      <c r="M34" s="359" t="str">
        <f>Sprache!$E$111</f>
        <v>:</v>
      </c>
      <c r="N34" s="668">
        <v>1</v>
      </c>
      <c r="O34" s="358"/>
      <c r="P34" s="359" t="str">
        <f>Sprache!$E$111</f>
        <v>:</v>
      </c>
      <c r="Q34" s="360"/>
      <c r="R34" s="340"/>
      <c r="S34" s="328"/>
      <c r="T34" s="441"/>
      <c r="U34" s="471" t="str">
        <f>Sprache!$E$10</f>
        <v>Teilnehmer bzw. Mannschaft</v>
      </c>
      <c r="X34" s="328" t="b">
        <f ca="1">AND($I34&lt;&gt;"",$K34&lt;&gt;"",$L34&lt;&gt;"",$N34&lt;&gt;"")</f>
        <v>1</v>
      </c>
      <c r="Y34" s="328" t="str">
        <f ca="1">IF(NOT(X34),"",IF($L34&gt;$N34,$I34,IF($L34&lt;$N34,$K34,IF(OR($O34="",$Q34="",$O34=$Q34),"",IF($O34&gt;$Q34,$I34,$K34)))))</f>
        <v>Real Madrid</v>
      </c>
      <c r="Z34" s="328" t="str">
        <f ca="1">IF(NOT(X34),"",IF($L34&lt;$N34,$I34,IF($L34&gt;$N34,$K34,IF(OR($O34="",$Q34="",$O34=$Q34),"",IF($O34&lt;$Q34,$I34,$K34)))))</f>
        <v>Borussia Dortmund</v>
      </c>
      <c r="AA34" s="328" t="b">
        <f ca="1">AND(X34,$L34=$N34)</f>
        <v>0</v>
      </c>
    </row>
    <row r="35" spans="1:31" ht="24" customHeight="1" thickBot="1" x14ac:dyDescent="0.25">
      <c r="A35" s="328"/>
      <c r="C35" s="380">
        <f t="shared" ref="C35" ca="1" si="4">C34+1</f>
        <v>56</v>
      </c>
      <c r="D35" s="383">
        <f t="array" aca="1" ref="D35" ca="1">IF(Planung!$U$15,"",$D$13+QUOTIENT(($C35-$C$13),Planung!$U$11)*(Planung!$R$7+Planung!$R$9)/1440+SUM($R$13:$R34)/1440)</f>
        <v>0.69097222222222221</v>
      </c>
      <c r="E35" s="361">
        <f ca="1">IF(Planung!$U$15,"",MOD($C35-$C$13,Planung!$U$11)+1)</f>
        <v>4</v>
      </c>
      <c r="F35" s="419" t="str">
        <f>B19</f>
        <v>VF 6</v>
      </c>
      <c r="G35" s="715" t="s">
        <v>5</v>
      </c>
      <c r="H35" s="421" t="str">
        <f>B21</f>
        <v>VF 8</v>
      </c>
      <c r="I35" s="334" t="str">
        <f ca="1">VLOOKUP(F35,$B$12:$Z$21,24,0)</f>
        <v>Manchester City</v>
      </c>
      <c r="J35" s="156" t="s">
        <v>5</v>
      </c>
      <c r="K35" s="335" t="str">
        <f ca="1">VLOOKUP(H35,$B$12:$Z$21,24,0)</f>
        <v>Inter Mailand</v>
      </c>
      <c r="L35" s="338">
        <v>1</v>
      </c>
      <c r="M35" s="362" t="str">
        <f>Sprache!$E$111</f>
        <v>:</v>
      </c>
      <c r="N35" s="664">
        <v>1</v>
      </c>
      <c r="O35" s="338">
        <v>5</v>
      </c>
      <c r="P35" s="362" t="str">
        <f>Sprache!$E$111</f>
        <v>:</v>
      </c>
      <c r="Q35" s="333">
        <v>3</v>
      </c>
      <c r="R35" s="363"/>
      <c r="S35" s="328"/>
      <c r="T35" s="710" t="s">
        <v>292</v>
      </c>
      <c r="U35" s="472" t="str">
        <f ca="1">IF(Vorrunde!$N$12="","",Vorrunde!$N$12)</f>
        <v>FC Barcelona</v>
      </c>
      <c r="X35" s="328" t="b">
        <f ca="1">AND($I35&lt;&gt;"",$K35&lt;&gt;"",$L35&lt;&gt;"",$N35&lt;&gt;"")</f>
        <v>1</v>
      </c>
      <c r="Y35" s="328" t="str">
        <f ca="1">IF(NOT(X35),"",IF($L35&gt;$N35,$I35,IF($L35&lt;$N35,$K35,IF(OR($O35="",$Q35="",$O35=$Q35),"",IF($O35&gt;$Q35,$I35,$K35)))))</f>
        <v>Manchester City</v>
      </c>
      <c r="Z35" s="328" t="str">
        <f ca="1">IF(NOT(X35),"",IF($L35&lt;$N35,$I35,IF($L35&gt;$N35,$K35,IF(OR($O35="",$Q35="",$O35=$Q35),"",IF($O35&lt;$Q35,$I35,$K35)))))</f>
        <v>Inter Mailand</v>
      </c>
      <c r="AA35" s="328" t="b">
        <f ca="1">AND(X35,$L35=$N35)</f>
        <v>1</v>
      </c>
    </row>
    <row r="36" spans="1:31" ht="24" customHeight="1" thickTop="1" x14ac:dyDescent="0.2">
      <c r="A36" s="328"/>
      <c r="C36" s="716"/>
      <c r="D36" s="717"/>
      <c r="E36" s="718"/>
      <c r="F36" s="719"/>
      <c r="G36" s="718"/>
      <c r="H36" s="720"/>
      <c r="I36" s="721"/>
      <c r="J36" s="351"/>
      <c r="K36" s="483"/>
      <c r="L36" s="351"/>
      <c r="M36" s="351"/>
      <c r="N36" s="351"/>
      <c r="O36" s="351"/>
      <c r="P36" s="351"/>
      <c r="Q36" s="351"/>
      <c r="R36" s="479"/>
      <c r="S36" s="328"/>
      <c r="T36" s="440" t="s">
        <v>293</v>
      </c>
      <c r="U36" s="473" t="str">
        <f ca="1">IF(Vorrunde!$N$22="","",Vorrunde!$N$22)</f>
        <v>Manchester City</v>
      </c>
      <c r="X36" s="328"/>
      <c r="Y36" s="328"/>
      <c r="Z36" s="328"/>
      <c r="AA36" s="328"/>
    </row>
    <row r="37" spans="1:31" ht="24" customHeight="1" thickBot="1" x14ac:dyDescent="0.35">
      <c r="A37" s="328"/>
      <c r="C37" s="875" t="str">
        <f>Sprache!$E$86</f>
        <v>Endspiele Plätze 13 - 16</v>
      </c>
      <c r="D37" s="875"/>
      <c r="E37" s="875"/>
      <c r="F37" s="875"/>
      <c r="G37" s="875"/>
      <c r="H37" s="875"/>
      <c r="I37" s="875"/>
      <c r="J37" s="351"/>
      <c r="K37" s="483"/>
      <c r="L37" s="351"/>
      <c r="M37" s="351"/>
      <c r="N37" s="351"/>
      <c r="O37" s="351"/>
      <c r="P37" s="351"/>
      <c r="Q37" s="351"/>
      <c r="R37" s="479"/>
      <c r="S37" s="328"/>
      <c r="T37" s="709" t="s">
        <v>294</v>
      </c>
      <c r="U37" s="473" t="str">
        <f ca="1">IF(Vorrunde!$N$32="","",Vorrunde!$N$32)</f>
        <v>Borussia Dortmund</v>
      </c>
      <c r="X37" s="328"/>
      <c r="Y37" s="328"/>
      <c r="Z37" s="328"/>
      <c r="AA37" s="328"/>
    </row>
    <row r="38" spans="1:31" ht="24" customHeight="1" thickTop="1" thickBot="1" x14ac:dyDescent="0.25">
      <c r="A38" s="328"/>
      <c r="B38" s="377"/>
      <c r="C38" s="386" t="str">
        <f>Sprache!$E$9</f>
        <v>Nr.</v>
      </c>
      <c r="D38" s="713" t="str">
        <f>Sprache!$E$39</f>
        <v>Beginn:</v>
      </c>
      <c r="E38" s="712" t="str">
        <f>Sprache!$E$48</f>
        <v>Feld</v>
      </c>
      <c r="F38" s="824"/>
      <c r="G38" s="825"/>
      <c r="H38" s="826"/>
      <c r="I38" s="783" t="str">
        <f>Sprache!$E$14</f>
        <v>Spielpaarung</v>
      </c>
      <c r="J38" s="783"/>
      <c r="K38" s="783"/>
      <c r="L38" s="783" t="str">
        <f>Sprache!$E$15</f>
        <v>Ergebnis</v>
      </c>
      <c r="M38" s="783"/>
      <c r="N38" s="783"/>
      <c r="O38" s="783" t="str">
        <f>Sprache!$E$101</f>
        <v>Elfmeter</v>
      </c>
      <c r="P38" s="783"/>
      <c r="Q38" s="784"/>
      <c r="R38" s="353"/>
      <c r="T38" s="405" t="s">
        <v>348</v>
      </c>
      <c r="U38" s="474" t="str">
        <f ca="1">IF(Vorrunde!$N$42="","",Vorrunde!$N$42)</f>
        <v>Paris St. Germain</v>
      </c>
      <c r="X38" s="49"/>
      <c r="Y38" s="49"/>
      <c r="Z38" s="49"/>
      <c r="AA38" s="49"/>
    </row>
    <row r="39" spans="1:31" ht="24" customHeight="1" thickTop="1" x14ac:dyDescent="0.2">
      <c r="A39" s="328"/>
      <c r="B39" s="376"/>
      <c r="C39" s="726">
        <f ca="1">C35+1</f>
        <v>57</v>
      </c>
      <c r="D39" s="727">
        <f t="array" aca="1" ref="D39" ca="1">IF(Planung!$U$15,"",$D$13+QUOTIENT(($C39-$C$13),Planung!$U$11)*(Planung!$R$7+Planung!$R$9)/1440+SUM($R$13:$R38)/1440)</f>
        <v>0.71527777777777779</v>
      </c>
      <c r="E39" s="728">
        <f ca="1">IF(Planung!$U$15,"",MOD($C39-$C$13,Planung!$U$11)+1)</f>
        <v>1</v>
      </c>
      <c r="F39" s="884" t="str">
        <f>Sprache!$E$94</f>
        <v>15. Platz</v>
      </c>
      <c r="G39" s="885"/>
      <c r="H39" s="886"/>
      <c r="I39" s="732" t="str">
        <f ca="1">$Z25</f>
        <v>1. FC Riedwald</v>
      </c>
      <c r="J39" s="733" t="s">
        <v>5</v>
      </c>
      <c r="K39" s="734" t="str">
        <f ca="1">$Z26</f>
        <v>HSV</v>
      </c>
      <c r="L39" s="735">
        <v>2</v>
      </c>
      <c r="M39" s="339" t="str">
        <f>Sprache!$E$111</f>
        <v>:</v>
      </c>
      <c r="N39" s="736">
        <v>1</v>
      </c>
      <c r="O39" s="735"/>
      <c r="P39" s="339" t="str">
        <f>Sprache!$E$111</f>
        <v>:</v>
      </c>
      <c r="Q39" s="737"/>
      <c r="R39" s="340"/>
      <c r="X39" s="328" t="b">
        <f ca="1">AND($I39&lt;&gt;"",$K39&lt;&gt;"",$L39&lt;&gt;"",$N39&lt;&gt;"")</f>
        <v>1</v>
      </c>
      <c r="Y39" s="328" t="str">
        <f ca="1">IF(NOT(X39),"",IF($L39&gt;$N39,$I39,IF($L39&lt;$N39,$K39,IF(OR($O39="",$Q39="",$O39=$Q39),"",IF($O39&gt;$Q39,$I39,$K39)))))</f>
        <v>1. FC Riedwald</v>
      </c>
      <c r="Z39" s="328" t="str">
        <f ca="1">IF(NOT(X39),"",IF($L39&lt;$N39,$I39,IF($L39&gt;$N39,$K39,IF(OR($O39="",$Q39="",$O39=$Q39),"",IF($O39&lt;$Q39,$I39,$K39)))))</f>
        <v>HSV</v>
      </c>
      <c r="AA39" s="328" t="b">
        <f ca="1">AND(X39,$L39=$N39)</f>
        <v>0</v>
      </c>
      <c r="AB39" s="581"/>
      <c r="AC39" s="581"/>
      <c r="AD39" s="581"/>
      <c r="AE39" s="581"/>
    </row>
    <row r="40" spans="1:31" ht="24" customHeight="1" thickBot="1" x14ac:dyDescent="0.25">
      <c r="A40" s="328"/>
      <c r="B40" s="376"/>
      <c r="C40" s="380">
        <f t="shared" ref="C40" ca="1" si="5">C39+1</f>
        <v>58</v>
      </c>
      <c r="D40" s="383">
        <f t="array" aca="1" ref="D40" ca="1">IF(Planung!$U$15,"",$D$13+QUOTIENT(($C40-$C$13),Planung!$U$11)*(Planung!$R$7+Planung!$R$9)/1440+SUM($R$13:$R39)/1440)</f>
        <v>0.71527777777777779</v>
      </c>
      <c r="E40" s="361">
        <f ca="1">IF(Planung!$U$15,"",MOD($C40-$C$13,Planung!$U$11)+1)</f>
        <v>2</v>
      </c>
      <c r="F40" s="872" t="str">
        <f>Sprache!$E$93</f>
        <v>13. Platz</v>
      </c>
      <c r="G40" s="873"/>
      <c r="H40" s="874"/>
      <c r="I40" s="334" t="str">
        <f ca="1">$Y25</f>
        <v>VFB Essenheim</v>
      </c>
      <c r="J40" s="156" t="s">
        <v>5</v>
      </c>
      <c r="K40" s="335" t="str">
        <f ca="1">$Y26</f>
        <v>SV Oberredenburg</v>
      </c>
      <c r="L40" s="338">
        <v>3</v>
      </c>
      <c r="M40" s="362" t="str">
        <f>Sprache!$E$111</f>
        <v>:</v>
      </c>
      <c r="N40" s="664">
        <v>2</v>
      </c>
      <c r="O40" s="338"/>
      <c r="P40" s="362" t="str">
        <f>Sprache!$E$111</f>
        <v>:</v>
      </c>
      <c r="Q40" s="333"/>
      <c r="R40" s="363"/>
      <c r="X40" s="328" t="b">
        <f ca="1">AND($I40&lt;&gt;"",$K40&lt;&gt;"",$L40&lt;&gt;"",$N40&lt;&gt;"")</f>
        <v>1</v>
      </c>
      <c r="Y40" s="328" t="str">
        <f ca="1">IF(NOT(X40),"",IF($L40&gt;$N40,$I40,IF($L40&lt;$N40,$K40,IF(OR($O40="",$Q40="",$O40=$Q40),"",IF($O40&gt;$Q40,$I40,$K40)))))</f>
        <v>VFB Essenheim</v>
      </c>
      <c r="Z40" s="328" t="str">
        <f ca="1">IF(NOT(X40),"",IF($L40&lt;$N40,$I40,IF($L40&gt;$N40,$K40,IF(OR($O40="",$Q40="",$O40=$Q40),"",IF($O40&lt;$Q40,$I40,$K40)))))</f>
        <v>SV Oberredenburg</v>
      </c>
      <c r="AA40" s="328" t="b">
        <f ca="1">AND(X40,$L40=$N40)</f>
        <v>0</v>
      </c>
      <c r="AB40" s="581"/>
      <c r="AC40" s="581"/>
      <c r="AD40" s="581"/>
      <c r="AE40" s="581"/>
    </row>
    <row r="41" spans="1:31" ht="27.95" customHeight="1" thickTop="1" thickBot="1" x14ac:dyDescent="0.35">
      <c r="A41" s="328"/>
      <c r="B41" s="377"/>
      <c r="C41" s="876" t="str">
        <f>Sprache!$E$85</f>
        <v>Endspiele Plätze 9 - 12</v>
      </c>
      <c r="D41" s="876"/>
      <c r="E41" s="876"/>
      <c r="F41" s="876"/>
      <c r="G41" s="876"/>
      <c r="H41" s="876"/>
      <c r="I41" s="876"/>
      <c r="J41" s="122"/>
      <c r="K41" s="390" t="s">
        <v>270</v>
      </c>
      <c r="L41" s="351"/>
      <c r="M41" s="351"/>
      <c r="N41" s="351"/>
      <c r="O41" s="351"/>
      <c r="P41" s="351"/>
      <c r="Q41" s="351"/>
      <c r="R41" s="353"/>
      <c r="X41" s="49"/>
      <c r="Y41" s="49"/>
      <c r="Z41" s="49"/>
      <c r="AA41" s="49"/>
      <c r="AB41" s="581"/>
      <c r="AC41" s="581"/>
      <c r="AD41" s="581"/>
      <c r="AE41" s="581"/>
    </row>
    <row r="42" spans="1:31" ht="24" customHeight="1" thickTop="1" x14ac:dyDescent="0.2">
      <c r="A42" s="328"/>
      <c r="B42" s="376"/>
      <c r="C42" s="384">
        <f ca="1">C40+1</f>
        <v>59</v>
      </c>
      <c r="D42" s="385">
        <f t="array" aca="1" ref="D42" ca="1">IF(Planung!$U$15,"",$D$13+QUOTIENT(($C42-$C$13),Planung!$U$11)*(Planung!$R$7+Planung!$R$9)/1440+SUM($R$13:$R41)/1440)</f>
        <v>0.71527777777777779</v>
      </c>
      <c r="E42" s="354">
        <f ca="1">IF(Planung!$U$15,"",MOD($C42-$C$13,Planung!$U$11)+1)</f>
        <v>3</v>
      </c>
      <c r="F42" s="869" t="str">
        <f>Sprache!$E$92</f>
        <v>11. Platz</v>
      </c>
      <c r="G42" s="870"/>
      <c r="H42" s="871"/>
      <c r="I42" s="355" t="str">
        <f ca="1">$Z28</f>
        <v>1. FC Nürnberg</v>
      </c>
      <c r="J42" s="356" t="s">
        <v>5</v>
      </c>
      <c r="K42" s="357" t="str">
        <f ca="1">$Z29</f>
        <v>FC Grönlingen</v>
      </c>
      <c r="L42" s="358">
        <v>2</v>
      </c>
      <c r="M42" s="359" t="str">
        <f>Sprache!$E$111</f>
        <v>:</v>
      </c>
      <c r="N42" s="668">
        <v>1</v>
      </c>
      <c r="O42" s="358"/>
      <c r="P42" s="359" t="str">
        <f>Sprache!$E$111</f>
        <v>:</v>
      </c>
      <c r="Q42" s="360"/>
      <c r="R42" s="340"/>
      <c r="X42" s="328" t="b">
        <f t="shared" ref="X42:X43" ca="1" si="6">AND($I42&lt;&gt;"",$K42&lt;&gt;"",$L42&lt;&gt;"",$N42&lt;&gt;"")</f>
        <v>1</v>
      </c>
      <c r="Y42" s="328" t="str">
        <f t="shared" ref="Y42:Y43" ca="1" si="7">IF(NOT(X42),"",IF($L42&gt;$N42,$I42,IF($L42&lt;$N42,$K42,IF(OR($O42="",$Q42="",$O42=$Q42),"",IF($O42&gt;$Q42,$I42,$K42)))))</f>
        <v>1. FC Nürnberg</v>
      </c>
      <c r="Z42" s="328" t="str">
        <f t="shared" ref="Z42:Z43" ca="1" si="8">IF(NOT(X42),"",IF($L42&lt;$N42,$I42,IF($L42&gt;$N42,$K42,IF(OR($O42="",$Q42="",$O42=$Q42),"",IF($O42&lt;$Q42,$I42,$K42)))))</f>
        <v>FC Grönlingen</v>
      </c>
      <c r="AA42" s="328" t="b">
        <f t="shared" ref="AA42:AA43" ca="1" si="9">AND(X42,$L42=$N42)</f>
        <v>0</v>
      </c>
      <c r="AB42" s="581"/>
      <c r="AC42" s="581"/>
      <c r="AD42" s="581"/>
      <c r="AE42" s="581"/>
    </row>
    <row r="43" spans="1:31" ht="24" customHeight="1" thickBot="1" x14ac:dyDescent="0.25">
      <c r="A43" s="328"/>
      <c r="B43" s="376"/>
      <c r="C43" s="380">
        <f t="shared" ref="C43" ca="1" si="10">C42+1</f>
        <v>60</v>
      </c>
      <c r="D43" s="383">
        <f t="array" aca="1" ref="D43" ca="1">IF(Planung!$U$15,"",$D$13+QUOTIENT(($C43-$C$13),Planung!$U$11)*(Planung!$R$7+Planung!$R$9)/1440+SUM($R$13:$R42)/1440)</f>
        <v>0.71527777777777779</v>
      </c>
      <c r="E43" s="361">
        <f ca="1">IF(Planung!$U$15,"",MOD($C43-$C$13,Planung!$U$11)+1)</f>
        <v>4</v>
      </c>
      <c r="F43" s="872" t="str">
        <f>Sprache!$E$91</f>
        <v>9. Platz</v>
      </c>
      <c r="G43" s="873"/>
      <c r="H43" s="874"/>
      <c r="I43" s="334" t="str">
        <f ca="1">$Y28</f>
        <v>Kickers Rodendorf</v>
      </c>
      <c r="J43" s="156" t="s">
        <v>5</v>
      </c>
      <c r="K43" s="335" t="str">
        <f ca="1">$Y29</f>
        <v>Mainz 05</v>
      </c>
      <c r="L43" s="338">
        <v>2</v>
      </c>
      <c r="M43" s="362" t="str">
        <f>Sprache!$E$111</f>
        <v>:</v>
      </c>
      <c r="N43" s="664">
        <v>3</v>
      </c>
      <c r="O43" s="338"/>
      <c r="P43" s="362" t="str">
        <f>Sprache!$E$111</f>
        <v>:</v>
      </c>
      <c r="Q43" s="333"/>
      <c r="R43" s="363"/>
      <c r="X43" s="328" t="b">
        <f t="shared" ca="1" si="6"/>
        <v>1</v>
      </c>
      <c r="Y43" s="328" t="str">
        <f t="shared" ca="1" si="7"/>
        <v>Mainz 05</v>
      </c>
      <c r="Z43" s="328" t="str">
        <f t="shared" ca="1" si="8"/>
        <v>Kickers Rodendorf</v>
      </c>
      <c r="AA43" s="328" t="b">
        <f t="shared" ca="1" si="9"/>
        <v>0</v>
      </c>
    </row>
    <row r="44" spans="1:31" ht="24" customHeight="1" thickTop="1" thickBot="1" x14ac:dyDescent="0.35">
      <c r="C44" s="876" t="str">
        <f>Sprache!$E$84</f>
        <v>Endspiele Plätze 5 - 8</v>
      </c>
      <c r="D44" s="876"/>
      <c r="E44" s="876"/>
      <c r="F44" s="876"/>
      <c r="G44" s="876"/>
      <c r="H44" s="876"/>
      <c r="I44" s="876"/>
      <c r="J44" s="122"/>
      <c r="K44" s="390" t="s">
        <v>270</v>
      </c>
      <c r="L44" s="351"/>
      <c r="M44" s="351"/>
      <c r="N44" s="351"/>
      <c r="O44" s="351"/>
      <c r="P44" s="351"/>
      <c r="Q44" s="351"/>
      <c r="R44" s="353"/>
      <c r="X44" s="49"/>
      <c r="Y44" s="49"/>
      <c r="Z44" s="49"/>
      <c r="AA44" s="49"/>
    </row>
    <row r="45" spans="1:31" ht="24" customHeight="1" thickTop="1" x14ac:dyDescent="0.2">
      <c r="C45" s="384">
        <f ca="1">C43+1</f>
        <v>61</v>
      </c>
      <c r="D45" s="385">
        <f t="array" aca="1" ref="D45" ca="1">IF(Planung!$U$15,"",$D$13+QUOTIENT(($C45-$C$13),Planung!$U$11)*(Planung!$R$7+Planung!$R$9)/1440+SUM($R$13:$R44)/1440)</f>
        <v>0.73958333333333337</v>
      </c>
      <c r="E45" s="354">
        <f ca="1">IF(Planung!$U$15,"",MOD($C45-$C$13,Planung!$U$11)+1)</f>
        <v>1</v>
      </c>
      <c r="F45" s="869" t="str">
        <f>Sprache!$E$90</f>
        <v>7. Platz</v>
      </c>
      <c r="G45" s="870"/>
      <c r="H45" s="871"/>
      <c r="I45" s="355" t="str">
        <f ca="1">$Z31</f>
        <v>Eintracht Frankfurt</v>
      </c>
      <c r="J45" s="356" t="s">
        <v>5</v>
      </c>
      <c r="K45" s="357" t="str">
        <f ca="1">$Z32</f>
        <v>Paris St. Germain</v>
      </c>
      <c r="L45" s="358">
        <v>2</v>
      </c>
      <c r="M45" s="359" t="str">
        <f>Sprache!$E$111</f>
        <v>:</v>
      </c>
      <c r="N45" s="668">
        <v>1</v>
      </c>
      <c r="O45" s="358"/>
      <c r="P45" s="359" t="str">
        <f>Sprache!$E$111</f>
        <v>:</v>
      </c>
      <c r="Q45" s="360"/>
      <c r="R45" s="340"/>
      <c r="X45" s="328" t="b">
        <f t="shared" ref="X45:X46" ca="1" si="11">AND($I45&lt;&gt;"",$K45&lt;&gt;"",$L45&lt;&gt;"",$N45&lt;&gt;"")</f>
        <v>1</v>
      </c>
      <c r="Y45" s="328" t="str">
        <f t="shared" ref="Y45:Y46" ca="1" si="12">IF(NOT(X45),"",IF($L45&gt;$N45,$I45,IF($L45&lt;$N45,$K45,IF(OR($O45="",$Q45="",$O45=$Q45),"",IF($O45&gt;$Q45,$I45,$K45)))))</f>
        <v>Eintracht Frankfurt</v>
      </c>
      <c r="Z45" s="328" t="str">
        <f t="shared" ref="Z45:Z46" ca="1" si="13">IF(NOT(X45),"",IF($L45&lt;$N45,$I45,IF($L45&gt;$N45,$K45,IF(OR($O45="",$Q45="",$O45=$Q45),"",IF($O45&lt;$Q45,$I45,$K45)))))</f>
        <v>Paris St. Germain</v>
      </c>
      <c r="AA45" s="328" t="b">
        <f t="shared" ref="AA45:AA46" ca="1" si="14">AND(X45,$L45=$N45)</f>
        <v>0</v>
      </c>
    </row>
    <row r="46" spans="1:31" ht="24" customHeight="1" thickBot="1" x14ac:dyDescent="0.25">
      <c r="C46" s="380">
        <f t="shared" ref="C46" ca="1" si="15">C45+1</f>
        <v>62</v>
      </c>
      <c r="D46" s="383">
        <f t="array" aca="1" ref="D46" ca="1">IF(Planung!$U$15,"",$D$13+QUOTIENT(($C46-$C$13),Planung!$U$11)*(Planung!$R$7+Planung!$R$9)/1440+SUM($R$13:$R45)/1440)</f>
        <v>0.73958333333333337</v>
      </c>
      <c r="E46" s="361">
        <f ca="1">IF(Planung!$U$15,"",MOD($C46-$C$13,Planung!$U$11)+1)</f>
        <v>2</v>
      </c>
      <c r="F46" s="872" t="str">
        <f>Sprache!$E$89</f>
        <v>5. Platz</v>
      </c>
      <c r="G46" s="873"/>
      <c r="H46" s="874"/>
      <c r="I46" s="334" t="str">
        <f ca="1">$Y31</f>
        <v>FC Barcelona</v>
      </c>
      <c r="J46" s="156" t="s">
        <v>5</v>
      </c>
      <c r="K46" s="335" t="str">
        <f ca="1">$Y32</f>
        <v>RB Leipzig</v>
      </c>
      <c r="L46" s="338">
        <v>2</v>
      </c>
      <c r="M46" s="362" t="str">
        <f>Sprache!$E$111</f>
        <v>:</v>
      </c>
      <c r="N46" s="664">
        <v>3</v>
      </c>
      <c r="O46" s="338"/>
      <c r="P46" s="362" t="str">
        <f>Sprache!$E$111</f>
        <v>:</v>
      </c>
      <c r="Q46" s="333"/>
      <c r="R46" s="363"/>
      <c r="X46" s="328" t="b">
        <f t="shared" ca="1" si="11"/>
        <v>1</v>
      </c>
      <c r="Y46" s="328" t="str">
        <f t="shared" ca="1" si="12"/>
        <v>RB Leipzig</v>
      </c>
      <c r="Z46" s="328" t="str">
        <f t="shared" ca="1" si="13"/>
        <v>FC Barcelona</v>
      </c>
      <c r="AA46" s="328" t="b">
        <f t="shared" ca="1" si="14"/>
        <v>0</v>
      </c>
    </row>
    <row r="47" spans="1:31" ht="24" customHeight="1" thickTop="1" thickBot="1" x14ac:dyDescent="0.35">
      <c r="C47" s="876" t="str">
        <f>Sprache!$E$83</f>
        <v>Endspiele Plätze 1 - 4</v>
      </c>
      <c r="D47" s="876"/>
      <c r="E47" s="876"/>
      <c r="F47" s="876"/>
      <c r="G47" s="876"/>
      <c r="H47" s="876"/>
      <c r="I47" s="876"/>
      <c r="J47" s="122"/>
      <c r="K47" s="390" t="s">
        <v>270</v>
      </c>
      <c r="L47" s="351"/>
      <c r="M47" s="351"/>
      <c r="N47" s="351"/>
      <c r="O47" s="351"/>
      <c r="P47" s="351"/>
      <c r="Q47" s="351"/>
      <c r="R47" s="353"/>
      <c r="X47" s="49"/>
      <c r="Y47" s="49"/>
      <c r="Z47" s="49"/>
      <c r="AA47" s="49"/>
    </row>
    <row r="48" spans="1:31" ht="24" customHeight="1" thickTop="1" x14ac:dyDescent="0.2">
      <c r="C48" s="384">
        <f ca="1">C46+1</f>
        <v>63</v>
      </c>
      <c r="D48" s="385">
        <f t="array" aca="1" ref="D48" ca="1">IF(Planung!$U$15,"",$D$13+QUOTIENT(($C48-$C$13),Planung!$U$11)*(Planung!$R$7+Planung!$R$9)/1440+SUM($R$13:$R47)/1440)</f>
        <v>0.73958333333333337</v>
      </c>
      <c r="E48" s="354">
        <f ca="1">IF(Planung!$U$15,"",MOD($C48-$C$13,Planung!$U$11)+1)</f>
        <v>3</v>
      </c>
      <c r="F48" s="869" t="str">
        <f>Sprache!$E$120</f>
        <v>3. Platz</v>
      </c>
      <c r="G48" s="870"/>
      <c r="H48" s="871"/>
      <c r="I48" s="355" t="str">
        <f ca="1">$Z34</f>
        <v>Borussia Dortmund</v>
      </c>
      <c r="J48" s="356" t="s">
        <v>5</v>
      </c>
      <c r="K48" s="357" t="str">
        <f ca="1">$Z35</f>
        <v>Inter Mailand</v>
      </c>
      <c r="L48" s="358">
        <v>2</v>
      </c>
      <c r="M48" s="359" t="str">
        <f>Sprache!$E$111</f>
        <v>:</v>
      </c>
      <c r="N48" s="668">
        <v>1</v>
      </c>
      <c r="O48" s="358"/>
      <c r="P48" s="359" t="str">
        <f>Sprache!$E$111</f>
        <v>:</v>
      </c>
      <c r="Q48" s="360"/>
      <c r="R48" s="340"/>
      <c r="X48" s="328" t="b">
        <f t="shared" ref="X48:X49" ca="1" si="16">AND($I48&lt;&gt;"",$K48&lt;&gt;"",$L48&lt;&gt;"",$N48&lt;&gt;"")</f>
        <v>1</v>
      </c>
      <c r="Y48" s="328" t="str">
        <f t="shared" ref="Y48:Y49" ca="1" si="17">IF(NOT(X48),"",IF($L48&gt;$N48,$I48,IF($L48&lt;$N48,$K48,IF(OR($O48="",$Q48="",$O48=$Q48),"",IF($O48&gt;$Q48,$I48,$K48)))))</f>
        <v>Borussia Dortmund</v>
      </c>
      <c r="Z48" s="328" t="str">
        <f t="shared" ref="Z48:Z49" ca="1" si="18">IF(NOT(X48),"",IF($L48&lt;$N48,$I48,IF($L48&gt;$N48,$K48,IF(OR($O48="",$Q48="",$O48=$Q48),"",IF($O48&lt;$Q48,$I48,$K48)))))</f>
        <v>Inter Mailand</v>
      </c>
      <c r="AA48" s="328" t="b">
        <f t="shared" ref="AA48:AA49" ca="1" si="19">AND(X48,$L48=$N48)</f>
        <v>0</v>
      </c>
    </row>
    <row r="49" spans="3:27" ht="24" customHeight="1" thickBot="1" x14ac:dyDescent="0.25">
      <c r="C49" s="380">
        <f t="shared" ref="C49" ca="1" si="20">C48+1</f>
        <v>64</v>
      </c>
      <c r="D49" s="383">
        <f ca="1">IF(Planung!$U$15,"",$D$48+($R$48+Planung!$R$9+Planung!$R$7)/1440)</f>
        <v>0.76388888888888895</v>
      </c>
      <c r="E49" s="361">
        <f>IF(Planung!$U$15,"",1)</f>
        <v>1</v>
      </c>
      <c r="F49" s="872" t="str">
        <f>Sprache!$E$121</f>
        <v>Finale</v>
      </c>
      <c r="G49" s="873"/>
      <c r="H49" s="874"/>
      <c r="I49" s="334" t="str">
        <f ca="1">$Y34</f>
        <v>Real Madrid</v>
      </c>
      <c r="J49" s="156" t="s">
        <v>5</v>
      </c>
      <c r="K49" s="335" t="str">
        <f ca="1">$Y35</f>
        <v>Manchester City</v>
      </c>
      <c r="L49" s="338">
        <v>2</v>
      </c>
      <c r="M49" s="362" t="str">
        <f>Sprache!$E$111</f>
        <v>:</v>
      </c>
      <c r="N49" s="664">
        <v>3</v>
      </c>
      <c r="O49" s="338"/>
      <c r="P49" s="362" t="str">
        <f>Sprache!$E$111</f>
        <v>:</v>
      </c>
      <c r="Q49" s="333"/>
      <c r="R49" s="350"/>
      <c r="X49" s="328" t="b">
        <f t="shared" ca="1" si="16"/>
        <v>1</v>
      </c>
      <c r="Y49" s="328" t="str">
        <f t="shared" ca="1" si="17"/>
        <v>Manchester City</v>
      </c>
      <c r="Z49" s="328" t="str">
        <f t="shared" ca="1" si="18"/>
        <v>Real Madrid</v>
      </c>
      <c r="AA49" s="328" t="b">
        <f t="shared" ca="1" si="19"/>
        <v>0</v>
      </c>
    </row>
    <row r="50" spans="3:27" ht="24" customHeight="1" thickTop="1" x14ac:dyDescent="0.2">
      <c r="D50" s="344"/>
    </row>
    <row r="51" spans="3:27" ht="24" customHeight="1" x14ac:dyDescent="0.2">
      <c r="C51" s="346"/>
      <c r="D51" s="346"/>
      <c r="E51" s="346"/>
      <c r="F51" s="346"/>
      <c r="G51" s="346"/>
      <c r="H51" s="346"/>
      <c r="I51" s="347" t="str">
        <f>Sprache!$E$29</f>
        <v>Turnierende:</v>
      </c>
      <c r="J51" s="346"/>
      <c r="K51" s="348">
        <f ca="1">IF(Planung!$R$13="","",$D$49+Planung!$R$7/1440)</f>
        <v>0.78472222222222232</v>
      </c>
      <c r="L51" s="349"/>
      <c r="M51" s="349"/>
      <c r="N51" s="349"/>
      <c r="O51" s="349"/>
      <c r="P51" s="349"/>
      <c r="Q51" s="349"/>
      <c r="R51" s="349"/>
    </row>
    <row r="52" spans="3:27" ht="24" customHeight="1" thickBot="1" x14ac:dyDescent="0.25">
      <c r="D52" s="344"/>
      <c r="Y52" s="575"/>
      <c r="Z52" s="581"/>
      <c r="AA52" s="581"/>
    </row>
    <row r="53" spans="3:27" ht="24" customHeight="1" thickBot="1" x14ac:dyDescent="0.25">
      <c r="F53" s="827" t="str">
        <f>Sprache!$E$119</f>
        <v>Rang</v>
      </c>
      <c r="G53" s="828"/>
      <c r="H53" s="828"/>
      <c r="I53" s="867" t="str">
        <f>"  "&amp;Sprache!$E$10</f>
        <v xml:space="preserve">  Teilnehmer bzw. Mannschaft</v>
      </c>
      <c r="J53" s="867"/>
      <c r="K53" s="868"/>
      <c r="Y53" s="575"/>
      <c r="Z53" s="581"/>
      <c r="AA53" s="581"/>
    </row>
    <row r="54" spans="3:27" ht="24" customHeight="1" thickTop="1" x14ac:dyDescent="0.2">
      <c r="E54" s="345">
        <v>1</v>
      </c>
      <c r="F54" s="829">
        <v>1</v>
      </c>
      <c r="G54" s="830"/>
      <c r="H54" s="830"/>
      <c r="I54" s="853" t="str">
        <f ca="1">$Y49</f>
        <v>Manchester City</v>
      </c>
      <c r="J54" s="853"/>
      <c r="K54" s="854"/>
      <c r="Y54" s="575"/>
      <c r="Z54" s="581"/>
      <c r="AA54" s="581"/>
    </row>
    <row r="55" spans="3:27" ht="24" customHeight="1" x14ac:dyDescent="0.2">
      <c r="E55" s="345">
        <v>2</v>
      </c>
      <c r="F55" s="831">
        <v>2</v>
      </c>
      <c r="G55" s="832"/>
      <c r="H55" s="832"/>
      <c r="I55" s="855" t="str">
        <f ca="1">$Z49</f>
        <v>Real Madrid</v>
      </c>
      <c r="J55" s="855"/>
      <c r="K55" s="856"/>
      <c r="Y55" s="575"/>
      <c r="Z55" s="581"/>
      <c r="AA55" s="581"/>
    </row>
    <row r="56" spans="3:27" ht="24" customHeight="1" x14ac:dyDescent="0.2">
      <c r="E56" s="345">
        <v>3</v>
      </c>
      <c r="F56" s="833">
        <v>3</v>
      </c>
      <c r="G56" s="834"/>
      <c r="H56" s="834"/>
      <c r="I56" s="857" t="str">
        <f ca="1">$Y48</f>
        <v>Borussia Dortmund</v>
      </c>
      <c r="J56" s="857"/>
      <c r="K56" s="858"/>
    </row>
    <row r="57" spans="3:27" ht="24" customHeight="1" x14ac:dyDescent="0.2">
      <c r="E57" s="345">
        <v>4</v>
      </c>
      <c r="F57" s="835">
        <v>4</v>
      </c>
      <c r="G57" s="836"/>
      <c r="H57" s="836"/>
      <c r="I57" s="819" t="str">
        <f ca="1">$Z48</f>
        <v>Inter Mailand</v>
      </c>
      <c r="J57" s="819"/>
      <c r="K57" s="820"/>
    </row>
    <row r="58" spans="3:27" ht="24" customHeight="1" x14ac:dyDescent="0.2">
      <c r="F58" s="835">
        <v>5</v>
      </c>
      <c r="G58" s="836"/>
      <c r="H58" s="836"/>
      <c r="I58" s="819" t="str">
        <f ca="1">$Y46</f>
        <v>RB Leipzig</v>
      </c>
      <c r="J58" s="819"/>
      <c r="K58" s="820"/>
    </row>
    <row r="59" spans="3:27" ht="24" customHeight="1" x14ac:dyDescent="0.2">
      <c r="F59" s="835">
        <v>6</v>
      </c>
      <c r="G59" s="836"/>
      <c r="H59" s="836"/>
      <c r="I59" s="819" t="str">
        <f ca="1">$Z46</f>
        <v>FC Barcelona</v>
      </c>
      <c r="J59" s="819"/>
      <c r="K59" s="820"/>
    </row>
    <row r="60" spans="3:27" ht="24" customHeight="1" x14ac:dyDescent="0.2">
      <c r="F60" s="835">
        <v>7</v>
      </c>
      <c r="G60" s="836"/>
      <c r="H60" s="836"/>
      <c r="I60" s="819" t="str">
        <f ca="1">$Y45</f>
        <v>Eintracht Frankfurt</v>
      </c>
      <c r="J60" s="819"/>
      <c r="K60" s="820"/>
    </row>
    <row r="61" spans="3:27" ht="24" customHeight="1" x14ac:dyDescent="0.2">
      <c r="F61" s="835">
        <v>8</v>
      </c>
      <c r="G61" s="836"/>
      <c r="H61" s="836"/>
      <c r="I61" s="819" t="str">
        <f ca="1">$Z45</f>
        <v>Paris St. Germain</v>
      </c>
      <c r="J61" s="819"/>
      <c r="K61" s="820"/>
    </row>
    <row r="62" spans="3:27" ht="24" customHeight="1" x14ac:dyDescent="0.2">
      <c r="F62" s="835">
        <v>9</v>
      </c>
      <c r="G62" s="836"/>
      <c r="H62" s="836"/>
      <c r="I62" s="819" t="str">
        <f ca="1">$Y43</f>
        <v>Mainz 05</v>
      </c>
      <c r="J62" s="819"/>
      <c r="K62" s="820"/>
    </row>
    <row r="63" spans="3:27" ht="24" customHeight="1" x14ac:dyDescent="0.2">
      <c r="F63" s="835">
        <v>10</v>
      </c>
      <c r="G63" s="836"/>
      <c r="H63" s="836"/>
      <c r="I63" s="819" t="str">
        <f ca="1">$Z43</f>
        <v>Kickers Rodendorf</v>
      </c>
      <c r="J63" s="819"/>
      <c r="K63" s="820"/>
    </row>
    <row r="64" spans="3:27" ht="24" customHeight="1" x14ac:dyDescent="0.2">
      <c r="F64" s="835">
        <v>11</v>
      </c>
      <c r="G64" s="836"/>
      <c r="H64" s="836"/>
      <c r="I64" s="819" t="str">
        <f ca="1">$Y42</f>
        <v>1. FC Nürnberg</v>
      </c>
      <c r="J64" s="819"/>
      <c r="K64" s="820"/>
    </row>
    <row r="65" spans="6:31" s="49" customFormat="1" ht="24" customHeight="1" x14ac:dyDescent="0.2">
      <c r="F65" s="835">
        <v>12</v>
      </c>
      <c r="G65" s="836"/>
      <c r="H65" s="836"/>
      <c r="I65" s="819" t="str">
        <f ca="1">$Z42</f>
        <v>FC Grönlingen</v>
      </c>
      <c r="J65" s="819"/>
      <c r="K65" s="820"/>
      <c r="T65"/>
      <c r="U65"/>
      <c r="V65"/>
      <c r="W65"/>
      <c r="X65"/>
      <c r="Y65"/>
      <c r="Z65"/>
      <c r="AA65"/>
      <c r="AB65"/>
      <c r="AC65"/>
      <c r="AD65"/>
      <c r="AE65"/>
    </row>
    <row r="66" spans="6:31" s="49" customFormat="1" ht="24" customHeight="1" x14ac:dyDescent="0.2">
      <c r="F66" s="835">
        <v>13</v>
      </c>
      <c r="G66" s="836"/>
      <c r="H66" s="836"/>
      <c r="I66" s="819" t="str">
        <f ca="1">$Y40</f>
        <v>VFB Essenheim</v>
      </c>
      <c r="J66" s="819"/>
      <c r="K66" s="820"/>
      <c r="T66"/>
      <c r="U66"/>
      <c r="V66"/>
      <c r="W66"/>
      <c r="X66"/>
      <c r="Y66"/>
      <c r="Z66"/>
      <c r="AA66"/>
      <c r="AB66"/>
      <c r="AC66"/>
      <c r="AD66"/>
      <c r="AE66"/>
    </row>
    <row r="67" spans="6:31" s="49" customFormat="1" ht="24" customHeight="1" x14ac:dyDescent="0.2">
      <c r="F67" s="835">
        <v>14</v>
      </c>
      <c r="G67" s="836"/>
      <c r="H67" s="836"/>
      <c r="I67" s="819" t="str">
        <f ca="1">$Z40</f>
        <v>SV Oberredenburg</v>
      </c>
      <c r="J67" s="819"/>
      <c r="K67" s="820"/>
      <c r="T67"/>
      <c r="U67"/>
      <c r="V67"/>
      <c r="W67"/>
      <c r="X67"/>
      <c r="Y67"/>
      <c r="Z67"/>
      <c r="AA67"/>
      <c r="AB67"/>
      <c r="AC67"/>
      <c r="AD67"/>
      <c r="AE67"/>
    </row>
    <row r="68" spans="6:31" s="49" customFormat="1" ht="24" customHeight="1" x14ac:dyDescent="0.2">
      <c r="F68" s="835">
        <v>15</v>
      </c>
      <c r="G68" s="836"/>
      <c r="H68" s="836"/>
      <c r="I68" s="819" t="str">
        <f ca="1">$Y39</f>
        <v>1. FC Riedwald</v>
      </c>
      <c r="J68" s="819"/>
      <c r="K68" s="820"/>
      <c r="T68"/>
      <c r="U68"/>
      <c r="V68"/>
      <c r="W68"/>
      <c r="X68"/>
      <c r="Y68"/>
      <c r="Z68"/>
      <c r="AA68"/>
      <c r="AB68"/>
      <c r="AC68"/>
      <c r="AD68"/>
      <c r="AE68"/>
    </row>
    <row r="69" spans="6:31" s="49" customFormat="1" ht="24" customHeight="1" thickBot="1" x14ac:dyDescent="0.25">
      <c r="F69" s="837">
        <v>16</v>
      </c>
      <c r="G69" s="838"/>
      <c r="H69" s="838"/>
      <c r="I69" s="863" t="str">
        <f ca="1">$Z39</f>
        <v>HSV</v>
      </c>
      <c r="J69" s="863"/>
      <c r="K69" s="864"/>
      <c r="T69"/>
      <c r="U69"/>
      <c r="V69"/>
      <c r="W69"/>
      <c r="X69"/>
      <c r="Y69"/>
      <c r="Z69"/>
      <c r="AA69"/>
      <c r="AB69"/>
      <c r="AC69"/>
      <c r="AD69"/>
      <c r="AE69"/>
    </row>
    <row r="70" spans="6:31" s="49" customFormat="1" ht="12.75" customHeight="1" thickTop="1" x14ac:dyDescent="0.2">
      <c r="T70"/>
      <c r="U70"/>
      <c r="V70"/>
      <c r="W70"/>
      <c r="X70"/>
      <c r="Y70"/>
      <c r="Z70"/>
      <c r="AA70"/>
      <c r="AB70"/>
      <c r="AC70"/>
      <c r="AD70"/>
      <c r="AE70"/>
    </row>
    <row r="71" spans="6:31" ht="12.75" customHeight="1" x14ac:dyDescent="0.2"/>
    <row r="72" spans="6:31" ht="12.75" customHeight="1" x14ac:dyDescent="0.2"/>
  </sheetData>
  <sheetProtection sheet="1" selectLockedCells="1"/>
  <mergeCells count="74">
    <mergeCell ref="H2:U2"/>
    <mergeCell ref="H3:U3"/>
    <mergeCell ref="H4:U4"/>
    <mergeCell ref="H5:U5"/>
    <mergeCell ref="J7:R8"/>
    <mergeCell ref="C11:I11"/>
    <mergeCell ref="C17:I17"/>
    <mergeCell ref="F12:H12"/>
    <mergeCell ref="I12:K12"/>
    <mergeCell ref="R10:R12"/>
    <mergeCell ref="T12:U12"/>
    <mergeCell ref="C27:I27"/>
    <mergeCell ref="C30:I30"/>
    <mergeCell ref="T19:U19"/>
    <mergeCell ref="C33:I33"/>
    <mergeCell ref="F24:H24"/>
    <mergeCell ref="I24:K24"/>
    <mergeCell ref="L24:N24"/>
    <mergeCell ref="O24:Q24"/>
    <mergeCell ref="C23:I23"/>
    <mergeCell ref="L12:N12"/>
    <mergeCell ref="O12:Q12"/>
    <mergeCell ref="T26:U26"/>
    <mergeCell ref="F39:H39"/>
    <mergeCell ref="F38:H38"/>
    <mergeCell ref="I38:K38"/>
    <mergeCell ref="L38:N38"/>
    <mergeCell ref="O38:Q38"/>
    <mergeCell ref="F53:H53"/>
    <mergeCell ref="I53:K53"/>
    <mergeCell ref="F40:H40"/>
    <mergeCell ref="C41:I41"/>
    <mergeCell ref="F42:H42"/>
    <mergeCell ref="F43:H43"/>
    <mergeCell ref="C44:I44"/>
    <mergeCell ref="F45:H45"/>
    <mergeCell ref="T33:U33"/>
    <mergeCell ref="F46:H46"/>
    <mergeCell ref="C47:I47"/>
    <mergeCell ref="F48:H48"/>
    <mergeCell ref="F49:H49"/>
    <mergeCell ref="C37:I37"/>
    <mergeCell ref="F54:H54"/>
    <mergeCell ref="I54:K54"/>
    <mergeCell ref="F55:H55"/>
    <mergeCell ref="I55:K55"/>
    <mergeCell ref="F56:H56"/>
    <mergeCell ref="I56:K56"/>
    <mergeCell ref="F57:H57"/>
    <mergeCell ref="I57:K57"/>
    <mergeCell ref="F58:H58"/>
    <mergeCell ref="I58:K58"/>
    <mergeCell ref="F59:H59"/>
    <mergeCell ref="I59:K59"/>
    <mergeCell ref="F60:H60"/>
    <mergeCell ref="I60:K60"/>
    <mergeCell ref="F61:H61"/>
    <mergeCell ref="I61:K61"/>
    <mergeCell ref="F62:H62"/>
    <mergeCell ref="I62:K62"/>
    <mergeCell ref="F63:H63"/>
    <mergeCell ref="I63:K63"/>
    <mergeCell ref="F64:H64"/>
    <mergeCell ref="I64:K64"/>
    <mergeCell ref="F65:H65"/>
    <mergeCell ref="I65:K65"/>
    <mergeCell ref="F69:H69"/>
    <mergeCell ref="I69:K69"/>
    <mergeCell ref="F66:H66"/>
    <mergeCell ref="I66:K66"/>
    <mergeCell ref="F67:H67"/>
    <mergeCell ref="I67:K67"/>
    <mergeCell ref="F68:H68"/>
    <mergeCell ref="I68:K68"/>
  </mergeCells>
  <conditionalFormatting sqref="C13:Q16 C18:Q21 L25:Q26 L28:Q29 L31:Q32 L34:Q35 L39:Q40 L42:Q43 L45:Q46 L48:Q49">
    <cfRule type="expression" dxfId="15" priority="4">
      <formula>OR($I13="",$K13="")</formula>
    </cfRule>
  </conditionalFormatting>
  <conditionalFormatting sqref="O13:Q16 O18:Q21 O25:Q26 O28:Q29 O31:Q32 O34:Q35 O39:Q40 O42:Q43 O45:Q46 O48:Q49">
    <cfRule type="expression" dxfId="14" priority="2">
      <formula>AND($AA13,$O13&lt;&gt;"",$Q13&lt;&gt;"",$O13=$Q13)</formula>
    </cfRule>
    <cfRule type="expression" dxfId="13" priority="3">
      <formula>NOT($AA13)</formula>
    </cfRule>
  </conditionalFormatting>
  <pageMargins left="0.7" right="0.7" top="0.78740157499999996" bottom="0.78740157499999996"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34F55-AA90-4B9F-AF43-CCE2B0876282}">
  <dimension ref="A1:AE96"/>
  <sheetViews>
    <sheetView showGridLines="0" showRowColHeaders="0" workbookViewId="0">
      <selection activeCell="L13" sqref="L13"/>
    </sheetView>
  </sheetViews>
  <sheetFormatPr baseColWidth="10" defaultColWidth="0" defaultRowHeight="12.75" customHeight="1" zeroHeight="1" x14ac:dyDescent="0.2"/>
  <cols>
    <col min="1" max="1" width="10.42578125" style="49" customWidth="1"/>
    <col min="2" max="2" width="6.7109375" style="49" customWidth="1"/>
    <col min="3" max="3" width="5.28515625" style="49" customWidth="1"/>
    <col min="4" max="4" width="11.42578125" style="49" customWidth="1"/>
    <col min="5" max="5" width="9.140625" style="49" customWidth="1"/>
    <col min="6" max="6" width="6.7109375" style="49" customWidth="1"/>
    <col min="7" max="7" width="2" style="49" customWidth="1"/>
    <col min="8" max="8" width="6.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 customWidth="1"/>
    <col min="24" max="24" width="8.140625" hidden="1" customWidth="1"/>
    <col min="25" max="25" width="17.7109375" hidden="1" customWidth="1"/>
    <col min="26" max="26" width="18.7109375" hidden="1" customWidth="1"/>
    <col min="27" max="27" width="10" hidden="1" customWidth="1"/>
    <col min="28" max="31" width="6.7109375" hidden="1" customWidth="1"/>
    <col min="32" max="16384" width="11.42578125" hidden="1"/>
  </cols>
  <sheetData>
    <row r="1" spans="2:27" ht="13.5" thickBot="1" x14ac:dyDescent="0.25"/>
    <row r="2" spans="2:27" ht="36.75" thickTop="1" x14ac:dyDescent="0.2">
      <c r="H2" s="839" t="str">
        <f>Vorrunde!$G$2</f>
        <v>Internationales U10-Turnier am 12.04.2025</v>
      </c>
      <c r="I2" s="840"/>
      <c r="J2" s="840"/>
      <c r="K2" s="840"/>
      <c r="L2" s="840"/>
      <c r="M2" s="840"/>
      <c r="N2" s="840"/>
      <c r="O2" s="840"/>
      <c r="P2" s="840"/>
      <c r="Q2" s="840"/>
      <c r="R2" s="840"/>
      <c r="S2" s="840"/>
      <c r="T2" s="840"/>
      <c r="U2" s="841"/>
    </row>
    <row r="3" spans="2:27" ht="30" customHeight="1" x14ac:dyDescent="0.2">
      <c r="H3" s="842" t="str">
        <f>Vorrunde!$G$3</f>
        <v>Veranstalter:  1. FC Riedwald</v>
      </c>
      <c r="I3" s="843"/>
      <c r="J3" s="843"/>
      <c r="K3" s="843"/>
      <c r="L3" s="843"/>
      <c r="M3" s="843"/>
      <c r="N3" s="843"/>
      <c r="O3" s="843"/>
      <c r="P3" s="843"/>
      <c r="Q3" s="843"/>
      <c r="R3" s="843"/>
      <c r="S3" s="843"/>
      <c r="T3" s="843"/>
      <c r="U3" s="844"/>
    </row>
    <row r="4" spans="2:27" ht="30" customHeight="1" x14ac:dyDescent="0.2">
      <c r="H4" s="845" t="str">
        <f>Vorrunde!$G$4</f>
        <v>Sporthalle Wiesengrund, Wendiger Str. 51, 65432 Riedwald</v>
      </c>
      <c r="I4" s="846"/>
      <c r="J4" s="846"/>
      <c r="K4" s="846"/>
      <c r="L4" s="846"/>
      <c r="M4" s="846"/>
      <c r="N4" s="846"/>
      <c r="O4" s="846"/>
      <c r="P4" s="846"/>
      <c r="Q4" s="846"/>
      <c r="R4" s="846"/>
      <c r="S4" s="846"/>
      <c r="T4" s="846"/>
      <c r="U4" s="847"/>
    </row>
    <row r="5" spans="2:27" ht="30" customHeight="1" thickBot="1" x14ac:dyDescent="0.25">
      <c r="H5" s="848" t="str">
        <f>Vorrunde!$G$5</f>
        <v>Beginn:  9:00 Uhr</v>
      </c>
      <c r="I5" s="849"/>
      <c r="J5" s="849"/>
      <c r="K5" s="849"/>
      <c r="L5" s="849"/>
      <c r="M5" s="849"/>
      <c r="N5" s="849"/>
      <c r="O5" s="849"/>
      <c r="P5" s="849"/>
      <c r="Q5" s="849"/>
      <c r="R5" s="849"/>
      <c r="S5" s="849"/>
      <c r="T5" s="849"/>
      <c r="U5" s="850"/>
    </row>
    <row r="6" spans="2:27" ht="18" customHeight="1" thickTop="1" thickBot="1" x14ac:dyDescent="0.25"/>
    <row r="7" spans="2:27" ht="30" customHeight="1" thickTop="1" x14ac:dyDescent="0.9">
      <c r="J7" s="877" t="str">
        <f>Sprache!$E$19</f>
        <v>Endrunde</v>
      </c>
      <c r="K7" s="878"/>
      <c r="L7" s="878"/>
      <c r="M7" s="878"/>
      <c r="N7" s="878"/>
      <c r="O7" s="878"/>
      <c r="P7" s="878"/>
      <c r="Q7" s="878"/>
      <c r="R7" s="878"/>
      <c r="S7" s="591"/>
    </row>
    <row r="8" spans="2:27" ht="30" customHeight="1" thickBot="1" x14ac:dyDescent="0.95">
      <c r="J8" s="879"/>
      <c r="K8" s="880"/>
      <c r="L8" s="880"/>
      <c r="M8" s="880"/>
      <c r="N8" s="880"/>
      <c r="O8" s="880"/>
      <c r="P8" s="880"/>
      <c r="Q8" s="880"/>
      <c r="R8" s="880"/>
      <c r="S8" s="591"/>
    </row>
    <row r="9" spans="2:27" ht="8.25" customHeight="1" thickTop="1" x14ac:dyDescent="0.9">
      <c r="J9" s="703"/>
      <c r="K9" s="703"/>
      <c r="L9" s="703"/>
      <c r="M9" s="703"/>
      <c r="N9" s="703"/>
      <c r="O9" s="703"/>
      <c r="P9" s="703"/>
      <c r="Q9" s="703"/>
      <c r="R9" s="703"/>
      <c r="S9" s="702"/>
    </row>
    <row r="10" spans="2:27" ht="10.5" customHeight="1" x14ac:dyDescent="0.2">
      <c r="R10" s="775" t="str">
        <f>Sprache!$E$20</f>
        <v>Zusätzl. Pause (min)</v>
      </c>
      <c r="X10" s="658" t="s">
        <v>445</v>
      </c>
      <c r="Y10" s="658" t="s">
        <v>446</v>
      </c>
    </row>
    <row r="11" spans="2:27" ht="24" customHeight="1" thickBot="1" x14ac:dyDescent="0.45">
      <c r="C11" s="875" t="str">
        <f>Sprache!$E$76</f>
        <v>Viertelfinale Gruppenfünfte und -sechste</v>
      </c>
      <c r="D11" s="875"/>
      <c r="E11" s="875"/>
      <c r="F11" s="875"/>
      <c r="G11" s="875"/>
      <c r="H11" s="875"/>
      <c r="I11" s="875"/>
      <c r="R11" s="775"/>
      <c r="T11" s="796" t="str">
        <f>Sprache!$E$64</f>
        <v>Gruppensechste</v>
      </c>
      <c r="U11" s="796"/>
      <c r="X11" s="701">
        <f t="array" aca="1" ref="X11" ca="1">61-SUM(((Planung!$L$6:$L$65="")+(Planung!$N$6:$N$65="")&gt;0)*1)</f>
        <v>41</v>
      </c>
      <c r="Y11" s="701" t="b">
        <f ca="1">SUMPRODUCT(($U$13:$U$16="")*1)+SUMPRODUCT(($U$20:$U$23="")*1)=0</f>
        <v>0</v>
      </c>
    </row>
    <row r="12" spans="2:27" ht="24" customHeight="1" thickTop="1" thickBot="1" x14ac:dyDescent="0.25">
      <c r="B12" s="343"/>
      <c r="C12" s="386" t="str">
        <f>Sprache!$E$9</f>
        <v>Nr.</v>
      </c>
      <c r="D12" s="698" t="str">
        <f>Sprache!$E$39</f>
        <v>Beginn:</v>
      </c>
      <c r="E12" s="697" t="str">
        <f>Sprache!$E$48</f>
        <v>Feld</v>
      </c>
      <c r="F12" s="824"/>
      <c r="G12" s="825"/>
      <c r="H12" s="826"/>
      <c r="I12" s="783" t="str">
        <f>Sprache!$E$14</f>
        <v>Spielpaarung</v>
      </c>
      <c r="J12" s="783"/>
      <c r="K12" s="783"/>
      <c r="L12" s="783" t="str">
        <f>Sprache!$E$15</f>
        <v>Ergebnis</v>
      </c>
      <c r="M12" s="783"/>
      <c r="N12" s="783"/>
      <c r="O12" s="783" t="str">
        <f>Sprache!$E$101</f>
        <v>Elfmeter</v>
      </c>
      <c r="P12" s="783"/>
      <c r="Q12" s="784"/>
      <c r="R12" s="776"/>
      <c r="T12" s="441"/>
      <c r="U12" s="471" t="str">
        <f>Sprache!$E$10</f>
        <v>Teilnehmer bzw. Mannschaft</v>
      </c>
      <c r="X12" s="658" t="s">
        <v>16</v>
      </c>
      <c r="Y12" s="659" t="s">
        <v>396</v>
      </c>
      <c r="Z12" s="659" t="s">
        <v>398</v>
      </c>
      <c r="AA12" s="658" t="s">
        <v>397</v>
      </c>
    </row>
    <row r="13" spans="2:27" ht="24" customHeight="1" x14ac:dyDescent="0.2">
      <c r="B13" s="547" t="str">
        <f>Sprache!$E$70&amp;1</f>
        <v>VF 1</v>
      </c>
      <c r="C13" s="378">
        <f ca="1">$X$11</f>
        <v>41</v>
      </c>
      <c r="D13" s="381">
        <f ca="1">IF(Planung!$U$15,"",Planung!$R$13+(Planung!$R$9+Planung!$P$65)/1440)</f>
        <v>0.61805555555555558</v>
      </c>
      <c r="E13" s="364">
        <f>IF(Planung!$U$15,"",1)</f>
        <v>1</v>
      </c>
      <c r="F13" s="413" t="s">
        <v>304</v>
      </c>
      <c r="G13" s="414" t="s">
        <v>5</v>
      </c>
      <c r="H13" s="415" t="s">
        <v>309</v>
      </c>
      <c r="I13" s="365" t="str">
        <f ca="1">VLOOKUP($F13,$T$13:$U$67,2,0)</f>
        <v>Maibach 1822 eV</v>
      </c>
      <c r="J13" s="154" t="s">
        <v>5</v>
      </c>
      <c r="K13" s="366" t="str">
        <f ca="1">VLOOKUP($H13,$T$13:$U$67,2,0)</f>
        <v/>
      </c>
      <c r="L13" s="367">
        <v>2</v>
      </c>
      <c r="M13" s="368" t="str">
        <f>Sprache!$E$111</f>
        <v>:</v>
      </c>
      <c r="N13" s="662">
        <v>1</v>
      </c>
      <c r="O13" s="367"/>
      <c r="P13" s="368" t="str">
        <f>Sprache!$E$111</f>
        <v>:</v>
      </c>
      <c r="Q13" s="369"/>
      <c r="R13" s="340"/>
      <c r="S13" s="328"/>
      <c r="T13" s="696" t="s">
        <v>307</v>
      </c>
      <c r="U13" s="472" t="str">
        <f ca="1">IF(Vorrunde!$N$17="","",Vorrunde!$N$17)</f>
        <v/>
      </c>
      <c r="X13" s="328" t="b">
        <f ca="1">AND($I13&lt;&gt;"",$K13&lt;&gt;"",$L13&lt;&gt;"",$N13&lt;&gt;"")</f>
        <v>0</v>
      </c>
      <c r="Y13" s="328" t="str">
        <f ca="1">IF(NOT(X13),"",IF($L13&gt;$N13,$I13,IF($L13&lt;$N13,$K13,IF(OR($O13="",$Q13="",$O13=$Q13),"",IF($O13&gt;$Q13,$I13,$K13)))))</f>
        <v/>
      </c>
      <c r="Z13" s="328" t="str">
        <f ca="1">IF(NOT(X13),"",IF($L13&lt;$N13,$I13,IF($L13&gt;$N13,$K13,IF(OR($O13="",$Q13="",$O13=$Q13),"",IF($O13&lt;$Q13,$I13,$K13)))))</f>
        <v/>
      </c>
      <c r="AA13" s="328" t="b">
        <f ca="1">AND(X13,$L13=$N13)</f>
        <v>0</v>
      </c>
    </row>
    <row r="14" spans="2:27" ht="24" customHeight="1" x14ac:dyDescent="0.2">
      <c r="B14" s="548" t="str">
        <f>Sprache!$E$70&amp;2</f>
        <v>VF 2</v>
      </c>
      <c r="C14" s="379">
        <f ca="1">IF($Y$11,C13+1,C13)</f>
        <v>41</v>
      </c>
      <c r="D14" s="382">
        <f t="array" aca="1" ref="D14" ca="1">IF(Planung!$U$15,"",$D$13+QUOTIENT(($C14-$C$13),Planung!$U$11)*(Planung!$R$7+Planung!$R$9)/1440+SUM($R$13:$R13)/1440)</f>
        <v>0.61805555555555558</v>
      </c>
      <c r="E14" s="665">
        <f ca="1">IF(Planung!$U$15,"",MOD($C14-$C$13,Planung!$U$11)+1)</f>
        <v>1</v>
      </c>
      <c r="F14" s="416" t="s">
        <v>305</v>
      </c>
      <c r="G14" s="417" t="s">
        <v>5</v>
      </c>
      <c r="H14" s="418" t="s">
        <v>353</v>
      </c>
      <c r="I14" s="666" t="str">
        <f ca="1">VLOOKUP($F14,$T$13:$U$67,2,0)</f>
        <v>SSV Wildbach</v>
      </c>
      <c r="J14" s="155" t="s">
        <v>5</v>
      </c>
      <c r="K14" s="667" t="str">
        <f ca="1">VLOOKUP($H14,$T$13:$U$67,2,0)</f>
        <v/>
      </c>
      <c r="L14" s="337">
        <v>2</v>
      </c>
      <c r="M14" s="339" t="str">
        <f>Sprache!$E$111</f>
        <v>:</v>
      </c>
      <c r="N14" s="663">
        <v>1</v>
      </c>
      <c r="O14" s="337"/>
      <c r="P14" s="339" t="str">
        <f>Sprache!$E$111</f>
        <v>:</v>
      </c>
      <c r="Q14" s="332"/>
      <c r="R14" s="341"/>
      <c r="S14" s="328"/>
      <c r="T14" s="440" t="s">
        <v>308</v>
      </c>
      <c r="U14" s="473" t="str">
        <f ca="1">IF(Vorrunde!$N$27="","",Vorrunde!$N$27)</f>
        <v/>
      </c>
      <c r="X14" s="328" t="b">
        <f ca="1">AND($I14&lt;&gt;"",$K14&lt;&gt;"",$L14&lt;&gt;"",$N14&lt;&gt;"")</f>
        <v>0</v>
      </c>
      <c r="Y14" s="328" t="str">
        <f ca="1">IF(NOT(X14),"",IF($L14&gt;$N14,$I14,IF($L14&lt;$N14,$K14,IF(OR($O14="",$Q14="",$O14=$Q14),"",IF($O14&gt;$Q14,$I14,$K14)))))</f>
        <v/>
      </c>
      <c r="Z14" s="328" t="str">
        <f ca="1">IF(NOT(X14),"",IF($L14&lt;$N14,$I14,IF($L14&gt;$N14,$K14,IF(OR($O14="",$Q14="",$O14=$Q14),"",IF($O14&lt;$Q14,$I14,$K14)))))</f>
        <v/>
      </c>
      <c r="AA14" s="328" t="b">
        <f ca="1">AND(X14,$L14=$N14)</f>
        <v>0</v>
      </c>
    </row>
    <row r="15" spans="2:27" ht="24" customHeight="1" x14ac:dyDescent="0.2">
      <c r="B15" s="548" t="str">
        <f>Sprache!$E$70&amp;3</f>
        <v>VF 3</v>
      </c>
      <c r="C15" s="379">
        <f t="shared" ref="C15:C16" ca="1" si="0">IF($Y$11,C14+1,C14)</f>
        <v>41</v>
      </c>
      <c r="D15" s="382">
        <f t="array" aca="1" ref="D15" ca="1">IF(Planung!$U$15,"",$D$13+QUOTIENT(($C15-$C$13),Planung!$U$11)*(Planung!$R$7+Planung!$R$9)/1440+SUM($R$13:$R14)/1440)</f>
        <v>0.61805555555555558</v>
      </c>
      <c r="E15" s="665">
        <f ca="1">IF(Planung!$U$15,"",MOD($C15-$C$13,Planung!$U$11)+1)</f>
        <v>1</v>
      </c>
      <c r="F15" s="416" t="s">
        <v>306</v>
      </c>
      <c r="G15" s="417" t="s">
        <v>5</v>
      </c>
      <c r="H15" s="418" t="s">
        <v>307</v>
      </c>
      <c r="I15" s="666" t="str">
        <f ca="1">VLOOKUP($F15,$T$13:$U$67,2,0)</f>
        <v>FSV Rauen</v>
      </c>
      <c r="J15" s="155" t="s">
        <v>5</v>
      </c>
      <c r="K15" s="667" t="str">
        <f ca="1">VLOOKUP($H15,$T$13:$U$67,2,0)</f>
        <v/>
      </c>
      <c r="L15" s="337">
        <v>2</v>
      </c>
      <c r="M15" s="339" t="str">
        <f>Sprache!$E$111</f>
        <v>:</v>
      </c>
      <c r="N15" s="663">
        <v>1</v>
      </c>
      <c r="O15" s="337"/>
      <c r="P15" s="339" t="str">
        <f>Sprache!$E$111</f>
        <v>:</v>
      </c>
      <c r="Q15" s="332"/>
      <c r="R15" s="341"/>
      <c r="S15" s="328"/>
      <c r="T15" s="695" t="s">
        <v>309</v>
      </c>
      <c r="U15" s="473" t="str">
        <f ca="1">IF(Vorrunde!$N$37="","",Vorrunde!$N$37)</f>
        <v/>
      </c>
      <c r="X15" s="328" t="b">
        <f ca="1">AND($I15&lt;&gt;"",$K15&lt;&gt;"",$L15&lt;&gt;"",$N15&lt;&gt;"")</f>
        <v>0</v>
      </c>
      <c r="Y15" s="328" t="str">
        <f ca="1">IF(NOT(X15),"",IF($L15&gt;$N15,$I15,IF($L15&lt;$N15,$K15,IF(OR($O15="",$Q15="",$O15=$Q15),"",IF($O15&gt;$Q15,$I15,$K15)))))</f>
        <v/>
      </c>
      <c r="Z15" s="328" t="str">
        <f ca="1">IF(NOT(X15),"",IF($L15&lt;$N15,$I15,IF($L15&gt;$N15,$K15,IF(OR($O15="",$Q15="",$O15=$Q15),"",IF($O15&lt;$Q15,$I15,$K15)))))</f>
        <v/>
      </c>
      <c r="AA15" s="328" t="b">
        <f ca="1">AND(X15,$L15=$N15)</f>
        <v>0</v>
      </c>
    </row>
    <row r="16" spans="2:27" ht="24" customHeight="1" thickBot="1" x14ac:dyDescent="0.25">
      <c r="B16" s="549" t="str">
        <f>Sprache!$E$70&amp;4</f>
        <v>VF 4</v>
      </c>
      <c r="C16" s="380">
        <f t="shared" ca="1" si="0"/>
        <v>41</v>
      </c>
      <c r="D16" s="383">
        <f t="array" aca="1" ref="D16" ca="1">IF(Planung!$U$15,"",$D$13+QUOTIENT(($C16-$C$13),Planung!$U$11)*(Planung!$R$7+Planung!$R$9)/1440+SUM($R$13:$R15)/1440)</f>
        <v>0.61805555555555558</v>
      </c>
      <c r="E16" s="361">
        <f ca="1">IF(Planung!$U$15,"",MOD($C16-$C$13,Planung!$U$11)+1)</f>
        <v>1</v>
      </c>
      <c r="F16" s="419" t="s">
        <v>352</v>
      </c>
      <c r="G16" s="700" t="s">
        <v>5</v>
      </c>
      <c r="H16" s="421" t="s">
        <v>308</v>
      </c>
      <c r="I16" s="334" t="str">
        <f ca="1">VLOOKUP($F16,$T$13:$U$67,2,0)</f>
        <v>TSG Saalberg eV</v>
      </c>
      <c r="J16" s="156" t="s">
        <v>5</v>
      </c>
      <c r="K16" s="335" t="str">
        <f ca="1">VLOOKUP($H16,$T$13:$U$67,2,0)</f>
        <v/>
      </c>
      <c r="L16" s="338">
        <v>2</v>
      </c>
      <c r="M16" s="362" t="str">
        <f>Sprache!$E$111</f>
        <v>:</v>
      </c>
      <c r="N16" s="664">
        <v>1</v>
      </c>
      <c r="O16" s="338"/>
      <c r="P16" s="362" t="str">
        <f>Sprache!$E$111</f>
        <v>:</v>
      </c>
      <c r="Q16" s="333"/>
      <c r="R16" s="363"/>
      <c r="S16" s="328"/>
      <c r="T16" s="405" t="s">
        <v>353</v>
      </c>
      <c r="U16" s="474" t="str">
        <f ca="1">IF(Vorrunde!$N$47="","",Vorrunde!$N$47)</f>
        <v/>
      </c>
      <c r="X16" s="328" t="b">
        <f ca="1">AND($I16&lt;&gt;"",$K16&lt;&gt;"",$L16&lt;&gt;"",$N16&lt;&gt;"")</f>
        <v>0</v>
      </c>
      <c r="Y16" s="328" t="str">
        <f ca="1">IF(NOT(X16),"",IF($L16&gt;$N16,$I16,IF($L16&lt;$N16,$K16,IF(OR($O16="",$Q16="",$O16=$Q16),"",IF($O16&gt;$Q16,$I16,$K16)))))</f>
        <v/>
      </c>
      <c r="Z16" s="328" t="str">
        <f ca="1">IF(NOT(X16),"",IF($L16&lt;$N16,$I16,IF($L16&gt;$N16,$K16,IF(OR($O16="",$Q16="",$O16=$Q16),"",IF($O16&lt;$Q16,$I16,$K16)))))</f>
        <v/>
      </c>
      <c r="AA16" s="328" t="b">
        <f ca="1">AND(X16,$L16=$N16)</f>
        <v>0</v>
      </c>
    </row>
    <row r="17" spans="1:27" ht="24" customHeight="1" thickTop="1" thickBot="1" x14ac:dyDescent="0.35">
      <c r="C17" s="876" t="str">
        <f>Sprache!$E$75</f>
        <v>Viertelfinale Gruppendritte und -vierte</v>
      </c>
      <c r="D17" s="876"/>
      <c r="E17" s="876"/>
      <c r="F17" s="876"/>
      <c r="G17" s="876"/>
      <c r="H17" s="876"/>
      <c r="I17" s="876"/>
      <c r="R17" s="704"/>
    </row>
    <row r="18" spans="1:27" ht="24" customHeight="1" thickTop="1" thickBot="1" x14ac:dyDescent="0.45">
      <c r="B18" s="547" t="str">
        <f>Sprache!$E$70&amp;5</f>
        <v>VF 5</v>
      </c>
      <c r="C18" s="384">
        <f ca="1">IF($Y$11,C16+1,C16)</f>
        <v>41</v>
      </c>
      <c r="D18" s="385">
        <f t="array" aca="1" ref="D18" ca="1">IF(Planung!$U$15,"",$D$13+QUOTIENT(($C18-$C$13),Planung!$U$11)*(Planung!$R$7+Planung!$R$9)/1440+SUM($R$13:$R17)/1440)</f>
        <v>0.61805555555555558</v>
      </c>
      <c r="E18" s="354">
        <f ca="1">IF(Planung!$U$15,"",MOD($C18-$C$13,Planung!$U$11)+1)</f>
        <v>1</v>
      </c>
      <c r="F18" s="487" t="s">
        <v>298</v>
      </c>
      <c r="G18" s="699" t="s">
        <v>5</v>
      </c>
      <c r="H18" s="489" t="s">
        <v>303</v>
      </c>
      <c r="I18" s="355" t="str">
        <f ca="1">VLOOKUP($F18,$T$13:$U$67,2,0)</f>
        <v>1. FC Riedwald</v>
      </c>
      <c r="J18" s="356" t="s">
        <v>5</v>
      </c>
      <c r="K18" s="357" t="str">
        <f ca="1">VLOOKUP($H18,$T$13:$U$67,2,0)</f>
        <v>Kickers Rodendorf</v>
      </c>
      <c r="L18" s="358">
        <v>2</v>
      </c>
      <c r="M18" s="359" t="str">
        <f>Sprache!$E$111</f>
        <v>:</v>
      </c>
      <c r="N18" s="668">
        <v>3</v>
      </c>
      <c r="O18" s="358"/>
      <c r="P18" s="359" t="str">
        <f>Sprache!$E$111</f>
        <v>:</v>
      </c>
      <c r="Q18" s="360"/>
      <c r="R18" s="340"/>
      <c r="S18" s="328"/>
      <c r="T18" s="796" t="str">
        <f>Sprache!$E$63</f>
        <v>Gruppenfünfte</v>
      </c>
      <c r="U18" s="796"/>
      <c r="X18" s="328" t="b">
        <f ca="1">AND($I18&lt;&gt;"",$K18&lt;&gt;"",$L18&lt;&gt;"",$N18&lt;&gt;"")</f>
        <v>1</v>
      </c>
      <c r="Y18" s="328" t="str">
        <f ca="1">IF(NOT(X18),"",IF($L18&gt;$N18,$I18,IF($L18&lt;$N18,$K18,IF(OR($O18="",$Q18="",$O18=$Q18),"",IF($O18&gt;$Q18,$I18,$K18)))))</f>
        <v>Kickers Rodendorf</v>
      </c>
      <c r="Z18" s="328" t="str">
        <f ca="1">IF(NOT(X18),"",IF($L18&lt;$N18,$I18,IF($L18&gt;$N18,$K18,IF(OR($O18="",$Q18="",$O18=$Q18),"",IF($O18&lt;$Q18,$I18,$K18)))))</f>
        <v>1. FC Riedwald</v>
      </c>
      <c r="AA18" s="328" t="b">
        <f ca="1">AND(X18,$L18=$N18)</f>
        <v>0</v>
      </c>
    </row>
    <row r="19" spans="1:27" ht="24" customHeight="1" thickTop="1" x14ac:dyDescent="0.2">
      <c r="B19" s="548" t="str">
        <f>Sprache!$E$70&amp;6</f>
        <v>VF 6</v>
      </c>
      <c r="C19" s="379">
        <f ca="1">C18+1</f>
        <v>42</v>
      </c>
      <c r="D19" s="382">
        <f t="array" aca="1" ref="D19" ca="1">IF(Planung!$U$15,"",$D$13+QUOTIENT(($C19-$C$13),Planung!$U$11)*(Planung!$R$7+Planung!$R$9)/1440+SUM($R$13:$R18)/1440)</f>
        <v>0.61805555555555558</v>
      </c>
      <c r="E19" s="665">
        <f ca="1">IF(Planung!$U$15,"",MOD($C19-$C$13,Planung!$U$11)+1)</f>
        <v>2</v>
      </c>
      <c r="F19" s="416" t="s">
        <v>299</v>
      </c>
      <c r="G19" s="417" t="s">
        <v>5</v>
      </c>
      <c r="H19" s="418" t="s">
        <v>351</v>
      </c>
      <c r="I19" s="666" t="str">
        <f ca="1">VLOOKUP($F19,$T$13:$U$67,2,0)</f>
        <v>Mainz 05</v>
      </c>
      <c r="J19" s="155" t="s">
        <v>5</v>
      </c>
      <c r="K19" s="667" t="str">
        <f ca="1">VLOOKUP($H19,$T$13:$U$67,2,0)</f>
        <v>SV Oberredenburg</v>
      </c>
      <c r="L19" s="337">
        <v>4</v>
      </c>
      <c r="M19" s="339" t="str">
        <f>Sprache!$E$111</f>
        <v>:</v>
      </c>
      <c r="N19" s="663">
        <v>3</v>
      </c>
      <c r="O19" s="337"/>
      <c r="P19" s="339" t="str">
        <f>Sprache!$E$111</f>
        <v>:</v>
      </c>
      <c r="Q19" s="332"/>
      <c r="R19" s="341"/>
      <c r="S19" s="328"/>
      <c r="T19" s="441"/>
      <c r="U19" s="471" t="str">
        <f>Sprache!$E$10</f>
        <v>Teilnehmer bzw. Mannschaft</v>
      </c>
      <c r="X19" s="328" t="b">
        <f ca="1">AND($I19&lt;&gt;"",$K19&lt;&gt;"",$L19&lt;&gt;"",$N19&lt;&gt;"")</f>
        <v>1</v>
      </c>
      <c r="Y19" s="328" t="str">
        <f ca="1">IF(NOT(X19),"",IF($L19&gt;$N19,$I19,IF($L19&lt;$N19,$K19,IF(OR($O19="",$Q19="",$O19=$Q19),"",IF($O19&gt;$Q19,$I19,$K19)))))</f>
        <v>Mainz 05</v>
      </c>
      <c r="Z19" s="328" t="str">
        <f ca="1">IF(NOT(X19),"",IF($L19&lt;$N19,$I19,IF($L19&gt;$N19,$K19,IF(OR($O19="",$Q19="",$O19=$Q19),"",IF($O19&lt;$Q19,$I19,$K19)))))</f>
        <v>SV Oberredenburg</v>
      </c>
      <c r="AA19" s="328" t="b">
        <f ca="1">AND(X19,$L19=$N19)</f>
        <v>0</v>
      </c>
    </row>
    <row r="20" spans="1:27" ht="24" customHeight="1" x14ac:dyDescent="0.2">
      <c r="B20" s="548" t="str">
        <f>Sprache!$E$70&amp;7</f>
        <v>VF 7</v>
      </c>
      <c r="C20" s="379">
        <f t="shared" ref="C20:C21" ca="1" si="1">C19+1</f>
        <v>43</v>
      </c>
      <c r="D20" s="382">
        <f t="array" aca="1" ref="D20" ca="1">IF(Planung!$U$15,"",$D$13+QUOTIENT(($C20-$C$13),Planung!$U$11)*(Planung!$R$7+Planung!$R$9)/1440+SUM($R$13:$R19)/1440)</f>
        <v>0.61805555555555558</v>
      </c>
      <c r="E20" s="665">
        <f ca="1">IF(Planung!$U$15,"",MOD($C20-$C$13,Planung!$U$11)+1)</f>
        <v>3</v>
      </c>
      <c r="F20" s="416" t="s">
        <v>300</v>
      </c>
      <c r="G20" s="417" t="s">
        <v>5</v>
      </c>
      <c r="H20" s="418" t="s">
        <v>301</v>
      </c>
      <c r="I20" s="666" t="str">
        <f ca="1">VLOOKUP($F20,$T$13:$U$67,2,0)</f>
        <v>1. FC Nürnberg</v>
      </c>
      <c r="J20" s="155" t="s">
        <v>5</v>
      </c>
      <c r="K20" s="667" t="str">
        <f ca="1">VLOOKUP($H20,$T$13:$U$67,2,0)</f>
        <v>VFB Essenheim</v>
      </c>
      <c r="L20" s="337">
        <v>5</v>
      </c>
      <c r="M20" s="339" t="str">
        <f>Sprache!$E$111</f>
        <v>:</v>
      </c>
      <c r="N20" s="663">
        <v>3</v>
      </c>
      <c r="O20" s="337"/>
      <c r="P20" s="339" t="str">
        <f>Sprache!$E$111</f>
        <v>:</v>
      </c>
      <c r="Q20" s="332"/>
      <c r="R20" s="341"/>
      <c r="S20" s="328"/>
      <c r="T20" s="696" t="s">
        <v>304</v>
      </c>
      <c r="U20" s="472" t="str">
        <f ca="1">IF(Vorrunde!$N$16="","",Vorrunde!$N$16)</f>
        <v>Maibach 1822 eV</v>
      </c>
      <c r="X20" s="328" t="b">
        <f ca="1">AND($I20&lt;&gt;"",$K20&lt;&gt;"",$L20&lt;&gt;"",$N20&lt;&gt;"")</f>
        <v>1</v>
      </c>
      <c r="Y20" s="328" t="str">
        <f ca="1">IF(NOT(X20),"",IF($L20&gt;$N20,$I20,IF($L20&lt;$N20,$K20,IF(OR($O20="",$Q20="",$O20=$Q20),"",IF($O20&gt;$Q20,$I20,$K20)))))</f>
        <v>1. FC Nürnberg</v>
      </c>
      <c r="Z20" s="328" t="str">
        <f ca="1">IF(NOT(X20),"",IF($L20&lt;$N20,$I20,IF($L20&gt;$N20,$K20,IF(OR($O20="",$Q20="",$O20=$Q20),"",IF($O20&lt;$Q20,$I20,$K20)))))</f>
        <v>VFB Essenheim</v>
      </c>
      <c r="AA20" s="328" t="b">
        <f ca="1">AND(X20,$L20=$N20)</f>
        <v>0</v>
      </c>
    </row>
    <row r="21" spans="1:27" ht="24" customHeight="1" thickBot="1" x14ac:dyDescent="0.25">
      <c r="B21" s="549" t="str">
        <f>Sprache!$E$70&amp;8</f>
        <v>VF 8</v>
      </c>
      <c r="C21" s="380">
        <f t="shared" ca="1" si="1"/>
        <v>44</v>
      </c>
      <c r="D21" s="383">
        <f t="array" aca="1" ref="D21" ca="1">IF(Planung!$U$15,"",$D$13+QUOTIENT(($C21-$C$13),Planung!$U$11)*(Planung!$R$7+Planung!$R$9)/1440+SUM($R$13:$R20)/1440)</f>
        <v>0.61805555555555558</v>
      </c>
      <c r="E21" s="361">
        <f ca="1">IF(Planung!$U$15,"",MOD($C21-$C$13,Planung!$U$11)+1)</f>
        <v>4</v>
      </c>
      <c r="F21" s="419" t="s">
        <v>350</v>
      </c>
      <c r="G21" s="700" t="s">
        <v>5</v>
      </c>
      <c r="H21" s="421" t="s">
        <v>302</v>
      </c>
      <c r="I21" s="334" t="str">
        <f ca="1">VLOOKUP($F21,$T$13:$U$67,2,0)</f>
        <v>HSV</v>
      </c>
      <c r="J21" s="156" t="s">
        <v>5</v>
      </c>
      <c r="K21" s="335" t="str">
        <f ca="1">VLOOKUP($H21,$T$13:$U$67,2,0)</f>
        <v>FC Grönlingen</v>
      </c>
      <c r="L21" s="338">
        <v>2</v>
      </c>
      <c r="M21" s="362" t="str">
        <f>Sprache!$E$111</f>
        <v>:</v>
      </c>
      <c r="N21" s="664">
        <v>4</v>
      </c>
      <c r="O21" s="338"/>
      <c r="P21" s="362" t="str">
        <f>Sprache!$E$111</f>
        <v>:</v>
      </c>
      <c r="Q21" s="333"/>
      <c r="R21" s="363"/>
      <c r="S21" s="328"/>
      <c r="T21" s="440" t="s">
        <v>305</v>
      </c>
      <c r="U21" s="473" t="str">
        <f ca="1">IF(Vorrunde!$N$26="","",Vorrunde!$N$26)</f>
        <v>SSV Wildbach</v>
      </c>
      <c r="X21" s="328" t="b">
        <f ca="1">AND($I21&lt;&gt;"",$K21&lt;&gt;"",$L21&lt;&gt;"",$N21&lt;&gt;"")</f>
        <v>1</v>
      </c>
      <c r="Y21" s="328" t="str">
        <f ca="1">IF(NOT(X21),"",IF($L21&gt;$N21,$I21,IF($L21&lt;$N21,$K21,IF(OR($O21="",$Q21="",$O21=$Q21),"",IF($O21&gt;$Q21,$I21,$K21)))))</f>
        <v>FC Grönlingen</v>
      </c>
      <c r="Z21" s="328" t="str">
        <f ca="1">IF(NOT(X21),"",IF($L21&lt;$N21,$I21,IF($L21&gt;$N21,$K21,IF(OR($O21="",$Q21="",$O21=$Q21),"",IF($O21&lt;$Q21,$I21,$K21)))))</f>
        <v>HSV</v>
      </c>
      <c r="AA21" s="328" t="b">
        <f ca="1">AND(X21,$L21=$N21)</f>
        <v>0</v>
      </c>
    </row>
    <row r="22" spans="1:27" ht="24" customHeight="1" thickTop="1" thickBot="1" x14ac:dyDescent="0.35">
      <c r="C22" s="876" t="str">
        <f>Sprache!$E$74</f>
        <v>Viertelfinale Gruppenerste und -zweite</v>
      </c>
      <c r="D22" s="876"/>
      <c r="E22" s="876"/>
      <c r="F22" s="876"/>
      <c r="G22" s="876"/>
      <c r="H22" s="876"/>
      <c r="I22" s="876"/>
      <c r="R22" s="704"/>
      <c r="T22" s="695" t="s">
        <v>306</v>
      </c>
      <c r="U22" s="473" t="str">
        <f ca="1">IF(Vorrunde!$N$36="","",Vorrunde!$N$36)</f>
        <v>FSV Rauen</v>
      </c>
    </row>
    <row r="23" spans="1:27" ht="24" customHeight="1" thickTop="1" thickBot="1" x14ac:dyDescent="0.25">
      <c r="B23" s="547" t="str">
        <f>Sprache!$E$70&amp;9</f>
        <v>VF 9</v>
      </c>
      <c r="C23" s="384">
        <f ca="1">C21+1</f>
        <v>45</v>
      </c>
      <c r="D23" s="385">
        <f t="array" aca="1" ref="D23" ca="1">IF(Planung!$U$15,"",$D$13+QUOTIENT(($C23-$C$13),Planung!$U$11)*(Planung!$R$7+Planung!$R$9)/1440+SUM($R$13:$R22)/1440)</f>
        <v>0.64236111111111116</v>
      </c>
      <c r="E23" s="354">
        <f ca="1">IF(Planung!$U$15,"",MOD($C23-$C$13,Planung!$U$11)+1)</f>
        <v>1</v>
      </c>
      <c r="F23" s="487" t="s">
        <v>292</v>
      </c>
      <c r="G23" s="699" t="s">
        <v>5</v>
      </c>
      <c r="H23" s="489" t="s">
        <v>297</v>
      </c>
      <c r="I23" s="355" t="str">
        <f ca="1">VLOOKUP($F23,$T$13:$U$67,2,0)</f>
        <v>FC Barcelona</v>
      </c>
      <c r="J23" s="356" t="s">
        <v>5</v>
      </c>
      <c r="K23" s="357" t="str">
        <f ca="1">VLOOKUP($H23,$T$13:$U$67,2,0)</f>
        <v>Real Madrid</v>
      </c>
      <c r="L23" s="358">
        <v>2</v>
      </c>
      <c r="M23" s="359" t="str">
        <f>Sprache!$E$111</f>
        <v>:</v>
      </c>
      <c r="N23" s="668">
        <v>3</v>
      </c>
      <c r="O23" s="358"/>
      <c r="P23" s="359" t="str">
        <f>Sprache!$E$111</f>
        <v>:</v>
      </c>
      <c r="Q23" s="360"/>
      <c r="R23" s="340"/>
      <c r="S23" s="328"/>
      <c r="T23" s="405" t="s">
        <v>352</v>
      </c>
      <c r="U23" s="474" t="str">
        <f ca="1">IF(Vorrunde!$N$46="","",Vorrunde!$N$46)</f>
        <v>TSG Saalberg eV</v>
      </c>
      <c r="X23" s="328" t="b">
        <f ca="1">AND($I23&lt;&gt;"",$K23&lt;&gt;"",$L23&lt;&gt;"",$N23&lt;&gt;"")</f>
        <v>1</v>
      </c>
      <c r="Y23" s="328" t="str">
        <f ca="1">IF(NOT(X23),"",IF($L23&gt;$N23,$I23,IF($L23&lt;$N23,$K23,IF(OR($O23="",$Q23="",$O23=$Q23),"",IF($O23&gt;$Q23,$I23,$K23)))))</f>
        <v>Real Madrid</v>
      </c>
      <c r="Z23" s="328" t="str">
        <f ca="1">IF(NOT(X23),"",IF($L23&lt;$N23,$I23,IF($L23&gt;$N23,$K23,IF(OR($O23="",$Q23="",$O23=$Q23),"",IF($O23&lt;$Q23,$I23,$K23)))))</f>
        <v>FC Barcelona</v>
      </c>
      <c r="AA23" s="328" t="b">
        <f ca="1">AND(X23,$L23=$N23)</f>
        <v>0</v>
      </c>
    </row>
    <row r="24" spans="1:27" ht="24" customHeight="1" thickTop="1" x14ac:dyDescent="0.2">
      <c r="B24" s="548" t="str">
        <f>Sprache!$E$70&amp;10</f>
        <v>VF 10</v>
      </c>
      <c r="C24" s="379">
        <f t="shared" ref="C24:C26" ca="1" si="2">C23+1</f>
        <v>46</v>
      </c>
      <c r="D24" s="382">
        <f t="array" aca="1" ref="D24" ca="1">IF(Planung!$U$15,"",$D$13+QUOTIENT(($C24-$C$13),Planung!$U$11)*(Planung!$R$7+Planung!$R$9)/1440+SUM($R$13:$R23)/1440)</f>
        <v>0.64236111111111116</v>
      </c>
      <c r="E24" s="665">
        <f ca="1">IF(Planung!$U$15,"",MOD($C24-$C$13,Planung!$U$11)+1)</f>
        <v>2</v>
      </c>
      <c r="F24" s="416" t="s">
        <v>293</v>
      </c>
      <c r="G24" s="417" t="s">
        <v>5</v>
      </c>
      <c r="H24" s="418" t="s">
        <v>349</v>
      </c>
      <c r="I24" s="666" t="str">
        <f ca="1">VLOOKUP($F24,$T$13:$U$67,2,0)</f>
        <v>Manchester City</v>
      </c>
      <c r="J24" s="155" t="s">
        <v>5</v>
      </c>
      <c r="K24" s="667" t="str">
        <f ca="1">VLOOKUP($H24,$T$13:$U$67,2,0)</f>
        <v>RB Leipzig</v>
      </c>
      <c r="L24" s="337">
        <v>4</v>
      </c>
      <c r="M24" s="339" t="str">
        <f>Sprache!$E$111</f>
        <v>:</v>
      </c>
      <c r="N24" s="663">
        <v>3</v>
      </c>
      <c r="O24" s="337"/>
      <c r="P24" s="339" t="str">
        <f>Sprache!$E$111</f>
        <v>:</v>
      </c>
      <c r="Q24" s="332"/>
      <c r="R24" s="341"/>
      <c r="S24" s="328"/>
      <c r="X24" s="328" t="b">
        <f ca="1">AND($I24&lt;&gt;"",$K24&lt;&gt;"",$L24&lt;&gt;"",$N24&lt;&gt;"")</f>
        <v>1</v>
      </c>
      <c r="Y24" s="328" t="str">
        <f ca="1">IF(NOT(X24),"",IF($L24&gt;$N24,$I24,IF($L24&lt;$N24,$K24,IF(OR($O24="",$Q24="",$O24=$Q24),"",IF($O24&gt;$Q24,$I24,$K24)))))</f>
        <v>Manchester City</v>
      </c>
      <c r="Z24" s="328" t="str">
        <f ca="1">IF(NOT(X24),"",IF($L24&lt;$N24,$I24,IF($L24&gt;$N24,$K24,IF(OR($O24="",$Q24="",$O24=$Q24),"",IF($O24&lt;$Q24,$I24,$K24)))))</f>
        <v>RB Leipzig</v>
      </c>
      <c r="AA24" s="328" t="b">
        <f ca="1">AND(X24,$L24=$N24)</f>
        <v>0</v>
      </c>
    </row>
    <row r="25" spans="1:27" ht="24" customHeight="1" x14ac:dyDescent="0.2">
      <c r="B25" s="548" t="str">
        <f>Sprache!$E$70&amp;11</f>
        <v>VF 11</v>
      </c>
      <c r="C25" s="379">
        <f t="shared" ca="1" si="2"/>
        <v>47</v>
      </c>
      <c r="D25" s="382">
        <f t="array" aca="1" ref="D25" ca="1">IF(Planung!$U$15,"",$D$13+QUOTIENT(($C25-$C$13),Planung!$U$11)*(Planung!$R$7+Planung!$R$9)/1440+SUM($R$13:$R24)/1440)</f>
        <v>0.64236111111111116</v>
      </c>
      <c r="E25" s="665">
        <f ca="1">IF(Planung!$U$15,"",MOD($C25-$C$13,Planung!$U$11)+1)</f>
        <v>3</v>
      </c>
      <c r="F25" s="416" t="s">
        <v>294</v>
      </c>
      <c r="G25" s="417" t="s">
        <v>5</v>
      </c>
      <c r="H25" s="418" t="s">
        <v>295</v>
      </c>
      <c r="I25" s="666" t="str">
        <f ca="1">VLOOKUP($F25,$T$13:$U$67,2,0)</f>
        <v>Borussia Dortmund</v>
      </c>
      <c r="J25" s="155" t="s">
        <v>5</v>
      </c>
      <c r="K25" s="667" t="str">
        <f ca="1">VLOOKUP($H25,$T$13:$U$67,2,0)</f>
        <v>Eintracht Frankfurt</v>
      </c>
      <c r="L25" s="337">
        <v>5</v>
      </c>
      <c r="M25" s="339" t="str">
        <f>Sprache!$E$111</f>
        <v>:</v>
      </c>
      <c r="N25" s="663">
        <v>3</v>
      </c>
      <c r="O25" s="337"/>
      <c r="P25" s="339" t="str">
        <f>Sprache!$E$111</f>
        <v>:</v>
      </c>
      <c r="Q25" s="332"/>
      <c r="R25" s="341"/>
      <c r="S25" s="328"/>
      <c r="X25" s="328" t="b">
        <f ca="1">AND($I25&lt;&gt;"",$K25&lt;&gt;"",$L25&lt;&gt;"",$N25&lt;&gt;"")</f>
        <v>1</v>
      </c>
      <c r="Y25" s="328" t="str">
        <f ca="1">IF(NOT(X25),"",IF($L25&gt;$N25,$I25,IF($L25&lt;$N25,$K25,IF(OR($O25="",$Q25="",$O25=$Q25),"",IF($O25&gt;$Q25,$I25,$K25)))))</f>
        <v>Borussia Dortmund</v>
      </c>
      <c r="Z25" s="328" t="str">
        <f ca="1">IF(NOT(X25),"",IF($L25&lt;$N25,$I25,IF($L25&gt;$N25,$K25,IF(OR($O25="",$Q25="",$O25=$Q25),"",IF($O25&lt;$Q25,$I25,$K25)))))</f>
        <v>Eintracht Frankfurt</v>
      </c>
      <c r="AA25" s="328" t="b">
        <f ca="1">AND(X25,$L25=$N25)</f>
        <v>0</v>
      </c>
    </row>
    <row r="26" spans="1:27" ht="24" customHeight="1" thickBot="1" x14ac:dyDescent="0.25">
      <c r="B26" s="549" t="str">
        <f>Sprache!$E$70&amp;12</f>
        <v>VF 12</v>
      </c>
      <c r="C26" s="380">
        <f t="shared" ca="1" si="2"/>
        <v>48</v>
      </c>
      <c r="D26" s="383">
        <f t="array" aca="1" ref="D26" ca="1">IF(Planung!$U$15,"",$D$13+QUOTIENT(($C26-$C$13),Planung!$U$11)*(Planung!$R$7+Planung!$R$9)/1440+SUM($R$13:$R25)/1440)</f>
        <v>0.64236111111111116</v>
      </c>
      <c r="E26" s="361">
        <f ca="1">IF(Planung!$U$15,"",MOD($C26-$C$13,Planung!$U$11)+1)</f>
        <v>4</v>
      </c>
      <c r="F26" s="419" t="s">
        <v>348</v>
      </c>
      <c r="G26" s="700" t="s">
        <v>5</v>
      </c>
      <c r="H26" s="421" t="s">
        <v>296</v>
      </c>
      <c r="I26" s="334" t="str">
        <f ca="1">VLOOKUP($F26,$T$13:$U$67,2,0)</f>
        <v>Paris St. Germain</v>
      </c>
      <c r="J26" s="156" t="s">
        <v>5</v>
      </c>
      <c r="K26" s="335" t="str">
        <f ca="1">VLOOKUP($H26,$T$13:$U$67,2,0)</f>
        <v>Inter Mailand</v>
      </c>
      <c r="L26" s="338">
        <v>2</v>
      </c>
      <c r="M26" s="362" t="str">
        <f>Sprache!$E$111</f>
        <v>:</v>
      </c>
      <c r="N26" s="664">
        <v>4</v>
      </c>
      <c r="O26" s="338"/>
      <c r="P26" s="362" t="str">
        <f>Sprache!$E$111</f>
        <v>:</v>
      </c>
      <c r="Q26" s="333"/>
      <c r="R26" s="363"/>
      <c r="S26" s="328"/>
      <c r="X26" s="328" t="b">
        <f ca="1">AND($I26&lt;&gt;"",$K26&lt;&gt;"",$L26&lt;&gt;"",$N26&lt;&gt;"")</f>
        <v>1</v>
      </c>
      <c r="Y26" s="328" t="str">
        <f ca="1">IF(NOT(X26),"",IF($L26&gt;$N26,$I26,IF($L26&lt;$N26,$K26,IF(OR($O26="",$Q26="",$O26=$Q26),"",IF($O26&gt;$Q26,$I26,$K26)))))</f>
        <v>Inter Mailand</v>
      </c>
      <c r="Z26" s="328" t="str">
        <f ca="1">IF(NOT(X26),"",IF($L26&lt;$N26,$I26,IF($L26&gt;$N26,$K26,IF(OR($O26="",$Q26="",$O26=$Q26),"",IF($O26&lt;$Q26,$I26,$K26)))))</f>
        <v>Paris St. Germain</v>
      </c>
      <c r="AA26" s="328" t="b">
        <f ca="1">AND(X26,$L26=$N26)</f>
        <v>0</v>
      </c>
    </row>
    <row r="27" spans="1:27" ht="60" customHeight="1" thickTop="1" thickBot="1" x14ac:dyDescent="0.35">
      <c r="A27" s="328"/>
      <c r="C27" s="876" t="str">
        <f>Sprache!$E$82</f>
        <v>Halbfinale Plätze 21 - 24</v>
      </c>
      <c r="D27" s="876"/>
      <c r="E27" s="876"/>
      <c r="F27" s="876"/>
      <c r="G27" s="876"/>
      <c r="H27" s="876"/>
      <c r="I27" s="876"/>
      <c r="J27" s="122"/>
      <c r="K27" s="390" t="s">
        <v>270</v>
      </c>
      <c r="L27" s="351"/>
      <c r="M27" s="351"/>
      <c r="N27" s="351"/>
      <c r="O27" s="351"/>
      <c r="P27" s="351"/>
      <c r="Q27" s="351"/>
      <c r="R27" s="353"/>
      <c r="S27" s="328"/>
    </row>
    <row r="28" spans="1:27" ht="24" customHeight="1" thickTop="1" thickBot="1" x14ac:dyDescent="0.25">
      <c r="A28" s="328"/>
      <c r="C28" s="386" t="str">
        <f>Sprache!$E$9</f>
        <v>Nr.</v>
      </c>
      <c r="D28" s="713" t="str">
        <f>Sprache!$E$39</f>
        <v>Beginn:</v>
      </c>
      <c r="E28" s="712" t="str">
        <f>Sprache!$E$48</f>
        <v>Feld</v>
      </c>
      <c r="F28" s="824"/>
      <c r="G28" s="825"/>
      <c r="H28" s="826"/>
      <c r="I28" s="783" t="str">
        <f>Sprache!$E$14</f>
        <v>Spielpaarung</v>
      </c>
      <c r="J28" s="783"/>
      <c r="K28" s="783"/>
      <c r="L28" s="783" t="str">
        <f>Sprache!$E$15</f>
        <v>Ergebnis</v>
      </c>
      <c r="M28" s="783"/>
      <c r="N28" s="783"/>
      <c r="O28" s="783" t="str">
        <f>Sprache!$E$101</f>
        <v>Elfmeter</v>
      </c>
      <c r="P28" s="783"/>
      <c r="Q28" s="784"/>
      <c r="R28" s="353"/>
      <c r="S28" s="328"/>
    </row>
    <row r="29" spans="1:27" ht="24" customHeight="1" x14ac:dyDescent="0.2">
      <c r="A29" s="328"/>
      <c r="C29" s="726">
        <f ca="1">C26+1</f>
        <v>49</v>
      </c>
      <c r="D29" s="727">
        <f t="array" aca="1" ref="D29" ca="1">IF(Planung!$U$15,"",$D$13+QUOTIENT(($C29-$C$13),Planung!$U$11)*(Planung!$R$7+Planung!$R$9)/1440+SUM($R$13:$R28)/1440)</f>
        <v>0.66666666666666674</v>
      </c>
      <c r="E29" s="728">
        <f ca="1">IF(Planung!$U$15,"",MOD($C29-$C$13,Planung!$U$11)+1)</f>
        <v>1</v>
      </c>
      <c r="F29" s="729" t="str">
        <f>B13</f>
        <v>VF 1</v>
      </c>
      <c r="G29" s="730" t="s">
        <v>5</v>
      </c>
      <c r="H29" s="731" t="str">
        <f>B15</f>
        <v>VF 3</v>
      </c>
      <c r="I29" s="732" t="str">
        <f ca="1">VLOOKUP(F29,$B$13:$Z$26,25,0)</f>
        <v/>
      </c>
      <c r="J29" s="733" t="s">
        <v>5</v>
      </c>
      <c r="K29" s="734" t="str">
        <f ca="1">VLOOKUP(H29,$B$13:$Z$26,25,0)</f>
        <v/>
      </c>
      <c r="L29" s="735">
        <v>2</v>
      </c>
      <c r="M29" s="339" t="str">
        <f>Sprache!$E$111</f>
        <v>:</v>
      </c>
      <c r="N29" s="736">
        <v>1</v>
      </c>
      <c r="O29" s="735"/>
      <c r="P29" s="339" t="str">
        <f>Sprache!$E$111</f>
        <v>:</v>
      </c>
      <c r="Q29" s="737"/>
      <c r="R29" s="340"/>
      <c r="S29" s="328"/>
      <c r="X29" s="328" t="b">
        <f ca="1">AND($I29&lt;&gt;"",$K29&lt;&gt;"",$L29&lt;&gt;"",$N29&lt;&gt;"")</f>
        <v>0</v>
      </c>
      <c r="Y29" s="328" t="str">
        <f ca="1">IF(NOT(X29),"",IF($L29&gt;$N29,$I29,IF($L29&lt;$N29,$K29,IF(OR($O29="",$Q29="",$O29=$Q29),"",IF($O29&gt;$Q29,$I29,$K29)))))</f>
        <v/>
      </c>
      <c r="Z29" s="328" t="str">
        <f ca="1">IF(NOT(X29),"",IF($L29&lt;$N29,$I29,IF($L29&gt;$N29,$K29,IF(OR($O29="",$Q29="",$O29=$Q29),"",IF($O29&lt;$Q29,$I29,$K29)))))</f>
        <v/>
      </c>
      <c r="AA29" s="328" t="b">
        <f ca="1">AND(X29,$L29=$N29)</f>
        <v>0</v>
      </c>
    </row>
    <row r="30" spans="1:27" ht="24" customHeight="1" thickBot="1" x14ac:dyDescent="0.25">
      <c r="A30" s="328"/>
      <c r="C30" s="380">
        <f ca="1">IF($Y$11,C29+1,C29)</f>
        <v>49</v>
      </c>
      <c r="D30" s="383">
        <f t="array" aca="1" ref="D30" ca="1">IF(Planung!$U$15,"",$D$13+QUOTIENT(($C30-$C$13),Planung!$U$11)*(Planung!$R$7+Planung!$R$9)/1440+SUM($R$13:$R29)/1440)</f>
        <v>0.66666666666666674</v>
      </c>
      <c r="E30" s="361">
        <f ca="1">IF(Planung!$U$15,"",MOD($C30-$C$13,Planung!$U$11)+1)</f>
        <v>1</v>
      </c>
      <c r="F30" s="419" t="str">
        <f>B14</f>
        <v>VF 2</v>
      </c>
      <c r="G30" s="700" t="s">
        <v>5</v>
      </c>
      <c r="H30" s="421" t="str">
        <f>B16</f>
        <v>VF 4</v>
      </c>
      <c r="I30" s="334" t="str">
        <f ca="1">VLOOKUP(F30,$B$13:$Z$26,25,0)</f>
        <v/>
      </c>
      <c r="J30" s="156" t="s">
        <v>5</v>
      </c>
      <c r="K30" s="335" t="str">
        <f ca="1">VLOOKUP(H30,$B$13:$Z$26,25,0)</f>
        <v/>
      </c>
      <c r="L30" s="338">
        <v>2</v>
      </c>
      <c r="M30" s="362" t="str">
        <f>Sprache!$E$111</f>
        <v>:</v>
      </c>
      <c r="N30" s="664">
        <v>1</v>
      </c>
      <c r="O30" s="338"/>
      <c r="P30" s="362" t="str">
        <f>Sprache!$E$111</f>
        <v>:</v>
      </c>
      <c r="Q30" s="333"/>
      <c r="R30" s="363"/>
      <c r="S30" s="328"/>
      <c r="X30" s="328" t="b">
        <f ca="1">AND($I30&lt;&gt;"",$K30&lt;&gt;"",$L30&lt;&gt;"",$N30&lt;&gt;"")</f>
        <v>0</v>
      </c>
      <c r="Y30" s="328" t="str">
        <f ca="1">IF(NOT(X30),"",IF($L30&gt;$N30,$I30,IF($L30&lt;$N30,$K30,IF(OR($O30="",$Q30="",$O30=$Q30),"",IF($O30&gt;$Q30,$I30,$K30)))))</f>
        <v/>
      </c>
      <c r="Z30" s="328" t="str">
        <f ca="1">IF(NOT(X30),"",IF($L30&lt;$N30,$I30,IF($L30&gt;$N30,$K30,IF(OR($O30="",$Q30="",$O30=$Q30),"",IF($O30&lt;$Q30,$I30,$K30)))))</f>
        <v/>
      </c>
      <c r="AA30" s="328" t="b">
        <f ca="1">AND(X30,$L30=$N30)</f>
        <v>0</v>
      </c>
    </row>
    <row r="31" spans="1:27" ht="24" customHeight="1" thickTop="1" thickBot="1" x14ac:dyDescent="0.35">
      <c r="A31" s="328"/>
      <c r="C31" s="876" t="str">
        <f>Sprache!$E$81</f>
        <v>Halbfinale Plätze 17 - 20</v>
      </c>
      <c r="D31" s="876"/>
      <c r="E31" s="876"/>
      <c r="F31" s="876"/>
      <c r="G31" s="876"/>
      <c r="H31" s="876"/>
      <c r="I31" s="876"/>
      <c r="J31" s="122"/>
      <c r="K31" s="390" t="s">
        <v>270</v>
      </c>
      <c r="L31" s="351"/>
      <c r="M31" s="351"/>
      <c r="N31" s="351"/>
      <c r="O31" s="351"/>
      <c r="P31" s="351"/>
      <c r="Q31" s="351"/>
      <c r="R31" s="353"/>
      <c r="S31" s="328"/>
    </row>
    <row r="32" spans="1:27" ht="24" customHeight="1" thickTop="1" x14ac:dyDescent="0.2">
      <c r="A32" s="328"/>
      <c r="C32" s="384">
        <f ca="1">IF($Y$11,C30+1,C30)</f>
        <v>49</v>
      </c>
      <c r="D32" s="385">
        <f t="array" aca="1" ref="D32" ca="1">IF(Planung!$U$15,"",$D$13+QUOTIENT(($C32-$C$13),Planung!$U$11)*(Planung!$R$7+Planung!$R$9)/1440+SUM($R$13:$R31)/1440)</f>
        <v>0.66666666666666674</v>
      </c>
      <c r="E32" s="354">
        <f ca="1">IF(Planung!$U$15,"",MOD($C32-$C$13,Planung!$U$11)+1)</f>
        <v>1</v>
      </c>
      <c r="F32" s="487" t="str">
        <f>B13</f>
        <v>VF 1</v>
      </c>
      <c r="G32" s="699" t="s">
        <v>5</v>
      </c>
      <c r="H32" s="489" t="str">
        <f>B15</f>
        <v>VF 3</v>
      </c>
      <c r="I32" s="355" t="str">
        <f ca="1">VLOOKUP(F32,$B$13:$Z$26,24,0)</f>
        <v/>
      </c>
      <c r="J32" s="356" t="s">
        <v>5</v>
      </c>
      <c r="K32" s="357" t="str">
        <f ca="1">VLOOKUP(H32,$B$13:$Z$26,24,0)</f>
        <v/>
      </c>
      <c r="L32" s="358">
        <v>2</v>
      </c>
      <c r="M32" s="359" t="str">
        <f>Sprache!$E$111</f>
        <v>:</v>
      </c>
      <c r="N32" s="668">
        <v>1</v>
      </c>
      <c r="O32" s="358"/>
      <c r="P32" s="359" t="str">
        <f>Sprache!$E$111</f>
        <v>:</v>
      </c>
      <c r="Q32" s="360"/>
      <c r="R32" s="340"/>
      <c r="S32" s="328"/>
      <c r="X32" s="328" t="b">
        <f ca="1">AND($I32&lt;&gt;"",$K32&lt;&gt;"",$L32&lt;&gt;"",$N32&lt;&gt;"")</f>
        <v>0</v>
      </c>
      <c r="Y32" s="328" t="str">
        <f ca="1">IF(NOT(X32),"",IF($L32&gt;$N32,$I32,IF($L32&lt;$N32,$K32,IF(OR($O32="",$Q32="",$O32=$Q32),"",IF($O32&gt;$Q32,$I32,$K32)))))</f>
        <v/>
      </c>
      <c r="Z32" s="328" t="str">
        <f ca="1">IF(NOT(X32),"",IF($L32&lt;$N32,$I32,IF($L32&gt;$N32,$K32,IF(OR($O32="",$Q32="",$O32=$Q32),"",IF($O32&lt;$Q32,$I32,$K32)))))</f>
        <v/>
      </c>
      <c r="AA32" s="328" t="b">
        <f ca="1">AND(X32,$L32=$N32)</f>
        <v>0</v>
      </c>
    </row>
    <row r="33" spans="1:27" ht="24" customHeight="1" thickBot="1" x14ac:dyDescent="0.25">
      <c r="A33" s="328"/>
      <c r="C33" s="380">
        <f ca="1">IF($Y$11,C32+1,C32)</f>
        <v>49</v>
      </c>
      <c r="D33" s="383">
        <f t="array" aca="1" ref="D33" ca="1">IF(Planung!$U$15,"",$D$13+QUOTIENT(($C33-$C$13),Planung!$U$11)*(Planung!$R$7+Planung!$R$9)/1440+SUM($R$13:$R32)/1440)</f>
        <v>0.66666666666666674</v>
      </c>
      <c r="E33" s="361">
        <f ca="1">IF(Planung!$U$15,"",MOD($C33-$C$13,Planung!$U$11)+1)</f>
        <v>1</v>
      </c>
      <c r="F33" s="419" t="str">
        <f>B14</f>
        <v>VF 2</v>
      </c>
      <c r="G33" s="700" t="s">
        <v>5</v>
      </c>
      <c r="H33" s="421" t="str">
        <f>B16</f>
        <v>VF 4</v>
      </c>
      <c r="I33" s="334" t="str">
        <f ca="1">VLOOKUP(F33,$B$13:$Z$26,24,0)</f>
        <v/>
      </c>
      <c r="J33" s="156" t="s">
        <v>5</v>
      </c>
      <c r="K33" s="335" t="str">
        <f ca="1">VLOOKUP(H33,$B$13:$Z$26,24,0)</f>
        <v/>
      </c>
      <c r="L33" s="338">
        <v>2</v>
      </c>
      <c r="M33" s="362" t="str">
        <f>Sprache!$E$111</f>
        <v>:</v>
      </c>
      <c r="N33" s="664">
        <v>1</v>
      </c>
      <c r="O33" s="338"/>
      <c r="P33" s="362" t="str">
        <f>Sprache!$E$111</f>
        <v>:</v>
      </c>
      <c r="Q33" s="333"/>
      <c r="R33" s="363"/>
      <c r="S33" s="328"/>
      <c r="X33" s="328" t="b">
        <f ca="1">AND($I33&lt;&gt;"",$K33&lt;&gt;"",$L33&lt;&gt;"",$N33&lt;&gt;"")</f>
        <v>0</v>
      </c>
      <c r="Y33" s="328" t="str">
        <f ca="1">IF(NOT(X33),"",IF($L33&gt;$N33,$I33,IF($L33&lt;$N33,$K33,IF(OR($O33="",$Q33="",$O33=$Q33),"",IF($O33&gt;$Q33,$I33,$K33)))))</f>
        <v/>
      </c>
      <c r="Z33" s="328" t="str">
        <f ca="1">IF(NOT(X33),"",IF($L33&lt;$N33,$I33,IF($L33&gt;$N33,$K33,IF(OR($O33="",$Q33="",$O33=$Q33),"",IF($O33&lt;$Q33,$I33,$K33)))))</f>
        <v/>
      </c>
      <c r="AA33" s="328" t="b">
        <f ca="1">AND(X33,$L33=$N33)</f>
        <v>0</v>
      </c>
    </row>
    <row r="34" spans="1:27" ht="24" customHeight="1" thickTop="1" thickBot="1" x14ac:dyDescent="0.45">
      <c r="A34" s="328"/>
      <c r="C34" s="876" t="str">
        <f>Sprache!$E$80</f>
        <v>Halbfinale Plätze 13 - 16</v>
      </c>
      <c r="D34" s="876"/>
      <c r="E34" s="876"/>
      <c r="F34" s="876"/>
      <c r="G34" s="876"/>
      <c r="H34" s="876"/>
      <c r="I34" s="876"/>
      <c r="J34" s="122"/>
      <c r="K34" s="390" t="s">
        <v>270</v>
      </c>
      <c r="L34" s="351"/>
      <c r="M34" s="351"/>
      <c r="N34" s="351"/>
      <c r="O34" s="351"/>
      <c r="P34" s="351"/>
      <c r="Q34" s="351"/>
      <c r="R34" s="353"/>
      <c r="S34" s="328"/>
      <c r="T34" s="796" t="str">
        <f>Sprache!$E$62</f>
        <v>Gruppenvierte</v>
      </c>
      <c r="U34" s="796"/>
    </row>
    <row r="35" spans="1:27" ht="24" customHeight="1" thickTop="1" x14ac:dyDescent="0.2">
      <c r="A35" s="328"/>
      <c r="C35" s="384">
        <f ca="1">IF($Y$11,C33+1,C33)</f>
        <v>49</v>
      </c>
      <c r="D35" s="385">
        <f t="array" aca="1" ref="D35" ca="1">IF(Planung!$U$15,"",$D$13+QUOTIENT(($C35-$C$13),Planung!$U$11)*(Planung!$R$7+Planung!$R$9)/1440+SUM($R$13:$R34)/1440)</f>
        <v>0.66666666666666674</v>
      </c>
      <c r="E35" s="354">
        <f ca="1">IF(Planung!$U$15,"",MOD($C35-$C$13,Planung!$U$11)+1)</f>
        <v>1</v>
      </c>
      <c r="F35" s="487" t="str">
        <f>B18</f>
        <v>VF 5</v>
      </c>
      <c r="G35" s="699" t="s">
        <v>5</v>
      </c>
      <c r="H35" s="489" t="str">
        <f>B20</f>
        <v>VF 7</v>
      </c>
      <c r="I35" s="355" t="str">
        <f ca="1">VLOOKUP(F35,$B$13:$Z$26,25,0)</f>
        <v>1. FC Riedwald</v>
      </c>
      <c r="J35" s="356" t="s">
        <v>5</v>
      </c>
      <c r="K35" s="357" t="str">
        <f ca="1">VLOOKUP(H35,$B$13:$Z$26,25,0)</f>
        <v>VFB Essenheim</v>
      </c>
      <c r="L35" s="358">
        <v>2</v>
      </c>
      <c r="M35" s="359" t="str">
        <f>Sprache!$E$111</f>
        <v>:</v>
      </c>
      <c r="N35" s="668">
        <v>3</v>
      </c>
      <c r="O35" s="358"/>
      <c r="P35" s="359" t="str">
        <f>Sprache!$E$111</f>
        <v>:</v>
      </c>
      <c r="Q35" s="360"/>
      <c r="R35" s="340"/>
      <c r="S35" s="328"/>
      <c r="T35" s="441"/>
      <c r="U35" s="471" t="str">
        <f>Sprache!$E$10</f>
        <v>Teilnehmer bzw. Mannschaft</v>
      </c>
      <c r="X35" s="328" t="b">
        <f ca="1">AND($I35&lt;&gt;"",$K35&lt;&gt;"",$L35&lt;&gt;"",$N35&lt;&gt;"")</f>
        <v>1</v>
      </c>
      <c r="Y35" s="328" t="str">
        <f ca="1">IF(NOT(X35),"",IF($L35&gt;$N35,$I35,IF($L35&lt;$N35,$K35,IF(OR($O35="",$Q35="",$O35=$Q35),"",IF($O35&gt;$Q35,$I35,$K35)))))</f>
        <v>VFB Essenheim</v>
      </c>
      <c r="Z35" s="328" t="str">
        <f ca="1">IF(NOT(X35),"",IF($L35&lt;$N35,$I35,IF($L35&gt;$N35,$K35,IF(OR($O35="",$Q35="",$O35=$Q35),"",IF($O35&lt;$Q35,$I35,$K35)))))</f>
        <v>1. FC Riedwald</v>
      </c>
      <c r="AA35" s="328" t="b">
        <f ca="1">AND(X35,$L35=$N35)</f>
        <v>0</v>
      </c>
    </row>
    <row r="36" spans="1:27" ht="24" customHeight="1" thickBot="1" x14ac:dyDescent="0.25">
      <c r="A36" s="328"/>
      <c r="C36" s="380">
        <f ca="1">C35+1</f>
        <v>50</v>
      </c>
      <c r="D36" s="383">
        <f t="array" aca="1" ref="D36" ca="1">IF(Planung!$U$15,"",$D$13+QUOTIENT(($C36-$C$13),Planung!$U$11)*(Planung!$R$7+Planung!$R$9)/1440+SUM($R$13:$R35)/1440)</f>
        <v>0.66666666666666674</v>
      </c>
      <c r="E36" s="361">
        <f ca="1">IF(Planung!$U$15,"",MOD($C36-$C$13,Planung!$U$11)+1)</f>
        <v>2</v>
      </c>
      <c r="F36" s="419" t="str">
        <f>B19</f>
        <v>VF 6</v>
      </c>
      <c r="G36" s="700" t="s">
        <v>5</v>
      </c>
      <c r="H36" s="421" t="str">
        <f>B21</f>
        <v>VF 8</v>
      </c>
      <c r="I36" s="334" t="str">
        <f ca="1">VLOOKUP(F36,$B$13:$Z$26,25,0)</f>
        <v>SV Oberredenburg</v>
      </c>
      <c r="J36" s="156" t="s">
        <v>5</v>
      </c>
      <c r="K36" s="335" t="str">
        <f ca="1">VLOOKUP(H36,$B$13:$Z$26,25,0)</f>
        <v>HSV</v>
      </c>
      <c r="L36" s="338">
        <v>2</v>
      </c>
      <c r="M36" s="362" t="str">
        <f>Sprache!$E$111</f>
        <v>:</v>
      </c>
      <c r="N36" s="664">
        <v>1</v>
      </c>
      <c r="O36" s="338"/>
      <c r="P36" s="362" t="str">
        <f>Sprache!$E$111</f>
        <v>:</v>
      </c>
      <c r="Q36" s="333"/>
      <c r="R36" s="363"/>
      <c r="S36" s="328"/>
      <c r="T36" s="696" t="s">
        <v>301</v>
      </c>
      <c r="U36" s="472" t="str">
        <f ca="1">IF(Vorrunde!$N$15="","",Vorrunde!$N$15)</f>
        <v>VFB Essenheim</v>
      </c>
      <c r="X36" s="328" t="b">
        <f ca="1">AND($I36&lt;&gt;"",$K36&lt;&gt;"",$L36&lt;&gt;"",$N36&lt;&gt;"")</f>
        <v>1</v>
      </c>
      <c r="Y36" s="328" t="str">
        <f ca="1">IF(NOT(X36),"",IF($L36&gt;$N36,$I36,IF($L36&lt;$N36,$K36,IF(OR($O36="",$Q36="",$O36=$Q36),"",IF($O36&gt;$Q36,$I36,$K36)))))</f>
        <v>SV Oberredenburg</v>
      </c>
      <c r="Z36" s="328" t="str">
        <f ca="1">IF(NOT(X36),"",IF($L36&lt;$N36,$I36,IF($L36&gt;$N36,$K36,IF(OR($O36="",$Q36="",$O36=$Q36),"",IF($O36&lt;$Q36,$I36,$K36)))))</f>
        <v>HSV</v>
      </c>
      <c r="AA36" s="328" t="b">
        <f ca="1">AND(X36,$L36=$N36)</f>
        <v>0</v>
      </c>
    </row>
    <row r="37" spans="1:27" ht="24" customHeight="1" thickTop="1" thickBot="1" x14ac:dyDescent="0.35">
      <c r="A37" s="328"/>
      <c r="C37" s="876" t="str">
        <f>Sprache!$E$79</f>
        <v>Halbfinale Plätze 9 - 12</v>
      </c>
      <c r="D37" s="876"/>
      <c r="E37" s="876"/>
      <c r="F37" s="876"/>
      <c r="G37" s="876"/>
      <c r="H37" s="876"/>
      <c r="I37" s="876"/>
      <c r="J37" s="122"/>
      <c r="K37" s="390" t="s">
        <v>270</v>
      </c>
      <c r="L37" s="351"/>
      <c r="M37" s="351"/>
      <c r="N37" s="351"/>
      <c r="O37" s="351"/>
      <c r="P37" s="351"/>
      <c r="Q37" s="351"/>
      <c r="R37" s="353"/>
      <c r="S37" s="328"/>
      <c r="T37" s="440" t="s">
        <v>302</v>
      </c>
      <c r="U37" s="473" t="str">
        <f ca="1">IF(Vorrunde!$N$25="","",Vorrunde!$N$25)</f>
        <v>FC Grönlingen</v>
      </c>
      <c r="X37" s="49"/>
      <c r="Y37" s="49"/>
      <c r="Z37" s="49"/>
      <c r="AA37" s="49"/>
    </row>
    <row r="38" spans="1:27" ht="24" customHeight="1" thickTop="1" x14ac:dyDescent="0.2">
      <c r="A38" s="328"/>
      <c r="C38" s="384">
        <f ca="1">C36+1</f>
        <v>51</v>
      </c>
      <c r="D38" s="385">
        <f t="array" aca="1" ref="D38" ca="1">IF(Planung!$U$15,"",$D$13+QUOTIENT(($C38-$C$13),Planung!$U$11)*(Planung!$R$7+Planung!$R$9)/1440+SUM($R$13:$R37)/1440)</f>
        <v>0.66666666666666674</v>
      </c>
      <c r="E38" s="354">
        <f ca="1">IF(Planung!$U$15,"",MOD($C38-$C$13,Planung!$U$11)+1)</f>
        <v>3</v>
      </c>
      <c r="F38" s="487" t="str">
        <f>B18</f>
        <v>VF 5</v>
      </c>
      <c r="G38" s="699" t="s">
        <v>5</v>
      </c>
      <c r="H38" s="489" t="str">
        <f>B20</f>
        <v>VF 7</v>
      </c>
      <c r="I38" s="355" t="str">
        <f ca="1">VLOOKUP(F38,$B$13:$Z$26,24,0)</f>
        <v>Kickers Rodendorf</v>
      </c>
      <c r="J38" s="356" t="s">
        <v>5</v>
      </c>
      <c r="K38" s="357" t="str">
        <f ca="1">VLOOKUP(H38,$B$13:$Z$26,24,0)</f>
        <v>1. FC Nürnberg</v>
      </c>
      <c r="L38" s="358">
        <v>2</v>
      </c>
      <c r="M38" s="359" t="str">
        <f>Sprache!$E$111</f>
        <v>:</v>
      </c>
      <c r="N38" s="668">
        <v>1</v>
      </c>
      <c r="O38" s="358"/>
      <c r="P38" s="359" t="str">
        <f>Sprache!$E$111</f>
        <v>:</v>
      </c>
      <c r="Q38" s="360"/>
      <c r="R38" s="340"/>
      <c r="S38" s="328"/>
      <c r="T38" s="695" t="s">
        <v>303</v>
      </c>
      <c r="U38" s="473" t="str">
        <f ca="1">IF(Vorrunde!$N$35="","",Vorrunde!$N$35)</f>
        <v>Kickers Rodendorf</v>
      </c>
      <c r="X38" s="328" t="b">
        <f ca="1">AND($I38&lt;&gt;"",$K38&lt;&gt;"",$L38&lt;&gt;"",$N38&lt;&gt;"")</f>
        <v>1</v>
      </c>
      <c r="Y38" s="328" t="str">
        <f ca="1">IF(NOT(X38),"",IF($L38&gt;$N38,$I38,IF($L38&lt;$N38,$K38,IF(OR($O38="",$Q38="",$O38=$Q38),"",IF($O38&gt;$Q38,$I38,$K38)))))</f>
        <v>Kickers Rodendorf</v>
      </c>
      <c r="Z38" s="328" t="str">
        <f ca="1">IF(NOT(X38),"",IF($L38&lt;$N38,$I38,IF($L38&gt;$N38,$K38,IF(OR($O38="",$Q38="",$O38=$Q38),"",IF($O38&lt;$Q38,$I38,$K38)))))</f>
        <v>1. FC Nürnberg</v>
      </c>
      <c r="AA38" s="328" t="b">
        <f ca="1">AND(X38,$L38=$N38)</f>
        <v>0</v>
      </c>
    </row>
    <row r="39" spans="1:27" ht="24" customHeight="1" thickBot="1" x14ac:dyDescent="0.25">
      <c r="A39" s="328"/>
      <c r="C39" s="380">
        <f t="shared" ref="C39" ca="1" si="3">C38+1</f>
        <v>52</v>
      </c>
      <c r="D39" s="383">
        <f t="array" aca="1" ref="D39" ca="1">IF(Planung!$U$15,"",$D$13+QUOTIENT(($C39-$C$13),Planung!$U$11)*(Planung!$R$7+Planung!$R$9)/1440+SUM($R$13:$R38)/1440)</f>
        <v>0.66666666666666674</v>
      </c>
      <c r="E39" s="361">
        <f ca="1">IF(Planung!$U$15,"",MOD($C39-$C$13,Planung!$U$11)+1)</f>
        <v>4</v>
      </c>
      <c r="F39" s="419" t="str">
        <f>B19</f>
        <v>VF 6</v>
      </c>
      <c r="G39" s="700" t="s">
        <v>5</v>
      </c>
      <c r="H39" s="421" t="str">
        <f>B21</f>
        <v>VF 8</v>
      </c>
      <c r="I39" s="334" t="str">
        <f ca="1">VLOOKUP(F39,$B$13:$Z$26,24,0)</f>
        <v>Mainz 05</v>
      </c>
      <c r="J39" s="156" t="s">
        <v>5</v>
      </c>
      <c r="K39" s="335" t="str">
        <f ca="1">VLOOKUP(H39,$B$13:$Z$26,24,0)</f>
        <v>FC Grönlingen</v>
      </c>
      <c r="L39" s="338">
        <v>1</v>
      </c>
      <c r="M39" s="362" t="str">
        <f>Sprache!$E$111</f>
        <v>:</v>
      </c>
      <c r="N39" s="664">
        <v>1</v>
      </c>
      <c r="O39" s="338">
        <v>5</v>
      </c>
      <c r="P39" s="362" t="str">
        <f>Sprache!$E$111</f>
        <v>:</v>
      </c>
      <c r="Q39" s="333">
        <v>3</v>
      </c>
      <c r="R39" s="363"/>
      <c r="S39" s="328"/>
      <c r="T39" s="405" t="s">
        <v>351</v>
      </c>
      <c r="U39" s="474" t="str">
        <f ca="1">IF(Vorrunde!$N$45="","",Vorrunde!$N$45)</f>
        <v>SV Oberredenburg</v>
      </c>
      <c r="X39" s="328" t="b">
        <f ca="1">AND($I39&lt;&gt;"",$K39&lt;&gt;"",$L39&lt;&gt;"",$N39&lt;&gt;"")</f>
        <v>1</v>
      </c>
      <c r="Y39" s="328" t="str">
        <f ca="1">IF(NOT(X39),"",IF($L39&gt;$N39,$I39,IF($L39&lt;$N39,$K39,IF(OR($O39="",$Q39="",$O39=$Q39),"",IF($O39&gt;$Q39,$I39,$K39)))))</f>
        <v>Mainz 05</v>
      </c>
      <c r="Z39" s="328" t="str">
        <f ca="1">IF(NOT(X39),"",IF($L39&lt;$N39,$I39,IF($L39&gt;$N39,$K39,IF(OR($O39="",$Q39="",$O39=$Q39),"",IF($O39&lt;$Q39,$I39,$K39)))))</f>
        <v>FC Grönlingen</v>
      </c>
      <c r="AA39" s="328" t="b">
        <f ca="1">AND(X39,$L39=$N39)</f>
        <v>1</v>
      </c>
    </row>
    <row r="40" spans="1:27" ht="24" customHeight="1" thickTop="1" thickBot="1" x14ac:dyDescent="0.35">
      <c r="A40" s="328"/>
      <c r="C40" s="876" t="str">
        <f>Sprache!$E$78</f>
        <v>Halbfinale Plätze 5 - 8</v>
      </c>
      <c r="D40" s="876"/>
      <c r="E40" s="876"/>
      <c r="F40" s="876"/>
      <c r="G40" s="876"/>
      <c r="H40" s="876"/>
      <c r="I40" s="876"/>
      <c r="J40" s="122"/>
      <c r="K40" s="390" t="s">
        <v>270</v>
      </c>
      <c r="L40" s="351"/>
      <c r="M40" s="351"/>
      <c r="N40" s="351"/>
      <c r="O40" s="351"/>
      <c r="P40" s="351"/>
      <c r="Q40" s="351"/>
      <c r="R40" s="353"/>
      <c r="S40" s="328"/>
      <c r="X40" s="49"/>
      <c r="Y40" s="49"/>
      <c r="Z40" s="49"/>
      <c r="AA40" s="49"/>
    </row>
    <row r="41" spans="1:27" ht="24" customHeight="1" thickTop="1" thickBot="1" x14ac:dyDescent="0.45">
      <c r="A41" s="328"/>
      <c r="C41" s="384">
        <f ca="1">C39+1</f>
        <v>53</v>
      </c>
      <c r="D41" s="385">
        <f t="array" aca="1" ref="D41" ca="1">IF(Planung!$U$15,"",$D$13+QUOTIENT(($C41-$C$13),Planung!$U$11)*(Planung!$R$7+Planung!$R$9)/1440+SUM($R$13:$R40)/1440)</f>
        <v>0.69097222222222221</v>
      </c>
      <c r="E41" s="354">
        <f ca="1">IF(Planung!$U$15,"",MOD($C41-$C$13,Planung!$U$11)+1)</f>
        <v>1</v>
      </c>
      <c r="F41" s="487" t="str">
        <f>B23</f>
        <v>VF 9</v>
      </c>
      <c r="G41" s="699" t="s">
        <v>5</v>
      </c>
      <c r="H41" s="489" t="str">
        <f>B25</f>
        <v>VF 11</v>
      </c>
      <c r="I41" s="355" t="str">
        <f ca="1">VLOOKUP(F41,$B$13:$Z$26,25,0)</f>
        <v>FC Barcelona</v>
      </c>
      <c r="J41" s="356" t="s">
        <v>5</v>
      </c>
      <c r="K41" s="357" t="str">
        <f ca="1">VLOOKUP(H41,$B$13:$Z$26,25,0)</f>
        <v>Eintracht Frankfurt</v>
      </c>
      <c r="L41" s="358">
        <v>2</v>
      </c>
      <c r="M41" s="359" t="str">
        <f>Sprache!$E$111</f>
        <v>:</v>
      </c>
      <c r="N41" s="668">
        <v>1</v>
      </c>
      <c r="O41" s="358"/>
      <c r="P41" s="359" t="str">
        <f>Sprache!$E$111</f>
        <v>:</v>
      </c>
      <c r="Q41" s="360"/>
      <c r="R41" s="340"/>
      <c r="S41" s="328"/>
      <c r="T41" s="796" t="str">
        <f>Sprache!$E$61</f>
        <v>Gruppendritte</v>
      </c>
      <c r="U41" s="796"/>
      <c r="X41" s="328" t="b">
        <f ca="1">AND($I41&lt;&gt;"",$K41&lt;&gt;"",$L41&lt;&gt;"",$N41&lt;&gt;"")</f>
        <v>1</v>
      </c>
      <c r="Y41" s="328" t="str">
        <f ca="1">IF(NOT(X41),"",IF($L41&gt;$N41,$I41,IF($L41&lt;$N41,$K41,IF(OR($O41="",$Q41="",$O41=$Q41),"",IF($O41&gt;$Q41,$I41,$K41)))))</f>
        <v>FC Barcelona</v>
      </c>
      <c r="Z41" s="328" t="str">
        <f ca="1">IF(NOT(X41),"",IF($L41&lt;$N41,$I41,IF($L41&gt;$N41,$K41,IF(OR($O41="",$Q41="",$O41=$Q41),"",IF($O41&lt;$Q41,$I41,$K41)))))</f>
        <v>Eintracht Frankfurt</v>
      </c>
      <c r="AA41" s="328" t="b">
        <f ca="1">AND(X41,$L41=$N41)</f>
        <v>0</v>
      </c>
    </row>
    <row r="42" spans="1:27" ht="24" customHeight="1" thickTop="1" thickBot="1" x14ac:dyDescent="0.25">
      <c r="A42" s="328"/>
      <c r="C42" s="380">
        <f t="shared" ref="C42" ca="1" si="4">C41+1</f>
        <v>54</v>
      </c>
      <c r="D42" s="383">
        <f t="array" aca="1" ref="D42" ca="1">IF(Planung!$U$15,"",$D$13+QUOTIENT(($C42-$C$13),Planung!$U$11)*(Planung!$R$7+Planung!$R$9)/1440+SUM($R$13:$R41)/1440)</f>
        <v>0.69097222222222221</v>
      </c>
      <c r="E42" s="361">
        <f ca="1">IF(Planung!$U$15,"",MOD($C42-$C$13,Planung!$U$11)+1)</f>
        <v>2</v>
      </c>
      <c r="F42" s="419" t="str">
        <f>B24</f>
        <v>VF 10</v>
      </c>
      <c r="G42" s="700" t="s">
        <v>5</v>
      </c>
      <c r="H42" s="421" t="str">
        <f>B26</f>
        <v>VF 12</v>
      </c>
      <c r="I42" s="334" t="str">
        <f ca="1">VLOOKUP(F42,$B$13:$Z$26,25,0)</f>
        <v>RB Leipzig</v>
      </c>
      <c r="J42" s="156" t="s">
        <v>5</v>
      </c>
      <c r="K42" s="335" t="str">
        <f ca="1">VLOOKUP(H42,$B$13:$Z$26,25,0)</f>
        <v>Paris St. Germain</v>
      </c>
      <c r="L42" s="338">
        <v>1</v>
      </c>
      <c r="M42" s="362" t="str">
        <f>Sprache!$E$111</f>
        <v>:</v>
      </c>
      <c r="N42" s="664">
        <v>1</v>
      </c>
      <c r="O42" s="338">
        <v>5</v>
      </c>
      <c r="P42" s="362" t="str">
        <f>Sprache!$E$111</f>
        <v>:</v>
      </c>
      <c r="Q42" s="333">
        <v>3</v>
      </c>
      <c r="R42" s="363"/>
      <c r="S42" s="328"/>
      <c r="T42" s="441"/>
      <c r="U42" s="471" t="str">
        <f>Sprache!$E$10</f>
        <v>Teilnehmer bzw. Mannschaft</v>
      </c>
      <c r="X42" s="328" t="b">
        <f ca="1">AND($I42&lt;&gt;"",$K42&lt;&gt;"",$L42&lt;&gt;"",$N42&lt;&gt;"")</f>
        <v>1</v>
      </c>
      <c r="Y42" s="328" t="str">
        <f ca="1">IF(NOT(X42),"",IF($L42&gt;$N42,$I42,IF($L42&lt;$N42,$K42,IF(OR($O42="",$Q42="",$O42=$Q42),"",IF($O42&gt;$Q42,$I42,$K42)))))</f>
        <v>RB Leipzig</v>
      </c>
      <c r="Z42" s="328" t="str">
        <f ca="1">IF(NOT(X42),"",IF($L42&lt;$N42,$I42,IF($L42&gt;$N42,$K42,IF(OR($O42="",$Q42="",$O42=$Q42),"",IF($O42&lt;$Q42,$I42,$K42)))))</f>
        <v>Paris St. Germain</v>
      </c>
      <c r="AA42" s="328" t="b">
        <f ca="1">AND(X42,$L42=$N42)</f>
        <v>1</v>
      </c>
    </row>
    <row r="43" spans="1:27" ht="24" customHeight="1" thickTop="1" thickBot="1" x14ac:dyDescent="0.35">
      <c r="A43" s="328"/>
      <c r="C43" s="876" t="str">
        <f>Sprache!$E$77</f>
        <v>Halbfinale Plätze 1 - 4</v>
      </c>
      <c r="D43" s="876"/>
      <c r="E43" s="876"/>
      <c r="F43" s="876"/>
      <c r="G43" s="876"/>
      <c r="H43" s="876"/>
      <c r="I43" s="876"/>
      <c r="J43" s="122"/>
      <c r="K43" s="390" t="s">
        <v>270</v>
      </c>
      <c r="L43" s="351"/>
      <c r="M43" s="351"/>
      <c r="N43" s="351"/>
      <c r="O43" s="351"/>
      <c r="P43" s="351"/>
      <c r="Q43" s="351"/>
      <c r="R43" s="353"/>
      <c r="S43" s="328"/>
      <c r="T43" s="696" t="s">
        <v>298</v>
      </c>
      <c r="U43" s="472" t="str">
        <f ca="1">IF(Vorrunde!$N$14="","",Vorrunde!$N$14)</f>
        <v>1. FC Riedwald</v>
      </c>
      <c r="X43" s="49"/>
      <c r="Y43" s="49"/>
      <c r="Z43" s="49"/>
      <c r="AA43" s="49"/>
    </row>
    <row r="44" spans="1:27" ht="24" customHeight="1" thickTop="1" x14ac:dyDescent="0.2">
      <c r="A44" s="328"/>
      <c r="C44" s="384">
        <f ca="1">C42+1</f>
        <v>55</v>
      </c>
      <c r="D44" s="385">
        <f t="array" aca="1" ref="D44" ca="1">IF(Planung!$U$15,"",$D$13+QUOTIENT(($C44-$C$13),Planung!$U$11)*(Planung!$R$7+Planung!$R$9)/1440+SUM($R$13:$R43)/1440)</f>
        <v>0.69097222222222221</v>
      </c>
      <c r="E44" s="354">
        <f ca="1">IF(Planung!$U$15,"",MOD($C44-$C$13,Planung!$U$11)+1)</f>
        <v>3</v>
      </c>
      <c r="F44" s="487" t="str">
        <f>B23</f>
        <v>VF 9</v>
      </c>
      <c r="G44" s="699" t="s">
        <v>5</v>
      </c>
      <c r="H44" s="489" t="str">
        <f>B25</f>
        <v>VF 11</v>
      </c>
      <c r="I44" s="355" t="str">
        <f ca="1">VLOOKUP(F44,$B$13:$Z$26,24,0)</f>
        <v>Real Madrid</v>
      </c>
      <c r="J44" s="356" t="s">
        <v>5</v>
      </c>
      <c r="K44" s="357" t="str">
        <f ca="1">VLOOKUP(H44,$B$13:$Z$26,24,0)</f>
        <v>Borussia Dortmund</v>
      </c>
      <c r="L44" s="358">
        <v>2</v>
      </c>
      <c r="M44" s="359" t="str">
        <f>Sprache!$E$111</f>
        <v>:</v>
      </c>
      <c r="N44" s="668">
        <v>1</v>
      </c>
      <c r="O44" s="358"/>
      <c r="P44" s="359" t="str">
        <f>Sprache!$E$111</f>
        <v>:</v>
      </c>
      <c r="Q44" s="360"/>
      <c r="R44" s="340"/>
      <c r="S44" s="328"/>
      <c r="T44" s="440" t="s">
        <v>299</v>
      </c>
      <c r="U44" s="473" t="str">
        <f ca="1">IF(Vorrunde!$N$24="","",Vorrunde!$N$24)</f>
        <v>Mainz 05</v>
      </c>
      <c r="X44" s="328" t="b">
        <f ca="1">AND($I44&lt;&gt;"",$K44&lt;&gt;"",$L44&lt;&gt;"",$N44&lt;&gt;"")</f>
        <v>1</v>
      </c>
      <c r="Y44" s="328" t="str">
        <f ca="1">IF(NOT(X44),"",IF($L44&gt;$N44,$I44,IF($L44&lt;$N44,$K44,IF(OR($O44="",$Q44="",$O44=$Q44),"",IF($O44&gt;$Q44,$I44,$K44)))))</f>
        <v>Real Madrid</v>
      </c>
      <c r="Z44" s="328" t="str">
        <f ca="1">IF(NOT(X44),"",IF($L44&lt;$N44,$I44,IF($L44&gt;$N44,$K44,IF(OR($O44="",$Q44="",$O44=$Q44),"",IF($O44&lt;$Q44,$I44,$K44)))))</f>
        <v>Borussia Dortmund</v>
      </c>
      <c r="AA44" s="328" t="b">
        <f ca="1">AND(X44,$L44=$N44)</f>
        <v>0</v>
      </c>
    </row>
    <row r="45" spans="1:27" ht="24" customHeight="1" thickBot="1" x14ac:dyDescent="0.25">
      <c r="A45" s="328"/>
      <c r="C45" s="380">
        <f t="shared" ref="C45" ca="1" si="5">C44+1</f>
        <v>56</v>
      </c>
      <c r="D45" s="383">
        <f t="array" aca="1" ref="D45" ca="1">IF(Planung!$U$15,"",$D$13+QUOTIENT(($C45-$C$13),Planung!$U$11)*(Planung!$R$7+Planung!$R$9)/1440+SUM($R$13:$R44)/1440)</f>
        <v>0.69097222222222221</v>
      </c>
      <c r="E45" s="361">
        <f ca="1">IF(Planung!$U$15,"",MOD($C45-$C$13,Planung!$U$11)+1)</f>
        <v>4</v>
      </c>
      <c r="F45" s="419" t="str">
        <f>B24</f>
        <v>VF 10</v>
      </c>
      <c r="G45" s="700" t="s">
        <v>5</v>
      </c>
      <c r="H45" s="421" t="str">
        <f>B26</f>
        <v>VF 12</v>
      </c>
      <c r="I45" s="334" t="str">
        <f ca="1">VLOOKUP(F45,$B$13:$Z$26,24,0)</f>
        <v>Manchester City</v>
      </c>
      <c r="J45" s="156" t="s">
        <v>5</v>
      </c>
      <c r="K45" s="335" t="str">
        <f ca="1">VLOOKUP(H45,$B$13:$Z$26,24,0)</f>
        <v>Inter Mailand</v>
      </c>
      <c r="L45" s="338">
        <v>1</v>
      </c>
      <c r="M45" s="362" t="str">
        <f>Sprache!$E$111</f>
        <v>:</v>
      </c>
      <c r="N45" s="664">
        <v>1</v>
      </c>
      <c r="O45" s="338">
        <v>5</v>
      </c>
      <c r="P45" s="362" t="str">
        <f>Sprache!$E$111</f>
        <v>:</v>
      </c>
      <c r="Q45" s="333">
        <v>3</v>
      </c>
      <c r="R45" s="363"/>
      <c r="S45" s="328"/>
      <c r="T45" s="695" t="s">
        <v>300</v>
      </c>
      <c r="U45" s="473" t="str">
        <f ca="1">IF(Vorrunde!$N$34="","",Vorrunde!$N$34)</f>
        <v>1. FC Nürnberg</v>
      </c>
      <c r="X45" s="328" t="b">
        <f ca="1">AND($I45&lt;&gt;"",$K45&lt;&gt;"",$L45&lt;&gt;"",$N45&lt;&gt;"")</f>
        <v>1</v>
      </c>
      <c r="Y45" s="328" t="str">
        <f ca="1">IF(NOT(X45),"",IF($L45&gt;$N45,$I45,IF($L45&lt;$N45,$K45,IF(OR($O45="",$Q45="",$O45=$Q45),"",IF($O45&gt;$Q45,$I45,$K45)))))</f>
        <v>Manchester City</v>
      </c>
      <c r="Z45" s="328" t="str">
        <f ca="1">IF(NOT(X45),"",IF($L45&lt;$N45,$I45,IF($L45&gt;$N45,$K45,IF(OR($O45="",$Q45="",$O45=$Q45),"",IF($O45&lt;$Q45,$I45,$K45)))))</f>
        <v>Inter Mailand</v>
      </c>
      <c r="AA45" s="328" t="b">
        <f ca="1">AND(X45,$L45=$N45)</f>
        <v>1</v>
      </c>
    </row>
    <row r="46" spans="1:27" ht="24" customHeight="1" thickTop="1" thickBot="1" x14ac:dyDescent="0.25">
      <c r="A46" s="328"/>
      <c r="C46" s="705"/>
      <c r="D46" s="706"/>
      <c r="E46" s="479"/>
      <c r="F46" s="478"/>
      <c r="G46" s="479"/>
      <c r="H46" s="480"/>
      <c r="I46" s="483"/>
      <c r="J46" s="351"/>
      <c r="K46" s="483"/>
      <c r="L46" s="351"/>
      <c r="M46" s="351"/>
      <c r="N46" s="351"/>
      <c r="O46" s="351"/>
      <c r="P46" s="351"/>
      <c r="Q46" s="351"/>
      <c r="R46" s="479"/>
      <c r="S46" s="328"/>
      <c r="T46" s="405" t="s">
        <v>350</v>
      </c>
      <c r="U46" s="474" t="str">
        <f ca="1">IF(Vorrunde!$N$44="","",Vorrunde!$N$44)</f>
        <v>HSV</v>
      </c>
      <c r="X46" s="328"/>
      <c r="Y46" s="328"/>
      <c r="Z46" s="328"/>
      <c r="AA46" s="328"/>
    </row>
    <row r="47" spans="1:27" ht="36" customHeight="1" thickTop="1" thickBot="1" x14ac:dyDescent="0.35">
      <c r="A47" s="328"/>
      <c r="C47" s="875" t="str">
        <f>Sprache!$E$88</f>
        <v>Endspiele Plätze 21 - 24</v>
      </c>
      <c r="D47" s="875"/>
      <c r="E47" s="875"/>
      <c r="F47" s="875"/>
      <c r="G47" s="875"/>
      <c r="H47" s="875"/>
      <c r="I47" s="875"/>
      <c r="J47" s="122"/>
      <c r="K47" s="390" t="s">
        <v>270</v>
      </c>
      <c r="L47" s="351"/>
      <c r="M47" s="351"/>
      <c r="N47" s="351"/>
      <c r="O47" s="351"/>
      <c r="P47" s="351"/>
      <c r="Q47" s="351"/>
      <c r="R47" s="353"/>
      <c r="X47" s="49"/>
      <c r="Y47" s="49"/>
      <c r="Z47" s="49"/>
      <c r="AA47" s="49"/>
    </row>
    <row r="48" spans="1:27" ht="24" customHeight="1" thickTop="1" thickBot="1" x14ac:dyDescent="0.25">
      <c r="A48" s="328"/>
      <c r="C48" s="386" t="str">
        <f>Sprache!$E$9</f>
        <v>Nr.</v>
      </c>
      <c r="D48" s="713" t="str">
        <f>Sprache!$E$39</f>
        <v>Beginn:</v>
      </c>
      <c r="E48" s="712" t="str">
        <f>Sprache!$E$48</f>
        <v>Feld</v>
      </c>
      <c r="F48" s="824"/>
      <c r="G48" s="825"/>
      <c r="H48" s="826"/>
      <c r="I48" s="783" t="str">
        <f>Sprache!$E$14</f>
        <v>Spielpaarung</v>
      </c>
      <c r="J48" s="783"/>
      <c r="K48" s="783"/>
      <c r="L48" s="783" t="str">
        <f>Sprache!$E$15</f>
        <v>Ergebnis</v>
      </c>
      <c r="M48" s="783"/>
      <c r="N48" s="783"/>
      <c r="O48" s="783" t="str">
        <f>Sprache!$E$101</f>
        <v>Elfmeter</v>
      </c>
      <c r="P48" s="783"/>
      <c r="Q48" s="784"/>
      <c r="R48" s="353"/>
      <c r="X48" s="49"/>
      <c r="Y48" s="49"/>
      <c r="Z48" s="49"/>
      <c r="AA48" s="49"/>
    </row>
    <row r="49" spans="1:31" ht="24" customHeight="1" x14ac:dyDescent="0.2">
      <c r="A49" s="328"/>
      <c r="C49" s="726">
        <f ca="1">C45+1</f>
        <v>57</v>
      </c>
      <c r="D49" s="727">
        <f t="array" aca="1" ref="D49" ca="1">IF(Planung!$U$15,"",$D$13+QUOTIENT(($C49-$C$13),Planung!$U$11)*(Planung!$R$7+Planung!$R$9)/1440+SUM($R$13:$R48)/1440)</f>
        <v>0.71527777777777779</v>
      </c>
      <c r="E49" s="728">
        <f ca="1">IF(Planung!$U$15,"",MOD($C49-$C$13,Planung!$U$11)+1)</f>
        <v>1</v>
      </c>
      <c r="F49" s="884" t="str">
        <f>Sprache!$E$98</f>
        <v>23. Platz</v>
      </c>
      <c r="G49" s="885"/>
      <c r="H49" s="886"/>
      <c r="I49" s="732" t="str">
        <f ca="1">$Z29</f>
        <v/>
      </c>
      <c r="J49" s="733" t="s">
        <v>5</v>
      </c>
      <c r="K49" s="734" t="str">
        <f ca="1">$Z30</f>
        <v/>
      </c>
      <c r="L49" s="735">
        <v>2</v>
      </c>
      <c r="M49" s="339" t="str">
        <f>Sprache!$E$111</f>
        <v>:</v>
      </c>
      <c r="N49" s="736">
        <v>1</v>
      </c>
      <c r="O49" s="735"/>
      <c r="P49" s="339" t="str">
        <f>Sprache!$E$111</f>
        <v>:</v>
      </c>
      <c r="Q49" s="737"/>
      <c r="R49" s="340"/>
      <c r="X49" s="328" t="b">
        <f ca="1">AND($I49&lt;&gt;"",$K49&lt;&gt;"",$L49&lt;&gt;"",$N49&lt;&gt;"")</f>
        <v>0</v>
      </c>
      <c r="Y49" s="328" t="str">
        <f ca="1">IF(NOT(X49),"",IF($L49&gt;$N49,$I49,IF($L49&lt;$N49,$K49,IF(OR($O49="",$Q49="",$O49=$Q49),"",IF($O49&gt;$Q49,$I49,$K49)))))</f>
        <v/>
      </c>
      <c r="Z49" s="328" t="str">
        <f ca="1">IF(NOT(X49),"",IF($L49&lt;$N49,$I49,IF($L49&gt;$N49,$K49,IF(OR($O49="",$Q49="",$O49=$Q49),"",IF($O49&lt;$Q49,$I49,$K49)))))</f>
        <v/>
      </c>
      <c r="AA49" s="328" t="b">
        <f ca="1">AND(X49,$L49=$N49)</f>
        <v>0</v>
      </c>
    </row>
    <row r="50" spans="1:31" ht="24" customHeight="1" thickBot="1" x14ac:dyDescent="0.25">
      <c r="A50" s="328"/>
      <c r="C50" s="380">
        <f ca="1">IF($Y$11,C49+1,C49)</f>
        <v>57</v>
      </c>
      <c r="D50" s="383">
        <f t="array" aca="1" ref="D50" ca="1">IF(Planung!$U$15,"",$D$13+QUOTIENT(($C50-$C$13),Planung!$U$11)*(Planung!$R$7+Planung!$R$9)/1440+SUM($R$13:$R49)/1440)</f>
        <v>0.71527777777777779</v>
      </c>
      <c r="E50" s="361">
        <f ca="1">IF(Planung!$U$15,"",MOD($C50-$C$13,Planung!$U$11)+1)</f>
        <v>1</v>
      </c>
      <c r="F50" s="872" t="str">
        <f>Sprache!$E$97</f>
        <v>21. Platz</v>
      </c>
      <c r="G50" s="873"/>
      <c r="H50" s="874"/>
      <c r="I50" s="334" t="str">
        <f ca="1">$Y29</f>
        <v/>
      </c>
      <c r="J50" s="156" t="s">
        <v>5</v>
      </c>
      <c r="K50" s="335" t="str">
        <f ca="1">$Y30</f>
        <v/>
      </c>
      <c r="L50" s="338">
        <v>2</v>
      </c>
      <c r="M50" s="362" t="str">
        <f>Sprache!$E$111</f>
        <v>:</v>
      </c>
      <c r="N50" s="664">
        <v>1</v>
      </c>
      <c r="O50" s="338"/>
      <c r="P50" s="362" t="str">
        <f>Sprache!$E$111</f>
        <v>:</v>
      </c>
      <c r="Q50" s="333"/>
      <c r="R50" s="363"/>
      <c r="X50" s="328" t="b">
        <f ca="1">AND($I50&lt;&gt;"",$K50&lt;&gt;"",$L50&lt;&gt;"",$N50&lt;&gt;"")</f>
        <v>0</v>
      </c>
      <c r="Y50" s="328" t="str">
        <f ca="1">IF(NOT(X50),"",IF($L50&gt;$N50,$I50,IF($L50&lt;$N50,$K50,IF(OR($O50="",$Q50="",$O50=$Q50),"",IF($O50&gt;$Q50,$I50,$K50)))))</f>
        <v/>
      </c>
      <c r="Z50" s="328" t="str">
        <f ca="1">IF(NOT(X50),"",IF($L50&lt;$N50,$I50,IF($L50&gt;$N50,$K50,IF(OR($O50="",$Q50="",$O50=$Q50),"",IF($O50&lt;$Q50,$I50,$K50)))))</f>
        <v/>
      </c>
      <c r="AA50" s="328" t="b">
        <f ca="1">AND(X50,$L50=$N50)</f>
        <v>0</v>
      </c>
    </row>
    <row r="51" spans="1:31" ht="24" customHeight="1" thickTop="1" thickBot="1" x14ac:dyDescent="0.35">
      <c r="A51" s="328"/>
      <c r="C51" s="876" t="str">
        <f>Sprache!$E$87</f>
        <v>Endspiele Plätze 17 - 20</v>
      </c>
      <c r="D51" s="876"/>
      <c r="E51" s="876"/>
      <c r="F51" s="876"/>
      <c r="G51" s="876"/>
      <c r="H51" s="876"/>
      <c r="I51" s="876"/>
      <c r="J51" s="122"/>
      <c r="K51" s="390" t="s">
        <v>270</v>
      </c>
      <c r="L51" s="351"/>
      <c r="M51" s="351"/>
      <c r="N51" s="351"/>
      <c r="O51" s="351"/>
      <c r="P51" s="351"/>
      <c r="Q51" s="351"/>
      <c r="R51" s="353"/>
      <c r="X51" s="49"/>
      <c r="Y51" s="49"/>
      <c r="Z51" s="49"/>
      <c r="AA51" s="49"/>
    </row>
    <row r="52" spans="1:31" ht="24" customHeight="1" thickTop="1" x14ac:dyDescent="0.2">
      <c r="A52" s="328"/>
      <c r="C52" s="708">
        <f ca="1">IF($Y$11,C50+1,C50)</f>
        <v>57</v>
      </c>
      <c r="D52" s="385">
        <f t="array" aca="1" ref="D52" ca="1">IF(Planung!$U$15,"",$D$13+QUOTIENT(($C52-$C$13),Planung!$U$11)*(Planung!$R$7+Planung!$R$9)/1440+SUM($R$13:$R51)/1440)</f>
        <v>0.71527777777777779</v>
      </c>
      <c r="E52" s="354">
        <f ca="1">IF(Planung!$U$15,"",MOD($C52-$C$13,Planung!$U$11)+1)</f>
        <v>1</v>
      </c>
      <c r="F52" s="869" t="str">
        <f>Sprache!$E$96</f>
        <v>19. Platz</v>
      </c>
      <c r="G52" s="870"/>
      <c r="H52" s="871"/>
      <c r="I52" s="355" t="str">
        <f ca="1">$Z32</f>
        <v/>
      </c>
      <c r="J52" s="356" t="s">
        <v>5</v>
      </c>
      <c r="K52" s="357" t="str">
        <f ca="1">$Z33</f>
        <v/>
      </c>
      <c r="L52" s="358">
        <v>2</v>
      </c>
      <c r="M52" s="359" t="str">
        <f>Sprache!$E$111</f>
        <v>:</v>
      </c>
      <c r="N52" s="668">
        <v>1</v>
      </c>
      <c r="O52" s="358"/>
      <c r="P52" s="359" t="str">
        <f>Sprache!$E$111</f>
        <v>:</v>
      </c>
      <c r="Q52" s="360"/>
      <c r="R52" s="340"/>
      <c r="X52" s="328" t="b">
        <f ca="1">AND($I52&lt;&gt;"",$K52&lt;&gt;"",$L52&lt;&gt;"",$N52&lt;&gt;"")</f>
        <v>0</v>
      </c>
      <c r="Y52" s="328" t="str">
        <f ca="1">IF(NOT(X52),"",IF($L52&gt;$N52,$I52,IF($L52&lt;$N52,$K52,IF(OR($O52="",$Q52="",$O52=$Q52),"",IF($O52&gt;$Q52,$I52,$K52)))))</f>
        <v/>
      </c>
      <c r="Z52" s="328" t="str">
        <f ca="1">IF(NOT(X52),"",IF($L52&lt;$N52,$I52,IF($L52&gt;$N52,$K52,IF(OR($O52="",$Q52="",$O52=$Q52),"",IF($O52&lt;$Q52,$I52,$K52)))))</f>
        <v/>
      </c>
      <c r="AA52" s="328" t="b">
        <f ca="1">AND(X52,$L52=$N52)</f>
        <v>0</v>
      </c>
    </row>
    <row r="53" spans="1:31" ht="24" customHeight="1" thickBot="1" x14ac:dyDescent="0.25">
      <c r="A53" s="328"/>
      <c r="C53" s="707">
        <f ca="1">IF($Y$11,C52+1,C52)</f>
        <v>57</v>
      </c>
      <c r="D53" s="383">
        <f t="array" aca="1" ref="D53" ca="1">IF(Planung!$U$15,"",$D$13+QUOTIENT(($C53-$C$13),Planung!$U$11)*(Planung!$R$7+Planung!$R$9)/1440+SUM($R$13:$R52)/1440)</f>
        <v>0.71527777777777779</v>
      </c>
      <c r="E53" s="361">
        <f ca="1">IF(Planung!$U$15,"",MOD($C53-$C$13,Planung!$U$11)+1)</f>
        <v>1</v>
      </c>
      <c r="F53" s="872" t="str">
        <f>Sprache!$E$95</f>
        <v>17. Platz</v>
      </c>
      <c r="G53" s="873"/>
      <c r="H53" s="874"/>
      <c r="I53" s="334" t="str">
        <f ca="1">$Y32</f>
        <v/>
      </c>
      <c r="J53" s="156" t="s">
        <v>5</v>
      </c>
      <c r="K53" s="335" t="str">
        <f ca="1">$Y33</f>
        <v/>
      </c>
      <c r="L53" s="338">
        <v>2</v>
      </c>
      <c r="M53" s="362" t="str">
        <f>Sprache!$E$111</f>
        <v>:</v>
      </c>
      <c r="N53" s="664">
        <v>1</v>
      </c>
      <c r="O53" s="338"/>
      <c r="P53" s="362" t="str">
        <f>Sprache!$E$111</f>
        <v>:</v>
      </c>
      <c r="Q53" s="333"/>
      <c r="R53" s="363"/>
      <c r="X53" s="328" t="b">
        <f ca="1">AND($I53&lt;&gt;"",$K53&lt;&gt;"",$L53&lt;&gt;"",$N53&lt;&gt;"")</f>
        <v>0</v>
      </c>
      <c r="Y53" s="328" t="str">
        <f ca="1">IF(NOT(X53),"",IF($L53&gt;$N53,$I53,IF($L53&lt;$N53,$K53,IF(OR($O53="",$Q53="",$O53=$Q53),"",IF($O53&gt;$Q53,$I53,$K53)))))</f>
        <v/>
      </c>
      <c r="Z53" s="328" t="str">
        <f ca="1">IF(NOT(X53),"",IF($L53&lt;$N53,$I53,IF($L53&gt;$N53,$K53,IF(OR($O53="",$Q53="",$O53=$Q53),"",IF($O53&lt;$Q53,$I53,$K53)))))</f>
        <v/>
      </c>
      <c r="AA53" s="328" t="b">
        <f ca="1">AND(X53,$L53=$N53)</f>
        <v>0</v>
      </c>
    </row>
    <row r="54" spans="1:31" ht="27.95" customHeight="1" thickTop="1" thickBot="1" x14ac:dyDescent="0.45">
      <c r="A54" s="328"/>
      <c r="B54" s="377"/>
      <c r="C54" s="876" t="str">
        <f>Sprache!$E$86</f>
        <v>Endspiele Plätze 13 - 16</v>
      </c>
      <c r="D54" s="876"/>
      <c r="E54" s="876"/>
      <c r="F54" s="876"/>
      <c r="G54" s="876"/>
      <c r="H54" s="876"/>
      <c r="I54" s="876"/>
      <c r="J54" s="122"/>
      <c r="K54" s="390" t="s">
        <v>270</v>
      </c>
      <c r="L54" s="351"/>
      <c r="M54" s="351"/>
      <c r="N54" s="351"/>
      <c r="O54" s="351"/>
      <c r="P54" s="351"/>
      <c r="Q54" s="351"/>
      <c r="R54" s="353"/>
      <c r="T54" s="796" t="str">
        <f>Sprache!$E$60</f>
        <v>Gruppenzweite</v>
      </c>
      <c r="U54" s="796"/>
      <c r="X54" s="49"/>
      <c r="Y54" s="49"/>
      <c r="Z54" s="49"/>
      <c r="AA54" s="49"/>
    </row>
    <row r="55" spans="1:31" ht="24" customHeight="1" thickTop="1" x14ac:dyDescent="0.2">
      <c r="A55" s="328"/>
      <c r="B55" s="376"/>
      <c r="C55" s="384">
        <f ca="1">IF($Y$11,C53+1,C53)</f>
        <v>57</v>
      </c>
      <c r="D55" s="385">
        <f t="array" aca="1" ref="D55" ca="1">IF(Planung!$U$15,"",$D$13+QUOTIENT(($C55-$C$13),Planung!$U$11)*(Planung!$R$7+Planung!$R$9)/1440+SUM($R$13:$R54)/1440)</f>
        <v>0.71527777777777779</v>
      </c>
      <c r="E55" s="354">
        <f ca="1">IF(Planung!$U$15,"",MOD($C55-$C$13,Planung!$U$11)+1)</f>
        <v>1</v>
      </c>
      <c r="F55" s="869" t="str">
        <f>Sprache!$E$94</f>
        <v>15. Platz</v>
      </c>
      <c r="G55" s="870"/>
      <c r="H55" s="871"/>
      <c r="I55" s="355" t="str">
        <f ca="1">$Z35</f>
        <v>1. FC Riedwald</v>
      </c>
      <c r="J55" s="356" t="s">
        <v>5</v>
      </c>
      <c r="K55" s="357" t="str">
        <f ca="1">$Z36</f>
        <v>HSV</v>
      </c>
      <c r="L55" s="358">
        <v>2</v>
      </c>
      <c r="M55" s="359" t="str">
        <f>Sprache!$E$111</f>
        <v>:</v>
      </c>
      <c r="N55" s="668">
        <v>1</v>
      </c>
      <c r="O55" s="358"/>
      <c r="P55" s="359" t="str">
        <f>Sprache!$E$111</f>
        <v>:</v>
      </c>
      <c r="Q55" s="360"/>
      <c r="R55" s="340"/>
      <c r="T55" s="441"/>
      <c r="U55" s="471" t="str">
        <f>Sprache!$E$10</f>
        <v>Teilnehmer bzw. Mannschaft</v>
      </c>
      <c r="X55" s="328" t="b">
        <f ca="1">AND($I55&lt;&gt;"",$K55&lt;&gt;"",$L55&lt;&gt;"",$N55&lt;&gt;"")</f>
        <v>1</v>
      </c>
      <c r="Y55" s="328" t="str">
        <f ca="1">IF(NOT(X55),"",IF($L55&gt;$N55,$I55,IF($L55&lt;$N55,$K55,IF(OR($O55="",$Q55="",$O55=$Q55),"",IF($O55&gt;$Q55,$I55,$K55)))))</f>
        <v>1. FC Riedwald</v>
      </c>
      <c r="Z55" s="328" t="str">
        <f ca="1">IF(NOT(X55),"",IF($L55&lt;$N55,$I55,IF($L55&gt;$N55,$K55,IF(OR($O55="",$Q55="",$O55=$Q55),"",IF($O55&lt;$Q55,$I55,$K55)))))</f>
        <v>HSV</v>
      </c>
      <c r="AA55" s="328" t="b">
        <f ca="1">AND(X55,$L55=$N55)</f>
        <v>0</v>
      </c>
      <c r="AB55" s="581"/>
      <c r="AC55" s="581"/>
      <c r="AD55" s="581"/>
      <c r="AE55" s="581"/>
    </row>
    <row r="56" spans="1:31" ht="24" customHeight="1" thickBot="1" x14ac:dyDescent="0.25">
      <c r="A56" s="328"/>
      <c r="B56" s="376"/>
      <c r="C56" s="380">
        <f t="shared" ref="C56" ca="1" si="6">C55+1</f>
        <v>58</v>
      </c>
      <c r="D56" s="383">
        <f t="array" aca="1" ref="D56" ca="1">IF(Planung!$U$15,"",$D$13+QUOTIENT(($C56-$C$13),Planung!$U$11)*(Planung!$R$7+Planung!$R$9)/1440+SUM($R$13:$R55)/1440)</f>
        <v>0.71527777777777779</v>
      </c>
      <c r="E56" s="361">
        <f ca="1">IF(Planung!$U$15,"",MOD($C56-$C$13,Planung!$U$11)+1)</f>
        <v>2</v>
      </c>
      <c r="F56" s="872" t="str">
        <f>Sprache!$E$93</f>
        <v>13. Platz</v>
      </c>
      <c r="G56" s="873"/>
      <c r="H56" s="874"/>
      <c r="I56" s="334" t="str">
        <f ca="1">$Y35</f>
        <v>VFB Essenheim</v>
      </c>
      <c r="J56" s="156" t="s">
        <v>5</v>
      </c>
      <c r="K56" s="335" t="str">
        <f ca="1">$Y36</f>
        <v>SV Oberredenburg</v>
      </c>
      <c r="L56" s="338">
        <v>3</v>
      </c>
      <c r="M56" s="362" t="str">
        <f>Sprache!$E$111</f>
        <v>:</v>
      </c>
      <c r="N56" s="664">
        <v>2</v>
      </c>
      <c r="O56" s="338"/>
      <c r="P56" s="362" t="str">
        <f>Sprache!$E$111</f>
        <v>:</v>
      </c>
      <c r="Q56" s="333"/>
      <c r="R56" s="363"/>
      <c r="T56" s="696" t="s">
        <v>295</v>
      </c>
      <c r="U56" s="472" t="str">
        <f ca="1">IF(Vorrunde!$N$13="","",Vorrunde!$N$13)</f>
        <v>Eintracht Frankfurt</v>
      </c>
      <c r="X56" s="328" t="b">
        <f ca="1">AND($I56&lt;&gt;"",$K56&lt;&gt;"",$L56&lt;&gt;"",$N56&lt;&gt;"")</f>
        <v>1</v>
      </c>
      <c r="Y56" s="328" t="str">
        <f ca="1">IF(NOT(X56),"",IF($L56&gt;$N56,$I56,IF($L56&lt;$N56,$K56,IF(OR($O56="",$Q56="",$O56=$Q56),"",IF($O56&gt;$Q56,$I56,$K56)))))</f>
        <v>VFB Essenheim</v>
      </c>
      <c r="Z56" s="328" t="str">
        <f ca="1">IF(NOT(X56),"",IF($L56&lt;$N56,$I56,IF($L56&gt;$N56,$K56,IF(OR($O56="",$Q56="",$O56=$Q56),"",IF($O56&lt;$Q56,$I56,$K56)))))</f>
        <v>SV Oberredenburg</v>
      </c>
      <c r="AA56" s="328" t="b">
        <f ca="1">AND(X56,$L56=$N56)</f>
        <v>0</v>
      </c>
      <c r="AB56" s="581"/>
      <c r="AC56" s="581"/>
      <c r="AD56" s="581"/>
      <c r="AE56" s="581"/>
    </row>
    <row r="57" spans="1:31" ht="27.95" customHeight="1" thickTop="1" thickBot="1" x14ac:dyDescent="0.35">
      <c r="A57" s="328"/>
      <c r="B57" s="377"/>
      <c r="C57" s="876" t="str">
        <f>Sprache!$E$85</f>
        <v>Endspiele Plätze 9 - 12</v>
      </c>
      <c r="D57" s="876"/>
      <c r="E57" s="876"/>
      <c r="F57" s="876"/>
      <c r="G57" s="876"/>
      <c r="H57" s="876"/>
      <c r="I57" s="876"/>
      <c r="J57" s="122"/>
      <c r="K57" s="390" t="s">
        <v>270</v>
      </c>
      <c r="L57" s="351"/>
      <c r="M57" s="351"/>
      <c r="N57" s="351"/>
      <c r="O57" s="351"/>
      <c r="P57" s="351"/>
      <c r="Q57" s="351"/>
      <c r="R57" s="353"/>
      <c r="T57" s="440" t="s">
        <v>296</v>
      </c>
      <c r="U57" s="473" t="str">
        <f ca="1">IF(Vorrunde!$N$23="","",Vorrunde!$N$23)</f>
        <v>Inter Mailand</v>
      </c>
      <c r="X57" s="49"/>
      <c r="Y57" s="49"/>
      <c r="Z57" s="49"/>
      <c r="AA57" s="49"/>
      <c r="AB57" s="581"/>
      <c r="AC57" s="581"/>
      <c r="AD57" s="581"/>
      <c r="AE57" s="581"/>
    </row>
    <row r="58" spans="1:31" ht="24" customHeight="1" thickTop="1" x14ac:dyDescent="0.2">
      <c r="A58" s="328"/>
      <c r="B58" s="376"/>
      <c r="C58" s="384">
        <f ca="1">C56+1</f>
        <v>59</v>
      </c>
      <c r="D58" s="385">
        <f t="array" aca="1" ref="D58" ca="1">IF(Planung!$U$15,"",$D$13+QUOTIENT(($C58-$C$13),Planung!$U$11)*(Planung!$R$7+Planung!$R$9)/1440+SUM($R$13:$R57)/1440)</f>
        <v>0.71527777777777779</v>
      </c>
      <c r="E58" s="354">
        <f ca="1">IF(Planung!$U$15,"",MOD($C58-$C$13,Planung!$U$11)+1)</f>
        <v>3</v>
      </c>
      <c r="F58" s="869" t="str">
        <f>Sprache!$E$92</f>
        <v>11. Platz</v>
      </c>
      <c r="G58" s="870"/>
      <c r="H58" s="871"/>
      <c r="I58" s="355" t="str">
        <f ca="1">$Z38</f>
        <v>1. FC Nürnberg</v>
      </c>
      <c r="J58" s="356" t="s">
        <v>5</v>
      </c>
      <c r="K58" s="357" t="str">
        <f ca="1">$Z39</f>
        <v>FC Grönlingen</v>
      </c>
      <c r="L58" s="358">
        <v>2</v>
      </c>
      <c r="M58" s="359" t="str">
        <f>Sprache!$E$111</f>
        <v>:</v>
      </c>
      <c r="N58" s="668">
        <v>1</v>
      </c>
      <c r="O58" s="358"/>
      <c r="P58" s="359" t="str">
        <f>Sprache!$E$111</f>
        <v>:</v>
      </c>
      <c r="Q58" s="360"/>
      <c r="R58" s="340"/>
      <c r="T58" s="695" t="s">
        <v>297</v>
      </c>
      <c r="U58" s="473" t="str">
        <f ca="1">IF(Vorrunde!$N$33="","",Vorrunde!$N$33)</f>
        <v>Real Madrid</v>
      </c>
      <c r="X58" s="328" t="b">
        <f t="shared" ref="X58:X59" ca="1" si="7">AND($I58&lt;&gt;"",$K58&lt;&gt;"",$L58&lt;&gt;"",$N58&lt;&gt;"")</f>
        <v>1</v>
      </c>
      <c r="Y58" s="328" t="str">
        <f t="shared" ref="Y58:Y59" ca="1" si="8">IF(NOT(X58),"",IF($L58&gt;$N58,$I58,IF($L58&lt;$N58,$K58,IF(OR($O58="",$Q58="",$O58=$Q58),"",IF($O58&gt;$Q58,$I58,$K58)))))</f>
        <v>1. FC Nürnberg</v>
      </c>
      <c r="Z58" s="328" t="str">
        <f t="shared" ref="Z58:Z59" ca="1" si="9">IF(NOT(X58),"",IF($L58&lt;$N58,$I58,IF($L58&gt;$N58,$K58,IF(OR($O58="",$Q58="",$O58=$Q58),"",IF($O58&lt;$Q58,$I58,$K58)))))</f>
        <v>FC Grönlingen</v>
      </c>
      <c r="AA58" s="328" t="b">
        <f t="shared" ref="AA58:AA59" ca="1" si="10">AND(X58,$L58=$N58)</f>
        <v>0</v>
      </c>
      <c r="AB58" s="581"/>
      <c r="AC58" s="581"/>
      <c r="AD58" s="581"/>
      <c r="AE58" s="581"/>
    </row>
    <row r="59" spans="1:31" ht="24" customHeight="1" thickBot="1" x14ac:dyDescent="0.25">
      <c r="A59" s="328"/>
      <c r="B59" s="376"/>
      <c r="C59" s="380">
        <f t="shared" ref="C59" ca="1" si="11">C58+1</f>
        <v>60</v>
      </c>
      <c r="D59" s="383">
        <f t="array" aca="1" ref="D59" ca="1">IF(Planung!$U$15,"",$D$13+QUOTIENT(($C59-$C$13),Planung!$U$11)*(Planung!$R$7+Planung!$R$9)/1440+SUM($R$13:$R58)/1440)</f>
        <v>0.71527777777777779</v>
      </c>
      <c r="E59" s="361">
        <f ca="1">IF(Planung!$U$15,"",MOD($C59-$C$13,Planung!$U$11)+1)</f>
        <v>4</v>
      </c>
      <c r="F59" s="872" t="str">
        <f>Sprache!$E$91</f>
        <v>9. Platz</v>
      </c>
      <c r="G59" s="873"/>
      <c r="H59" s="874"/>
      <c r="I59" s="334" t="str">
        <f ca="1">$Y38</f>
        <v>Kickers Rodendorf</v>
      </c>
      <c r="J59" s="156" t="s">
        <v>5</v>
      </c>
      <c r="K59" s="335" t="str">
        <f ca="1">$Y39</f>
        <v>Mainz 05</v>
      </c>
      <c r="L59" s="338">
        <v>2</v>
      </c>
      <c r="M59" s="362" t="str">
        <f>Sprache!$E$111</f>
        <v>:</v>
      </c>
      <c r="N59" s="664">
        <v>3</v>
      </c>
      <c r="O59" s="338"/>
      <c r="P59" s="362" t="str">
        <f>Sprache!$E$111</f>
        <v>:</v>
      </c>
      <c r="Q59" s="333"/>
      <c r="R59" s="363"/>
      <c r="T59" s="405" t="s">
        <v>349</v>
      </c>
      <c r="U59" s="474" t="str">
        <f ca="1">IF(Vorrunde!$N$43="","",Vorrunde!$N$43)</f>
        <v>RB Leipzig</v>
      </c>
      <c r="X59" s="328" t="b">
        <f t="shared" ca="1" si="7"/>
        <v>1</v>
      </c>
      <c r="Y59" s="328" t="str">
        <f t="shared" ca="1" si="8"/>
        <v>Mainz 05</v>
      </c>
      <c r="Z59" s="328" t="str">
        <f t="shared" ca="1" si="9"/>
        <v>Kickers Rodendorf</v>
      </c>
      <c r="AA59" s="328" t="b">
        <f t="shared" ca="1" si="10"/>
        <v>0</v>
      </c>
    </row>
    <row r="60" spans="1:31" ht="24" customHeight="1" thickTop="1" thickBot="1" x14ac:dyDescent="0.35">
      <c r="C60" s="876" t="str">
        <f>Sprache!$E$84</f>
        <v>Endspiele Plätze 5 - 8</v>
      </c>
      <c r="D60" s="876"/>
      <c r="E60" s="876"/>
      <c r="F60" s="876"/>
      <c r="G60" s="876"/>
      <c r="H60" s="876"/>
      <c r="I60" s="876"/>
      <c r="J60" s="122"/>
      <c r="K60" s="390" t="s">
        <v>270</v>
      </c>
      <c r="L60" s="351"/>
      <c r="M60" s="351"/>
      <c r="N60" s="351"/>
      <c r="O60" s="351"/>
      <c r="P60" s="351"/>
      <c r="Q60" s="351"/>
      <c r="R60" s="353"/>
      <c r="X60" s="49"/>
      <c r="Y60" s="49"/>
      <c r="Z60" s="49"/>
      <c r="AA60" s="49"/>
    </row>
    <row r="61" spans="1:31" ht="24" customHeight="1" thickTop="1" thickBot="1" x14ac:dyDescent="0.45">
      <c r="C61" s="384">
        <f ca="1">C59+1</f>
        <v>61</v>
      </c>
      <c r="D61" s="385">
        <f t="array" aca="1" ref="D61" ca="1">IF(Planung!$U$15,"",$D$13+QUOTIENT(($C61-$C$13),Planung!$U$11)*(Planung!$R$7+Planung!$R$9)/1440+SUM($R$13:$R60)/1440)</f>
        <v>0.73958333333333337</v>
      </c>
      <c r="E61" s="354">
        <f ca="1">IF(Planung!$U$15,"",MOD($C61-$C$13,Planung!$U$11)+1)</f>
        <v>1</v>
      </c>
      <c r="F61" s="869" t="str">
        <f>Sprache!$E$90</f>
        <v>7. Platz</v>
      </c>
      <c r="G61" s="870"/>
      <c r="H61" s="871"/>
      <c r="I61" s="355" t="str">
        <f ca="1">$Z41</f>
        <v>Eintracht Frankfurt</v>
      </c>
      <c r="J61" s="356" t="s">
        <v>5</v>
      </c>
      <c r="K61" s="357" t="str">
        <f ca="1">$Z42</f>
        <v>Paris St. Germain</v>
      </c>
      <c r="L61" s="358">
        <v>2</v>
      </c>
      <c r="M61" s="359" t="str">
        <f>Sprache!$E$111</f>
        <v>:</v>
      </c>
      <c r="N61" s="668">
        <v>1</v>
      </c>
      <c r="O61" s="358"/>
      <c r="P61" s="359" t="str">
        <f>Sprache!$E$111</f>
        <v>:</v>
      </c>
      <c r="Q61" s="360"/>
      <c r="R61" s="340"/>
      <c r="T61" s="796" t="str">
        <f>Sprache!$E$59</f>
        <v>Gruppenerste</v>
      </c>
      <c r="U61" s="796"/>
      <c r="X61" s="328" t="b">
        <f t="shared" ref="X61:X62" ca="1" si="12">AND($I61&lt;&gt;"",$K61&lt;&gt;"",$L61&lt;&gt;"",$N61&lt;&gt;"")</f>
        <v>1</v>
      </c>
      <c r="Y61" s="328" t="str">
        <f t="shared" ref="Y61:Y62" ca="1" si="13">IF(NOT(X61),"",IF($L61&gt;$N61,$I61,IF($L61&lt;$N61,$K61,IF(OR($O61="",$Q61="",$O61=$Q61),"",IF($O61&gt;$Q61,$I61,$K61)))))</f>
        <v>Eintracht Frankfurt</v>
      </c>
      <c r="Z61" s="328" t="str">
        <f t="shared" ref="Z61:Z62" ca="1" si="14">IF(NOT(X61),"",IF($L61&lt;$N61,$I61,IF($L61&gt;$N61,$K61,IF(OR($O61="",$Q61="",$O61=$Q61),"",IF($O61&lt;$Q61,$I61,$K61)))))</f>
        <v>Paris St. Germain</v>
      </c>
      <c r="AA61" s="328" t="b">
        <f t="shared" ref="AA61:AA62" ca="1" si="15">AND(X61,$L61=$N61)</f>
        <v>0</v>
      </c>
    </row>
    <row r="62" spans="1:31" ht="24" customHeight="1" thickTop="1" thickBot="1" x14ac:dyDescent="0.25">
      <c r="C62" s="380">
        <f t="shared" ref="C62" ca="1" si="16">C61+1</f>
        <v>62</v>
      </c>
      <c r="D62" s="383">
        <f t="array" aca="1" ref="D62" ca="1">IF(Planung!$U$15,"",$D$13+QUOTIENT(($C62-$C$13),Planung!$U$11)*(Planung!$R$7+Planung!$R$9)/1440+SUM($R$13:$R61)/1440)</f>
        <v>0.73958333333333337</v>
      </c>
      <c r="E62" s="361">
        <f ca="1">IF(Planung!$U$15,"",MOD($C62-$C$13,Planung!$U$11)+1)</f>
        <v>2</v>
      </c>
      <c r="F62" s="872" t="str">
        <f>Sprache!$E$89</f>
        <v>5. Platz</v>
      </c>
      <c r="G62" s="873"/>
      <c r="H62" s="874"/>
      <c r="I62" s="334" t="str">
        <f ca="1">$Y41</f>
        <v>FC Barcelona</v>
      </c>
      <c r="J62" s="156" t="s">
        <v>5</v>
      </c>
      <c r="K62" s="335" t="str">
        <f ca="1">$Y42</f>
        <v>RB Leipzig</v>
      </c>
      <c r="L62" s="338">
        <v>2</v>
      </c>
      <c r="M62" s="362" t="str">
        <f>Sprache!$E$111</f>
        <v>:</v>
      </c>
      <c r="N62" s="664">
        <v>3</v>
      </c>
      <c r="O62" s="338"/>
      <c r="P62" s="362" t="str">
        <f>Sprache!$E$111</f>
        <v>:</v>
      </c>
      <c r="Q62" s="333"/>
      <c r="R62" s="363"/>
      <c r="T62" s="441"/>
      <c r="U62" s="471" t="str">
        <f>Sprache!$E$10</f>
        <v>Teilnehmer bzw. Mannschaft</v>
      </c>
      <c r="X62" s="328" t="b">
        <f t="shared" ca="1" si="12"/>
        <v>1</v>
      </c>
      <c r="Y62" s="328" t="str">
        <f t="shared" ca="1" si="13"/>
        <v>RB Leipzig</v>
      </c>
      <c r="Z62" s="328" t="str">
        <f t="shared" ca="1" si="14"/>
        <v>FC Barcelona</v>
      </c>
      <c r="AA62" s="328" t="b">
        <f t="shared" ca="1" si="15"/>
        <v>0</v>
      </c>
    </row>
    <row r="63" spans="1:31" ht="24" customHeight="1" thickTop="1" thickBot="1" x14ac:dyDescent="0.35">
      <c r="C63" s="876" t="str">
        <f>Sprache!$E$83</f>
        <v>Endspiele Plätze 1 - 4</v>
      </c>
      <c r="D63" s="876"/>
      <c r="E63" s="876"/>
      <c r="F63" s="876"/>
      <c r="G63" s="876"/>
      <c r="H63" s="876"/>
      <c r="I63" s="876"/>
      <c r="J63" s="122"/>
      <c r="K63" s="390" t="s">
        <v>270</v>
      </c>
      <c r="L63" s="351"/>
      <c r="M63" s="351"/>
      <c r="N63" s="351"/>
      <c r="O63" s="351"/>
      <c r="P63" s="351"/>
      <c r="Q63" s="351"/>
      <c r="R63" s="353"/>
      <c r="T63" s="696" t="s">
        <v>292</v>
      </c>
      <c r="U63" s="472" t="str">
        <f ca="1">IF(Vorrunde!$N$12="","",Vorrunde!$N$12)</f>
        <v>FC Barcelona</v>
      </c>
      <c r="X63" s="49"/>
      <c r="Y63" s="49"/>
      <c r="Z63" s="49"/>
      <c r="AA63" s="49"/>
    </row>
    <row r="64" spans="1:31" ht="24" customHeight="1" thickTop="1" x14ac:dyDescent="0.2">
      <c r="C64" s="384">
        <f ca="1">C62+1</f>
        <v>63</v>
      </c>
      <c r="D64" s="385">
        <f t="array" aca="1" ref="D64" ca="1">IF(Planung!$U$15,"",$D$13+QUOTIENT(($C64-$C$13),Planung!$U$11)*(Planung!$R$7+Planung!$R$9)/1440+SUM($R$13:$R63)/1440)</f>
        <v>0.73958333333333337</v>
      </c>
      <c r="E64" s="354">
        <f ca="1">IF(Planung!$U$15,"",MOD($C64-$C$13,Planung!$U$11)+1)</f>
        <v>3</v>
      </c>
      <c r="F64" s="869" t="str">
        <f>Sprache!$E$120</f>
        <v>3. Platz</v>
      </c>
      <c r="G64" s="870"/>
      <c r="H64" s="871"/>
      <c r="I64" s="355" t="str">
        <f ca="1">$Z44</f>
        <v>Borussia Dortmund</v>
      </c>
      <c r="J64" s="356" t="s">
        <v>5</v>
      </c>
      <c r="K64" s="357" t="str">
        <f ca="1">$Z45</f>
        <v>Inter Mailand</v>
      </c>
      <c r="L64" s="358">
        <v>2</v>
      </c>
      <c r="M64" s="359" t="str">
        <f>Sprache!$E$111</f>
        <v>:</v>
      </c>
      <c r="N64" s="668">
        <v>1</v>
      </c>
      <c r="O64" s="358"/>
      <c r="P64" s="359" t="str">
        <f>Sprache!$E$111</f>
        <v>:</v>
      </c>
      <c r="Q64" s="360"/>
      <c r="R64" s="340"/>
      <c r="T64" s="440" t="s">
        <v>293</v>
      </c>
      <c r="U64" s="473" t="str">
        <f ca="1">IF(Vorrunde!$N$22="","",Vorrunde!$N$22)</f>
        <v>Manchester City</v>
      </c>
      <c r="X64" s="328" t="b">
        <f t="shared" ref="X64:X65" ca="1" si="17">AND($I64&lt;&gt;"",$K64&lt;&gt;"",$L64&lt;&gt;"",$N64&lt;&gt;"")</f>
        <v>1</v>
      </c>
      <c r="Y64" s="328" t="str">
        <f t="shared" ref="Y64:Y65" ca="1" si="18">IF(NOT(X64),"",IF($L64&gt;$N64,$I64,IF($L64&lt;$N64,$K64,IF(OR($O64="",$Q64="",$O64=$Q64),"",IF($O64&gt;$Q64,$I64,$K64)))))</f>
        <v>Borussia Dortmund</v>
      </c>
      <c r="Z64" s="328" t="str">
        <f t="shared" ref="Z64:Z65" ca="1" si="19">IF(NOT(X64),"",IF($L64&lt;$N64,$I64,IF($L64&gt;$N64,$K64,IF(OR($O64="",$Q64="",$O64=$Q64),"",IF($O64&lt;$Q64,$I64,$K64)))))</f>
        <v>Inter Mailand</v>
      </c>
      <c r="AA64" s="328" t="b">
        <f t="shared" ref="AA64:AA65" ca="1" si="20">AND(X64,$L64=$N64)</f>
        <v>0</v>
      </c>
    </row>
    <row r="65" spans="3:27" ht="24" customHeight="1" thickBot="1" x14ac:dyDescent="0.25">
      <c r="C65" s="380">
        <f t="shared" ref="C65" ca="1" si="21">C64+1</f>
        <v>64</v>
      </c>
      <c r="D65" s="383">
        <f ca="1">IF(Planung!$U$15,"",$D$64+($R$64+Planung!$R$9+Planung!$R$7)/1440)</f>
        <v>0.76388888888888895</v>
      </c>
      <c r="E65" s="361">
        <f>IF(Planung!$U$15,"",1)</f>
        <v>1</v>
      </c>
      <c r="F65" s="872" t="str">
        <f>Sprache!$E$121</f>
        <v>Finale</v>
      </c>
      <c r="G65" s="873"/>
      <c r="H65" s="874"/>
      <c r="I65" s="334" t="str">
        <f ca="1">$Y44</f>
        <v>Real Madrid</v>
      </c>
      <c r="J65" s="156" t="s">
        <v>5</v>
      </c>
      <c r="K65" s="335" t="str">
        <f ca="1">$Y45</f>
        <v>Manchester City</v>
      </c>
      <c r="L65" s="338">
        <v>2</v>
      </c>
      <c r="M65" s="362" t="str">
        <f>Sprache!$E$111</f>
        <v>:</v>
      </c>
      <c r="N65" s="664">
        <v>3</v>
      </c>
      <c r="O65" s="338"/>
      <c r="P65" s="362" t="str">
        <f>Sprache!$E$111</f>
        <v>:</v>
      </c>
      <c r="Q65" s="333"/>
      <c r="R65" s="350"/>
      <c r="T65" s="695" t="s">
        <v>294</v>
      </c>
      <c r="U65" s="473" t="str">
        <f ca="1">IF(Vorrunde!$N$32="","",Vorrunde!$N$32)</f>
        <v>Borussia Dortmund</v>
      </c>
      <c r="X65" s="328" t="b">
        <f t="shared" ca="1" si="17"/>
        <v>1</v>
      </c>
      <c r="Y65" s="328" t="str">
        <f t="shared" ca="1" si="18"/>
        <v>Manchester City</v>
      </c>
      <c r="Z65" s="328" t="str">
        <f t="shared" ca="1" si="19"/>
        <v>Real Madrid</v>
      </c>
      <c r="AA65" s="328" t="b">
        <f t="shared" ca="1" si="20"/>
        <v>0</v>
      </c>
    </row>
    <row r="66" spans="3:27" ht="24" customHeight="1" thickTop="1" thickBot="1" x14ac:dyDescent="0.25">
      <c r="D66" s="344"/>
      <c r="T66" s="405" t="s">
        <v>348</v>
      </c>
      <c r="U66" s="474" t="str">
        <f ca="1">IF(Vorrunde!$N$42="","",Vorrunde!$N$42)</f>
        <v>Paris St. Germain</v>
      </c>
    </row>
    <row r="67" spans="3:27" ht="24" customHeight="1" thickTop="1" x14ac:dyDescent="0.2">
      <c r="C67" s="346"/>
      <c r="D67" s="346"/>
      <c r="E67" s="346"/>
      <c r="F67" s="346"/>
      <c r="G67" s="346"/>
      <c r="H67" s="346"/>
      <c r="I67" s="347" t="str">
        <f>Sprache!$E$29</f>
        <v>Turnierende:</v>
      </c>
      <c r="J67" s="346"/>
      <c r="K67" s="348">
        <f ca="1">IF(Planung!$R$13="","",$D$65+Planung!$R$7/1440)</f>
        <v>0.78472222222222232</v>
      </c>
      <c r="L67" s="349"/>
      <c r="M67" s="349"/>
      <c r="N67" s="349"/>
      <c r="O67" s="349"/>
      <c r="P67" s="349"/>
      <c r="Q67" s="349"/>
      <c r="R67" s="349"/>
    </row>
    <row r="68" spans="3:27" ht="24" customHeight="1" thickBot="1" x14ac:dyDescent="0.25">
      <c r="D68" s="344"/>
      <c r="Y68" s="575"/>
      <c r="Z68" s="581"/>
      <c r="AA68" s="581"/>
    </row>
    <row r="69" spans="3:27" ht="24" customHeight="1" thickBot="1" x14ac:dyDescent="0.25">
      <c r="F69" s="827" t="str">
        <f>Sprache!$E$119</f>
        <v>Rang</v>
      </c>
      <c r="G69" s="828"/>
      <c r="H69" s="828"/>
      <c r="I69" s="867" t="str">
        <f>"  "&amp;Sprache!$E$10</f>
        <v xml:space="preserve">  Teilnehmer bzw. Mannschaft</v>
      </c>
      <c r="J69" s="867"/>
      <c r="K69" s="868"/>
      <c r="Y69" s="575"/>
      <c r="Z69" s="581"/>
      <c r="AA69" s="581"/>
    </row>
    <row r="70" spans="3:27" ht="24" customHeight="1" thickTop="1" x14ac:dyDescent="0.2">
      <c r="E70" s="345">
        <v>1</v>
      </c>
      <c r="F70" s="829">
        <v>1</v>
      </c>
      <c r="G70" s="830"/>
      <c r="H70" s="830"/>
      <c r="I70" s="853" t="str">
        <f ca="1">$Y65</f>
        <v>Manchester City</v>
      </c>
      <c r="J70" s="853"/>
      <c r="K70" s="854"/>
      <c r="Y70" s="575"/>
      <c r="Z70" s="581"/>
      <c r="AA70" s="581"/>
    </row>
    <row r="71" spans="3:27" ht="24" customHeight="1" x14ac:dyDescent="0.2">
      <c r="E71" s="345">
        <v>2</v>
      </c>
      <c r="F71" s="831">
        <v>2</v>
      </c>
      <c r="G71" s="832"/>
      <c r="H71" s="832"/>
      <c r="I71" s="855" t="str">
        <f ca="1">$Z65</f>
        <v>Real Madrid</v>
      </c>
      <c r="J71" s="855"/>
      <c r="K71" s="856"/>
      <c r="Y71" s="575"/>
      <c r="Z71" s="581"/>
      <c r="AA71" s="581"/>
    </row>
    <row r="72" spans="3:27" ht="24" customHeight="1" x14ac:dyDescent="0.2">
      <c r="E72" s="345">
        <v>3</v>
      </c>
      <c r="F72" s="833">
        <v>3</v>
      </c>
      <c r="G72" s="834"/>
      <c r="H72" s="834"/>
      <c r="I72" s="857" t="str">
        <f ca="1">$Y64</f>
        <v>Borussia Dortmund</v>
      </c>
      <c r="J72" s="857"/>
      <c r="K72" s="858"/>
    </row>
    <row r="73" spans="3:27" ht="24" customHeight="1" x14ac:dyDescent="0.2">
      <c r="E73" s="345">
        <v>4</v>
      </c>
      <c r="F73" s="835">
        <v>4</v>
      </c>
      <c r="G73" s="836"/>
      <c r="H73" s="836"/>
      <c r="I73" s="819" t="str">
        <f ca="1">$Z64</f>
        <v>Inter Mailand</v>
      </c>
      <c r="J73" s="819"/>
      <c r="K73" s="820"/>
    </row>
    <row r="74" spans="3:27" ht="24" customHeight="1" x14ac:dyDescent="0.2">
      <c r="F74" s="835">
        <v>5</v>
      </c>
      <c r="G74" s="836"/>
      <c r="H74" s="836"/>
      <c r="I74" s="819" t="str">
        <f ca="1">$Y62</f>
        <v>RB Leipzig</v>
      </c>
      <c r="J74" s="819"/>
      <c r="K74" s="820"/>
    </row>
    <row r="75" spans="3:27" ht="24" customHeight="1" x14ac:dyDescent="0.2">
      <c r="F75" s="835">
        <v>6</v>
      </c>
      <c r="G75" s="836"/>
      <c r="H75" s="836"/>
      <c r="I75" s="819" t="str">
        <f ca="1">$Z62</f>
        <v>FC Barcelona</v>
      </c>
      <c r="J75" s="819"/>
      <c r="K75" s="820"/>
    </row>
    <row r="76" spans="3:27" ht="24" customHeight="1" x14ac:dyDescent="0.2">
      <c r="F76" s="835">
        <v>7</v>
      </c>
      <c r="G76" s="836"/>
      <c r="H76" s="836"/>
      <c r="I76" s="819" t="str">
        <f ca="1">$Y61</f>
        <v>Eintracht Frankfurt</v>
      </c>
      <c r="J76" s="819"/>
      <c r="K76" s="820"/>
    </row>
    <row r="77" spans="3:27" ht="24" customHeight="1" x14ac:dyDescent="0.2">
      <c r="F77" s="835">
        <v>8</v>
      </c>
      <c r="G77" s="836"/>
      <c r="H77" s="836"/>
      <c r="I77" s="819" t="str">
        <f ca="1">$Z61</f>
        <v>Paris St. Germain</v>
      </c>
      <c r="J77" s="819"/>
      <c r="K77" s="820"/>
    </row>
    <row r="78" spans="3:27" ht="24" customHeight="1" x14ac:dyDescent="0.2">
      <c r="F78" s="835">
        <v>9</v>
      </c>
      <c r="G78" s="836"/>
      <c r="H78" s="836"/>
      <c r="I78" s="819" t="str">
        <f ca="1">$Y59</f>
        <v>Mainz 05</v>
      </c>
      <c r="J78" s="819"/>
      <c r="K78" s="820"/>
    </row>
    <row r="79" spans="3:27" ht="24" customHeight="1" x14ac:dyDescent="0.2">
      <c r="F79" s="835">
        <v>10</v>
      </c>
      <c r="G79" s="836"/>
      <c r="H79" s="836"/>
      <c r="I79" s="819" t="str">
        <f ca="1">$Z59</f>
        <v>Kickers Rodendorf</v>
      </c>
      <c r="J79" s="819"/>
      <c r="K79" s="820"/>
    </row>
    <row r="80" spans="3:27" ht="24" customHeight="1" x14ac:dyDescent="0.2">
      <c r="F80" s="835">
        <v>11</v>
      </c>
      <c r="G80" s="836"/>
      <c r="H80" s="836"/>
      <c r="I80" s="819" t="str">
        <f ca="1">$Y58</f>
        <v>1. FC Nürnberg</v>
      </c>
      <c r="J80" s="819"/>
      <c r="K80" s="820"/>
    </row>
    <row r="81" spans="6:11" ht="24" customHeight="1" x14ac:dyDescent="0.2">
      <c r="F81" s="835">
        <v>12</v>
      </c>
      <c r="G81" s="836"/>
      <c r="H81" s="836"/>
      <c r="I81" s="819" t="str">
        <f ca="1">$Z58</f>
        <v>FC Grönlingen</v>
      </c>
      <c r="J81" s="819"/>
      <c r="K81" s="820"/>
    </row>
    <row r="82" spans="6:11" ht="24" customHeight="1" x14ac:dyDescent="0.2">
      <c r="F82" s="835">
        <v>13</v>
      </c>
      <c r="G82" s="836"/>
      <c r="H82" s="836"/>
      <c r="I82" s="819" t="str">
        <f ca="1">$Y56</f>
        <v>VFB Essenheim</v>
      </c>
      <c r="J82" s="819"/>
      <c r="K82" s="820"/>
    </row>
    <row r="83" spans="6:11" ht="24" customHeight="1" x14ac:dyDescent="0.2">
      <c r="F83" s="835">
        <v>14</v>
      </c>
      <c r="G83" s="836"/>
      <c r="H83" s="836"/>
      <c r="I83" s="819" t="str">
        <f ca="1">$Z56</f>
        <v>SV Oberredenburg</v>
      </c>
      <c r="J83" s="819"/>
      <c r="K83" s="820"/>
    </row>
    <row r="84" spans="6:11" ht="24" customHeight="1" x14ac:dyDescent="0.2">
      <c r="F84" s="835">
        <v>15</v>
      </c>
      <c r="G84" s="836"/>
      <c r="H84" s="836"/>
      <c r="I84" s="819" t="str">
        <f ca="1">$Y55</f>
        <v>1. FC Riedwald</v>
      </c>
      <c r="J84" s="819"/>
      <c r="K84" s="820"/>
    </row>
    <row r="85" spans="6:11" ht="24" customHeight="1" x14ac:dyDescent="0.2">
      <c r="F85" s="835">
        <v>16</v>
      </c>
      <c r="G85" s="836"/>
      <c r="H85" s="836"/>
      <c r="I85" s="819" t="str">
        <f ca="1">$Z55</f>
        <v>HSV</v>
      </c>
      <c r="J85" s="819"/>
      <c r="K85" s="820"/>
    </row>
    <row r="86" spans="6:11" ht="24" customHeight="1" x14ac:dyDescent="0.2">
      <c r="F86" s="835">
        <v>17</v>
      </c>
      <c r="G86" s="836"/>
      <c r="H86" s="836"/>
      <c r="I86" s="819" t="str">
        <f ca="1">$Y53</f>
        <v/>
      </c>
      <c r="J86" s="819"/>
      <c r="K86" s="820"/>
    </row>
    <row r="87" spans="6:11" ht="24" customHeight="1" x14ac:dyDescent="0.2">
      <c r="F87" s="835">
        <v>18</v>
      </c>
      <c r="G87" s="836"/>
      <c r="H87" s="836"/>
      <c r="I87" s="819" t="str">
        <f ca="1">$Z53</f>
        <v/>
      </c>
      <c r="J87" s="819"/>
      <c r="K87" s="820"/>
    </row>
    <row r="88" spans="6:11" ht="24" customHeight="1" x14ac:dyDescent="0.2">
      <c r="F88" s="835">
        <v>19</v>
      </c>
      <c r="G88" s="836"/>
      <c r="H88" s="836"/>
      <c r="I88" s="819" t="str">
        <f ca="1">$Y52</f>
        <v/>
      </c>
      <c r="J88" s="819"/>
      <c r="K88" s="820"/>
    </row>
    <row r="89" spans="6:11" ht="24" customHeight="1" x14ac:dyDescent="0.2">
      <c r="F89" s="835">
        <v>20</v>
      </c>
      <c r="G89" s="836"/>
      <c r="H89" s="836"/>
      <c r="I89" s="819" t="str">
        <f ca="1">$Z52</f>
        <v/>
      </c>
      <c r="J89" s="819"/>
      <c r="K89" s="820"/>
    </row>
    <row r="90" spans="6:11" ht="24" customHeight="1" x14ac:dyDescent="0.2">
      <c r="F90" s="835">
        <v>21</v>
      </c>
      <c r="G90" s="836"/>
      <c r="H90" s="836"/>
      <c r="I90" s="819" t="str">
        <f ca="1">$Y50</f>
        <v/>
      </c>
      <c r="J90" s="819"/>
      <c r="K90" s="820"/>
    </row>
    <row r="91" spans="6:11" ht="24" customHeight="1" x14ac:dyDescent="0.2">
      <c r="F91" s="835">
        <v>22</v>
      </c>
      <c r="G91" s="836"/>
      <c r="H91" s="836"/>
      <c r="I91" s="819" t="str">
        <f ca="1">$Z50</f>
        <v/>
      </c>
      <c r="J91" s="819"/>
      <c r="K91" s="820"/>
    </row>
    <row r="92" spans="6:11" ht="24" customHeight="1" x14ac:dyDescent="0.2">
      <c r="F92" s="835">
        <v>23</v>
      </c>
      <c r="G92" s="836"/>
      <c r="H92" s="836"/>
      <c r="I92" s="819" t="str">
        <f ca="1">$Y49</f>
        <v/>
      </c>
      <c r="J92" s="819"/>
      <c r="K92" s="820"/>
    </row>
    <row r="93" spans="6:11" ht="24" customHeight="1" thickBot="1" x14ac:dyDescent="0.25">
      <c r="F93" s="837">
        <v>24</v>
      </c>
      <c r="G93" s="838"/>
      <c r="H93" s="838"/>
      <c r="I93" s="863" t="str">
        <f ca="1">$Z49</f>
        <v/>
      </c>
      <c r="J93" s="863"/>
      <c r="K93" s="864"/>
    </row>
    <row r="94" spans="6:11" ht="12.75" customHeight="1" thickTop="1" x14ac:dyDescent="0.2"/>
    <row r="95" spans="6:11" ht="12.75" customHeight="1" x14ac:dyDescent="0.2"/>
    <row r="96" spans="6:11" ht="12.75" customHeight="1" x14ac:dyDescent="0.2"/>
  </sheetData>
  <sheetProtection sheet="1" selectLockedCells="1"/>
  <mergeCells count="101">
    <mergeCell ref="T41:U41"/>
    <mergeCell ref="T54:U54"/>
    <mergeCell ref="T61:U61"/>
    <mergeCell ref="F89:H89"/>
    <mergeCell ref="I89:K89"/>
    <mergeCell ref="F90:H90"/>
    <mergeCell ref="I90:K90"/>
    <mergeCell ref="F91:H91"/>
    <mergeCell ref="I91:K91"/>
    <mergeCell ref="F86:H86"/>
    <mergeCell ref="I86:K86"/>
    <mergeCell ref="F87:H87"/>
    <mergeCell ref="I87:K87"/>
    <mergeCell ref="F88:H88"/>
    <mergeCell ref="I88:K88"/>
    <mergeCell ref="F83:H83"/>
    <mergeCell ref="I83:K83"/>
    <mergeCell ref="F84:H84"/>
    <mergeCell ref="I84:K84"/>
    <mergeCell ref="F85:H85"/>
    <mergeCell ref="I85:K85"/>
    <mergeCell ref="I79:K79"/>
    <mergeCell ref="F80:H80"/>
    <mergeCell ref="I80:K80"/>
    <mergeCell ref="F81:H81"/>
    <mergeCell ref="I81:K81"/>
    <mergeCell ref="F82:H82"/>
    <mergeCell ref="I82:K82"/>
    <mergeCell ref="I48:K48"/>
    <mergeCell ref="L48:N48"/>
    <mergeCell ref="O48:Q48"/>
    <mergeCell ref="F92:H92"/>
    <mergeCell ref="I92:K92"/>
    <mergeCell ref="C57:I57"/>
    <mergeCell ref="C54:I54"/>
    <mergeCell ref="C51:I51"/>
    <mergeCell ref="F52:H52"/>
    <mergeCell ref="F53:H53"/>
    <mergeCell ref="F64:H64"/>
    <mergeCell ref="F65:H65"/>
    <mergeCell ref="F69:H69"/>
    <mergeCell ref="F55:H55"/>
    <mergeCell ref="F56:H56"/>
    <mergeCell ref="F93:H93"/>
    <mergeCell ref="I93:K93"/>
    <mergeCell ref="F78:H78"/>
    <mergeCell ref="I78:K78"/>
    <mergeCell ref="F79:H79"/>
    <mergeCell ref="T11:U11"/>
    <mergeCell ref="T18:U18"/>
    <mergeCell ref="F28:H28"/>
    <mergeCell ref="I28:K28"/>
    <mergeCell ref="L28:N28"/>
    <mergeCell ref="O28:Q28"/>
    <mergeCell ref="T34:U34"/>
    <mergeCell ref="C11:I11"/>
    <mergeCell ref="C17:I17"/>
    <mergeCell ref="C27:I27"/>
    <mergeCell ref="C31:I31"/>
    <mergeCell ref="C34:I34"/>
    <mergeCell ref="C37:I37"/>
    <mergeCell ref="F58:H58"/>
    <mergeCell ref="F59:H59"/>
    <mergeCell ref="F61:H61"/>
    <mergeCell ref="F62:H62"/>
    <mergeCell ref="C22:I22"/>
    <mergeCell ref="C60:I60"/>
    <mergeCell ref="C47:I47"/>
    <mergeCell ref="C43:I43"/>
    <mergeCell ref="C40:I40"/>
    <mergeCell ref="F48:H48"/>
    <mergeCell ref="F76:H76"/>
    <mergeCell ref="I76:K76"/>
    <mergeCell ref="F77:H77"/>
    <mergeCell ref="I77:K77"/>
    <mergeCell ref="C63:I63"/>
    <mergeCell ref="F73:H73"/>
    <mergeCell ref="I73:K73"/>
    <mergeCell ref="F74:H74"/>
    <mergeCell ref="I74:K74"/>
    <mergeCell ref="F75:H75"/>
    <mergeCell ref="I75:K75"/>
    <mergeCell ref="I69:K69"/>
    <mergeCell ref="F70:H70"/>
    <mergeCell ref="I70:K70"/>
    <mergeCell ref="F71:H71"/>
    <mergeCell ref="I71:K71"/>
    <mergeCell ref="F72:H72"/>
    <mergeCell ref="I72:K72"/>
    <mergeCell ref="F49:H49"/>
    <mergeCell ref="F50:H50"/>
    <mergeCell ref="O12:Q12"/>
    <mergeCell ref="H2:U2"/>
    <mergeCell ref="H3:U3"/>
    <mergeCell ref="H4:U4"/>
    <mergeCell ref="H5:U5"/>
    <mergeCell ref="J7:R8"/>
    <mergeCell ref="R10:R12"/>
    <mergeCell ref="F12:H12"/>
    <mergeCell ref="I12:K12"/>
    <mergeCell ref="L12:N12"/>
  </mergeCells>
  <conditionalFormatting sqref="C13:Q16 C18:Q21 C23:Q26 L29:Q30 L32:Q33 L35:Q36 L38:Q39 L41:Q42 L44:Q45 L49:Q50 L52:Q53 L55:Q56 L58:Q59 L61:Q62 L64:Q65">
    <cfRule type="expression" dxfId="12" priority="27">
      <formula>OR($I13="",$K13="")</formula>
    </cfRule>
  </conditionalFormatting>
  <conditionalFormatting sqref="O13:Q16 O18:Q21 O23:Q26 O29:Q30 O32:Q33 O35:Q36 O38:Q39 O41:Q42 O44:Q45 O49:Q50 O52:Q53 O55:Q56 O58:Q59 O61:Q62 O64:Q65">
    <cfRule type="expression" dxfId="11" priority="25">
      <formula>AND($AA13,$O13&lt;&gt;"",$Q13&lt;&gt;"",$O13=$Q13)</formula>
    </cfRule>
    <cfRule type="expression" dxfId="10" priority="26">
      <formula>NOT($AA13)</formula>
    </cfRule>
  </conditionalFormatting>
  <conditionalFormatting sqref="C13:Q16 C29:Q30 C32:Q33 C49:Q50 C52:Q53">
    <cfRule type="expression" dxfId="9" priority="1">
      <formula>NOT($Y$11)</formula>
    </cfRule>
  </conditionalFormatting>
  <pageMargins left="0.7" right="0.7" top="0.78740157499999996" bottom="0.78740157499999996" header="0.3" footer="0.3"/>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2631D-B376-496B-84F7-6B47FD7E1341}">
  <dimension ref="A1:AE34"/>
  <sheetViews>
    <sheetView showGridLines="0" showRowColHeaders="0" workbookViewId="0">
      <selection activeCell="L12" sqref="L12"/>
    </sheetView>
  </sheetViews>
  <sheetFormatPr baseColWidth="10" defaultColWidth="0" defaultRowHeight="12.75" customHeight="1" zeroHeight="1" x14ac:dyDescent="0.2"/>
  <cols>
    <col min="1" max="1" width="10.42578125" style="49" customWidth="1"/>
    <col min="2" max="3" width="5.28515625" style="49" customWidth="1"/>
    <col min="4" max="4" width="11.42578125" style="49" customWidth="1"/>
    <col min="5" max="5" width="9.140625" style="49" customWidth="1"/>
    <col min="6" max="6" width="5.7109375" style="49" customWidth="1"/>
    <col min="7" max="7" width="2"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12.28515625" customWidth="1"/>
    <col min="24" max="24" width="7.85546875" hidden="1" customWidth="1"/>
    <col min="25" max="25" width="15.28515625" hidden="1" customWidth="1"/>
    <col min="26" max="26" width="17" hidden="1" customWidth="1"/>
    <col min="27" max="27" width="8.5703125" hidden="1" customWidth="1"/>
    <col min="28" max="31" width="6.7109375" hidden="1" customWidth="1"/>
    <col min="32" max="16384" width="11.42578125" hidden="1"/>
  </cols>
  <sheetData>
    <row r="1" spans="1:27" ht="13.5" thickBot="1" x14ac:dyDescent="0.25"/>
    <row r="2" spans="1:27" ht="36.75" thickTop="1" x14ac:dyDescent="0.2">
      <c r="H2" s="839" t="str">
        <f>Vorrunde!$G$2</f>
        <v>Internationales U10-Turnier am 12.04.2025</v>
      </c>
      <c r="I2" s="840"/>
      <c r="J2" s="840"/>
      <c r="K2" s="840"/>
      <c r="L2" s="840"/>
      <c r="M2" s="840"/>
      <c r="N2" s="840"/>
      <c r="O2" s="840"/>
      <c r="P2" s="840"/>
      <c r="Q2" s="840"/>
      <c r="R2" s="840"/>
      <c r="S2" s="840"/>
      <c r="T2" s="840"/>
      <c r="U2" s="841"/>
    </row>
    <row r="3" spans="1:27" ht="30" customHeight="1" x14ac:dyDescent="0.2">
      <c r="H3" s="842" t="str">
        <f>Vorrunde!$G$3</f>
        <v>Veranstalter:  1. FC Riedwald</v>
      </c>
      <c r="I3" s="843"/>
      <c r="J3" s="843"/>
      <c r="K3" s="843"/>
      <c r="L3" s="843"/>
      <c r="M3" s="843"/>
      <c r="N3" s="843"/>
      <c r="O3" s="843"/>
      <c r="P3" s="843"/>
      <c r="Q3" s="843"/>
      <c r="R3" s="843"/>
      <c r="S3" s="843"/>
      <c r="T3" s="843"/>
      <c r="U3" s="844"/>
    </row>
    <row r="4" spans="1:27" ht="30" customHeight="1" x14ac:dyDescent="0.2">
      <c r="H4" s="845" t="str">
        <f>Vorrunde!$G$4</f>
        <v>Sporthalle Wiesengrund, Wendiger Str. 51, 65432 Riedwald</v>
      </c>
      <c r="I4" s="846"/>
      <c r="J4" s="846"/>
      <c r="K4" s="846"/>
      <c r="L4" s="846"/>
      <c r="M4" s="846"/>
      <c r="N4" s="846"/>
      <c r="O4" s="846"/>
      <c r="P4" s="846"/>
      <c r="Q4" s="846"/>
      <c r="R4" s="846"/>
      <c r="S4" s="846"/>
      <c r="T4" s="846"/>
      <c r="U4" s="847"/>
    </row>
    <row r="5" spans="1:27" ht="30" customHeight="1" thickBot="1" x14ac:dyDescent="0.25">
      <c r="H5" s="848" t="str">
        <f>Vorrunde!$G$5</f>
        <v>Beginn:  9:00 Uhr</v>
      </c>
      <c r="I5" s="849"/>
      <c r="J5" s="849"/>
      <c r="K5" s="849"/>
      <c r="L5" s="849"/>
      <c r="M5" s="849"/>
      <c r="N5" s="849"/>
      <c r="O5" s="849"/>
      <c r="P5" s="849"/>
      <c r="Q5" s="849"/>
      <c r="R5" s="849"/>
      <c r="S5" s="849"/>
      <c r="T5" s="849"/>
      <c r="U5" s="850"/>
    </row>
    <row r="6" spans="1:27" ht="18" customHeight="1" thickTop="1" thickBot="1" x14ac:dyDescent="0.25"/>
    <row r="7" spans="1:27" ht="30" customHeight="1" thickTop="1" x14ac:dyDescent="0.9">
      <c r="J7" s="877" t="str">
        <f>Sprache!$E$19</f>
        <v>Endrunde</v>
      </c>
      <c r="K7" s="878"/>
      <c r="L7" s="878"/>
      <c r="M7" s="878"/>
      <c r="N7" s="878"/>
      <c r="O7" s="878"/>
      <c r="P7" s="878"/>
      <c r="Q7" s="878"/>
      <c r="R7" s="878"/>
      <c r="S7" s="591"/>
    </row>
    <row r="8" spans="1:27" ht="30" customHeight="1" thickBot="1" x14ac:dyDescent="0.95">
      <c r="J8" s="879"/>
      <c r="K8" s="880"/>
      <c r="L8" s="880"/>
      <c r="M8" s="880"/>
      <c r="N8" s="880"/>
      <c r="O8" s="880"/>
      <c r="P8" s="880"/>
      <c r="Q8" s="880"/>
      <c r="R8" s="880"/>
      <c r="S8" s="591"/>
    </row>
    <row r="9" spans="1:27" ht="12.6" customHeight="1" thickTop="1" x14ac:dyDescent="0.2">
      <c r="R9" s="775" t="str">
        <f>Sprache!$E$20</f>
        <v>Zusätzl. Pause (min)</v>
      </c>
    </row>
    <row r="10" spans="1:27" ht="27.95" customHeight="1" thickBot="1" x14ac:dyDescent="0.35">
      <c r="C10" s="875" t="str">
        <f>Sprache!$E$53</f>
        <v>Halbfinale</v>
      </c>
      <c r="D10" s="875"/>
      <c r="E10" s="875"/>
      <c r="F10" s="875"/>
      <c r="G10" s="875"/>
      <c r="H10" s="875"/>
      <c r="R10" s="775"/>
    </row>
    <row r="11" spans="1:27" ht="24" customHeight="1" thickTop="1" thickBot="1" x14ac:dyDescent="0.45">
      <c r="B11" s="343"/>
      <c r="C11" s="576" t="str">
        <f>Sprache!$E$9</f>
        <v>Nr.</v>
      </c>
      <c r="D11" s="577" t="str">
        <f>Sprache!$E$39</f>
        <v>Beginn:</v>
      </c>
      <c r="E11" s="578" t="str">
        <f>Sprache!$E$48</f>
        <v>Feld</v>
      </c>
      <c r="F11" s="888"/>
      <c r="G11" s="889"/>
      <c r="H11" s="890"/>
      <c r="I11" s="891" t="str">
        <f>Sprache!$E$14</f>
        <v>Spielpaarung</v>
      </c>
      <c r="J11" s="891"/>
      <c r="K11" s="891"/>
      <c r="L11" s="891" t="str">
        <f>Sprache!$E$15</f>
        <v>Ergebnis</v>
      </c>
      <c r="M11" s="891"/>
      <c r="N11" s="891"/>
      <c r="O11" s="891" t="str">
        <f>Sprache!$E$101</f>
        <v>Elfmeter</v>
      </c>
      <c r="P11" s="891"/>
      <c r="Q11" s="892"/>
      <c r="R11" s="887"/>
      <c r="T11" s="796" t="str">
        <f>Sprache!$E$59</f>
        <v>Gruppenerste</v>
      </c>
      <c r="U11" s="796"/>
      <c r="X11" s="660" t="s">
        <v>16</v>
      </c>
      <c r="Y11" s="661" t="s">
        <v>396</v>
      </c>
      <c r="Z11" s="661" t="s">
        <v>398</v>
      </c>
      <c r="AA11" s="660" t="s">
        <v>397</v>
      </c>
    </row>
    <row r="12" spans="1:27" ht="24" customHeight="1" thickTop="1" x14ac:dyDescent="0.2">
      <c r="A12" s="328"/>
      <c r="B12" s="579"/>
      <c r="C12" s="384">
        <f t="array" aca="1" ref="C12" ca="1">61-SUM(((Planung!$L$6:$L$65="")+(Planung!$N$6:$N$65="")&gt;0)*1)</f>
        <v>41</v>
      </c>
      <c r="D12" s="385">
        <f ca="1">IF(Planung!$U$15,"",Planung!$R$13+(Planung!$R$9+Planung!$P$65)/1440)</f>
        <v>0.61805555555555558</v>
      </c>
      <c r="E12" s="354">
        <f>IF(Planung!$U$15,"",1)</f>
        <v>1</v>
      </c>
      <c r="F12" s="487" t="s">
        <v>292</v>
      </c>
      <c r="G12" s="573" t="s">
        <v>5</v>
      </c>
      <c r="H12" s="489" t="s">
        <v>294</v>
      </c>
      <c r="I12" s="355" t="str">
        <f ca="1">VLOOKUP($F12,$T$11:$U$17,2,0)</f>
        <v>FC Barcelona</v>
      </c>
      <c r="J12" s="356" t="s">
        <v>5</v>
      </c>
      <c r="K12" s="357" t="str">
        <f ca="1">VLOOKUP($H12,$T$11:$U$17,2,0)</f>
        <v>Borussia Dortmund</v>
      </c>
      <c r="L12" s="358">
        <v>2</v>
      </c>
      <c r="M12" s="359" t="str">
        <f>Sprache!$E$111</f>
        <v>:</v>
      </c>
      <c r="N12" s="668">
        <v>1</v>
      </c>
      <c r="O12" s="358"/>
      <c r="P12" s="359" t="str">
        <f>Sprache!$E$111</f>
        <v>:</v>
      </c>
      <c r="Q12" s="360"/>
      <c r="R12" s="340"/>
      <c r="S12" s="328"/>
      <c r="T12" s="441"/>
      <c r="U12" s="471" t="str">
        <f>Sprache!$E$10</f>
        <v>Teilnehmer bzw. Mannschaft</v>
      </c>
      <c r="X12" s="328" t="b">
        <f t="shared" ref="X12:X16" ca="1" si="0">AND($I12&lt;&gt;"",$K12&lt;&gt;"",$L12&lt;&gt;"",$N12&lt;&gt;"")</f>
        <v>1</v>
      </c>
      <c r="Y12" s="328" t="str">
        <f t="shared" ref="Y12:Y16" ca="1" si="1">IF(NOT(X12),"",IF($L12&gt;$N12,$I12,IF($L12&lt;$N12,$K12,IF(OR($O12="",$Q12="",$O12=$Q12),"",IF($O12&gt;$Q12,$I12,$K12)))))</f>
        <v>FC Barcelona</v>
      </c>
      <c r="Z12" s="328" t="str">
        <f t="shared" ref="Z12" ca="1" si="2">IF(NOT(X12),"",IF($L12&lt;$N12,$I12,IF($L12&gt;$N12,$K12,IF(OR($O12="",$Q12="",$O12=$Q12),"",IF($O12&lt;$Q12,$I12,$K12)))))</f>
        <v>Borussia Dortmund</v>
      </c>
      <c r="AA12" s="328" t="b">
        <f t="shared" ref="AA12" ca="1" si="3">AND(X12,$L12=$N12)</f>
        <v>0</v>
      </c>
    </row>
    <row r="13" spans="1:27" ht="24" customHeight="1" thickBot="1" x14ac:dyDescent="0.25">
      <c r="A13" s="328"/>
      <c r="B13" s="579"/>
      <c r="C13" s="380">
        <f ca="1">$C$12+1</f>
        <v>42</v>
      </c>
      <c r="D13" s="383">
        <f ca="1">IF(Planung!$U$15,"",$D$12+($R$12+(Planung!$R$9+Planung!$R$7)*($E$12=$E$13))/1440)</f>
        <v>0.61805555555555558</v>
      </c>
      <c r="E13" s="361">
        <f>IF(Planung!$U$15,"",1+(Planung!$R$11&gt;1)*1)</f>
        <v>2</v>
      </c>
      <c r="F13" s="419" t="s">
        <v>293</v>
      </c>
      <c r="G13" s="574" t="s">
        <v>5</v>
      </c>
      <c r="H13" s="421" t="s">
        <v>348</v>
      </c>
      <c r="I13" s="334" t="str">
        <f ca="1">VLOOKUP($F13,$T$11:$U$17,2,0)</f>
        <v>Manchester City</v>
      </c>
      <c r="J13" s="156" t="s">
        <v>5</v>
      </c>
      <c r="K13" s="335" t="str">
        <f ca="1">VLOOKUP($H13,$T$11:$U$17,2,0)</f>
        <v>Paris St. Germain</v>
      </c>
      <c r="L13" s="338">
        <v>1</v>
      </c>
      <c r="M13" s="362" t="str">
        <f>Sprache!$E$111</f>
        <v>:</v>
      </c>
      <c r="N13" s="664">
        <v>2</v>
      </c>
      <c r="O13" s="338"/>
      <c r="P13" s="362" t="str">
        <f>Sprache!$E$111</f>
        <v>:</v>
      </c>
      <c r="Q13" s="333"/>
      <c r="R13" s="363"/>
      <c r="S13" s="328"/>
      <c r="T13" s="572" t="s">
        <v>292</v>
      </c>
      <c r="U13" s="472" t="str">
        <f ca="1">IF(Vorrunde!$N$12="","",Vorrunde!$N$12)</f>
        <v>FC Barcelona</v>
      </c>
      <c r="X13" s="328" t="b">
        <f t="shared" ca="1" si="0"/>
        <v>1</v>
      </c>
      <c r="Y13" s="328" t="str">
        <f t="shared" ca="1" si="1"/>
        <v>Paris St. Germain</v>
      </c>
      <c r="Z13" s="328" t="str">
        <f t="shared" ref="Z13:Z16" ca="1" si="4">IF(NOT(X13),"",IF($L13&lt;$N13,$I13,IF($L13&gt;$N13,$K13,IF(OR($O13="",$Q13="",$O13=$Q13),"",IF($O13&lt;$Q13,$I13,$K13)))))</f>
        <v>Manchester City</v>
      </c>
      <c r="AA13" s="328" t="b">
        <f t="shared" ref="AA13:AA16" ca="1" si="5">AND(X13,$L13=$N13)</f>
        <v>0</v>
      </c>
    </row>
    <row r="14" spans="1:27" ht="24" customHeight="1" thickTop="1" thickBot="1" x14ac:dyDescent="0.35">
      <c r="A14" s="328"/>
      <c r="B14" s="579"/>
      <c r="C14" s="580" t="str">
        <f>Sprache!$E$54</f>
        <v>Endspiele</v>
      </c>
      <c r="D14" s="580"/>
      <c r="E14" s="580"/>
      <c r="F14" s="580"/>
      <c r="G14" s="580"/>
      <c r="H14" s="580"/>
      <c r="I14" s="537"/>
      <c r="J14" s="122"/>
      <c r="K14" s="537"/>
      <c r="L14" s="351"/>
      <c r="M14" s="351"/>
      <c r="N14" s="351"/>
      <c r="O14" s="351"/>
      <c r="P14" s="351"/>
      <c r="Q14" s="351"/>
      <c r="R14" s="353"/>
      <c r="S14" s="328"/>
      <c r="T14" s="440" t="s">
        <v>293</v>
      </c>
      <c r="U14" s="473" t="str">
        <f ca="1">IF(Vorrunde!$N$22="","",Vorrunde!$N$22)</f>
        <v>Manchester City</v>
      </c>
      <c r="X14" s="328"/>
      <c r="Y14" s="328"/>
      <c r="Z14" s="328"/>
      <c r="AA14" s="328"/>
    </row>
    <row r="15" spans="1:27" ht="24" customHeight="1" thickTop="1" x14ac:dyDescent="0.2">
      <c r="A15" s="328"/>
      <c r="B15" s="579"/>
      <c r="C15" s="384">
        <f ca="1">$C$12+2</f>
        <v>43</v>
      </c>
      <c r="D15" s="385">
        <f ca="1">IF(Planung!$U$15,"",$D$13+($R$13+Planung!$R$9+Planung!$R$7)/1440)</f>
        <v>0.64236111111111116</v>
      </c>
      <c r="E15" s="354">
        <f>IF(Planung!$U$15,"",1)</f>
        <v>1</v>
      </c>
      <c r="F15" s="869" t="str">
        <f>Sprache!$E$120</f>
        <v>3. Platz</v>
      </c>
      <c r="G15" s="870"/>
      <c r="H15" s="871"/>
      <c r="I15" s="355" t="str">
        <f ca="1">$Z12</f>
        <v>Borussia Dortmund</v>
      </c>
      <c r="J15" s="356" t="s">
        <v>5</v>
      </c>
      <c r="K15" s="357" t="str">
        <f ca="1">$Z13</f>
        <v>Manchester City</v>
      </c>
      <c r="L15" s="358">
        <v>1</v>
      </c>
      <c r="M15" s="359" t="str">
        <f>Sprache!$E$111</f>
        <v>:</v>
      </c>
      <c r="N15" s="668">
        <v>1</v>
      </c>
      <c r="O15" s="358">
        <v>4</v>
      </c>
      <c r="P15" s="359" t="str">
        <f>Sprache!$E$111</f>
        <v>:</v>
      </c>
      <c r="Q15" s="360">
        <v>3</v>
      </c>
      <c r="R15" s="340"/>
      <c r="S15" s="328"/>
      <c r="T15" s="571" t="s">
        <v>294</v>
      </c>
      <c r="U15" s="473" t="str">
        <f ca="1">IF(Vorrunde!$N$32="","",Vorrunde!$N$32)</f>
        <v>Borussia Dortmund</v>
      </c>
      <c r="X15" s="328" t="b">
        <f t="shared" ca="1" si="0"/>
        <v>1</v>
      </c>
      <c r="Y15" s="328" t="str">
        <f t="shared" ca="1" si="1"/>
        <v>Borussia Dortmund</v>
      </c>
      <c r="Z15" s="328" t="str">
        <f t="shared" ca="1" si="4"/>
        <v>Manchester City</v>
      </c>
      <c r="AA15" s="328" t="b">
        <f t="shared" ca="1" si="5"/>
        <v>1</v>
      </c>
    </row>
    <row r="16" spans="1:27" ht="27.95" customHeight="1" thickBot="1" x14ac:dyDescent="0.25">
      <c r="A16" s="328"/>
      <c r="B16" s="377"/>
      <c r="C16" s="380">
        <f ca="1">$C$12+3</f>
        <v>44</v>
      </c>
      <c r="D16" s="383">
        <f ca="1">IF(Planung!$U$15,"",$D$15+($R$15+Planung!$R$9+Planung!$R$7)/1440)</f>
        <v>0.66666666666666674</v>
      </c>
      <c r="E16" s="361">
        <f>IF(Planung!$U$15,"",1)</f>
        <v>1</v>
      </c>
      <c r="F16" s="872" t="str">
        <f>Sprache!$E$121</f>
        <v>Finale</v>
      </c>
      <c r="G16" s="873"/>
      <c r="H16" s="874"/>
      <c r="I16" s="334" t="str">
        <f ca="1">$Y12</f>
        <v>FC Barcelona</v>
      </c>
      <c r="J16" s="156" t="s">
        <v>5</v>
      </c>
      <c r="K16" s="335" t="str">
        <f ca="1">$Y13</f>
        <v>Paris St. Germain</v>
      </c>
      <c r="L16" s="338">
        <v>2</v>
      </c>
      <c r="M16" s="362" t="str">
        <f>Sprache!$E$111</f>
        <v>:</v>
      </c>
      <c r="N16" s="664">
        <v>3</v>
      </c>
      <c r="O16" s="338"/>
      <c r="P16" s="362" t="str">
        <f>Sprache!$E$111</f>
        <v>:</v>
      </c>
      <c r="Q16" s="333"/>
      <c r="R16" s="350"/>
      <c r="S16" s="328"/>
      <c r="T16" s="405" t="s">
        <v>348</v>
      </c>
      <c r="U16" s="474" t="str">
        <f ca="1">IF(Vorrunde!$N$42="","",Vorrunde!$N$42)</f>
        <v>Paris St. Germain</v>
      </c>
      <c r="X16" s="328" t="b">
        <f t="shared" ca="1" si="0"/>
        <v>1</v>
      </c>
      <c r="Y16" s="328" t="str">
        <f t="shared" ca="1" si="1"/>
        <v>Paris St. Germain</v>
      </c>
      <c r="Z16" s="328" t="str">
        <f t="shared" ca="1" si="4"/>
        <v>FC Barcelona</v>
      </c>
      <c r="AA16" s="328" t="b">
        <f t="shared" ca="1" si="5"/>
        <v>0</v>
      </c>
    </row>
    <row r="17" spans="1:31" ht="24" customHeight="1" thickTop="1" x14ac:dyDescent="0.2">
      <c r="A17" s="328"/>
      <c r="B17" s="377"/>
      <c r="C17" s="582"/>
      <c r="S17" s="328"/>
      <c r="T17" s="49"/>
      <c r="U17" s="49"/>
      <c r="Y17" s="575"/>
      <c r="Z17" s="581"/>
      <c r="AA17" s="581"/>
      <c r="AB17" s="581"/>
      <c r="AC17" s="581"/>
      <c r="AD17" s="581"/>
      <c r="AE17" s="581"/>
    </row>
    <row r="18" spans="1:31" ht="24" customHeight="1" x14ac:dyDescent="0.2">
      <c r="A18" s="328"/>
      <c r="B18" s="377"/>
      <c r="C18" s="346"/>
      <c r="D18" s="346"/>
      <c r="E18" s="346"/>
      <c r="F18" s="346"/>
      <c r="G18" s="346"/>
      <c r="H18" s="346"/>
      <c r="I18" s="347" t="str">
        <f>Sprache!$E$29</f>
        <v>Turnierende:</v>
      </c>
      <c r="J18" s="346"/>
      <c r="K18" s="348">
        <f ca="1">IF(Planung!$R$13="","",$D$16+Planung!$R$7/1440)</f>
        <v>0.68750000000000011</v>
      </c>
      <c r="L18" s="349"/>
      <c r="M18" s="349"/>
      <c r="N18" s="349"/>
      <c r="O18" s="349"/>
      <c r="P18" s="349"/>
      <c r="Q18" s="349"/>
      <c r="R18" s="349"/>
      <c r="S18" s="328"/>
      <c r="Y18" s="575"/>
      <c r="Z18" s="581"/>
      <c r="AA18" s="581"/>
      <c r="AB18" s="581"/>
      <c r="AC18" s="581"/>
      <c r="AD18" s="581"/>
      <c r="AE18" s="581"/>
    </row>
    <row r="19" spans="1:31" ht="27.95" customHeight="1" thickBot="1" x14ac:dyDescent="0.25">
      <c r="A19" s="328"/>
      <c r="B19" s="377"/>
      <c r="C19" s="583"/>
      <c r="D19" s="344"/>
      <c r="S19" s="328"/>
      <c r="Y19" s="575"/>
      <c r="Z19" s="581"/>
      <c r="AA19" s="581"/>
      <c r="AB19" s="581"/>
      <c r="AC19" s="581"/>
      <c r="AD19" s="581"/>
      <c r="AE19" s="581"/>
    </row>
    <row r="20" spans="1:31" ht="24" customHeight="1" thickBot="1" x14ac:dyDescent="0.25">
      <c r="A20" s="328"/>
      <c r="B20" s="377"/>
      <c r="C20" s="583"/>
      <c r="F20" s="827" t="str">
        <f>Sprache!$E$119</f>
        <v>Rang</v>
      </c>
      <c r="G20" s="828"/>
      <c r="H20" s="828"/>
      <c r="I20" s="867" t="str">
        <f>"  "&amp;Sprache!$E$10</f>
        <v xml:space="preserve">  Teilnehmer bzw. Mannschaft</v>
      </c>
      <c r="J20" s="867"/>
      <c r="K20" s="868"/>
      <c r="S20" s="328"/>
      <c r="Y20" s="575"/>
      <c r="Z20" s="581"/>
      <c r="AA20" s="581"/>
      <c r="AB20" s="581"/>
      <c r="AC20" s="581"/>
      <c r="AD20" s="581"/>
      <c r="AE20" s="581"/>
    </row>
    <row r="21" spans="1:31" ht="24" customHeight="1" thickTop="1" x14ac:dyDescent="0.2">
      <c r="A21" s="328"/>
      <c r="B21" s="377"/>
      <c r="C21" s="583"/>
      <c r="E21" s="345">
        <v>1</v>
      </c>
      <c r="F21" s="829">
        <v>1</v>
      </c>
      <c r="G21" s="830"/>
      <c r="H21" s="830"/>
      <c r="I21" s="853" t="str">
        <f ca="1">$Y16</f>
        <v>Paris St. Germain</v>
      </c>
      <c r="J21" s="853"/>
      <c r="K21" s="854"/>
      <c r="S21" s="328"/>
    </row>
    <row r="22" spans="1:31" ht="24" customHeight="1" x14ac:dyDescent="0.2">
      <c r="E22" s="345">
        <v>2</v>
      </c>
      <c r="F22" s="831">
        <v>2</v>
      </c>
      <c r="G22" s="832"/>
      <c r="H22" s="832"/>
      <c r="I22" s="855" t="str">
        <f ca="1">$Z16</f>
        <v>FC Barcelona</v>
      </c>
      <c r="J22" s="855"/>
      <c r="K22" s="856"/>
    </row>
    <row r="23" spans="1:31" ht="24" customHeight="1" x14ac:dyDescent="0.2">
      <c r="E23" s="345">
        <v>3</v>
      </c>
      <c r="F23" s="833">
        <v>3</v>
      </c>
      <c r="G23" s="834"/>
      <c r="H23" s="834"/>
      <c r="I23" s="857" t="str">
        <f ca="1">$Y15</f>
        <v>Borussia Dortmund</v>
      </c>
      <c r="J23" s="857"/>
      <c r="K23" s="858"/>
    </row>
    <row r="24" spans="1:31" ht="24" customHeight="1" thickBot="1" x14ac:dyDescent="0.25">
      <c r="E24" s="345">
        <v>4</v>
      </c>
      <c r="F24" s="837">
        <v>4</v>
      </c>
      <c r="G24" s="838"/>
      <c r="H24" s="838"/>
      <c r="I24" s="863" t="str">
        <f ca="1">$Z15</f>
        <v>Manchester City</v>
      </c>
      <c r="J24" s="863"/>
      <c r="K24" s="864"/>
    </row>
    <row r="25" spans="1:31" ht="24" customHeight="1" thickTop="1" x14ac:dyDescent="0.2"/>
    <row r="26" spans="1:31" ht="24" customHeight="1" x14ac:dyDescent="0.2"/>
    <row r="27" spans="1:31" ht="24" customHeight="1" x14ac:dyDescent="0.2"/>
    <row r="28" spans="1:31" ht="24" customHeight="1" x14ac:dyDescent="0.2"/>
    <row r="29" spans="1:31" ht="24" customHeight="1" x14ac:dyDescent="0.2"/>
    <row r="30" spans="1:31" x14ac:dyDescent="0.2"/>
    <row r="31" spans="1:31" x14ac:dyDescent="0.2"/>
    <row r="32" spans="1:31" x14ac:dyDescent="0.2"/>
    <row r="33" x14ac:dyDescent="0.2"/>
    <row r="34" x14ac:dyDescent="0.2"/>
  </sheetData>
  <sheetProtection sheet="1" selectLockedCells="1"/>
  <mergeCells count="24">
    <mergeCell ref="F24:H24"/>
    <mergeCell ref="I24:K24"/>
    <mergeCell ref="C10:H10"/>
    <mergeCell ref="J7:R8"/>
    <mergeCell ref="F21:H21"/>
    <mergeCell ref="I21:K21"/>
    <mergeCell ref="F22:H22"/>
    <mergeCell ref="I22:K22"/>
    <mergeCell ref="F23:H23"/>
    <mergeCell ref="I23:K23"/>
    <mergeCell ref="F20:H20"/>
    <mergeCell ref="I20:K20"/>
    <mergeCell ref="O11:Q11"/>
    <mergeCell ref="F15:H15"/>
    <mergeCell ref="F16:H16"/>
    <mergeCell ref="T11:U11"/>
    <mergeCell ref="H2:U2"/>
    <mergeCell ref="H3:U3"/>
    <mergeCell ref="H4:U4"/>
    <mergeCell ref="H5:U5"/>
    <mergeCell ref="R9:R11"/>
    <mergeCell ref="F11:H11"/>
    <mergeCell ref="I11:K11"/>
    <mergeCell ref="L11:N11"/>
  </mergeCells>
  <conditionalFormatting sqref="O12:Q13 O15:Q16">
    <cfRule type="expression" dxfId="8" priority="1">
      <formula>NOT($AA12)</formula>
    </cfRule>
    <cfRule type="expression" dxfId="7" priority="2">
      <formula>AND($AA12,$O12&lt;&gt;"",$Q12&lt;&gt;"",$O12=$Q12)</formula>
    </cfRule>
  </conditionalFormatting>
  <pageMargins left="0.7" right="0.7" top="0.78740157499999996" bottom="0.78740157499999996" header="0.3" footer="0.3"/>
  <pageSetup paperSize="9"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691BA-CE77-4D98-AEB7-50787017C89A}">
  <dimension ref="A1:AG78"/>
  <sheetViews>
    <sheetView showGridLines="0" showRowColHeaders="0" zoomScaleNormal="100" workbookViewId="0">
      <selection activeCell="L12" sqref="L12"/>
    </sheetView>
  </sheetViews>
  <sheetFormatPr baseColWidth="10" defaultColWidth="0" defaultRowHeight="12.75" customHeight="1" zeroHeight="1" x14ac:dyDescent="0.2"/>
  <cols>
    <col min="1" max="1" width="3.5703125" style="49" customWidth="1"/>
    <col min="2" max="2" width="1.42578125" style="49" customWidth="1"/>
    <col min="3" max="3" width="9.28515625" style="49" customWidth="1"/>
    <col min="4" max="4" width="10.42578125" style="49" customWidth="1"/>
    <col min="5" max="5" width="6.42578125" style="49" customWidth="1"/>
    <col min="6" max="6" width="8.140625" style="49" customWidth="1"/>
    <col min="7" max="7" width="2" style="49" customWidth="1"/>
    <col min="8" max="8" width="8.1406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4" width="4.7109375" style="49" customWidth="1"/>
    <col min="15" max="15" width="8.140625" style="49" customWidth="1"/>
    <col min="16" max="16" width="7" style="49" customWidth="1"/>
    <col min="17" max="17" width="4.28515625" style="49" customWidth="1"/>
    <col min="18" max="18" width="30.7109375" style="49" customWidth="1"/>
    <col min="19" max="22" width="5.7109375" style="49" customWidth="1"/>
    <col min="23" max="23" width="6.7109375" style="49" customWidth="1"/>
    <col min="24" max="24" width="2.140625" style="49" customWidth="1"/>
    <col min="25" max="27" width="6.7109375" style="49" customWidth="1"/>
    <col min="28" max="28" width="3" style="49" customWidth="1"/>
    <col min="29" max="29" width="1.28515625" style="49" customWidth="1"/>
    <col min="30" max="30" width="7" style="49" customWidth="1"/>
    <col min="31" max="31" width="30.7109375" style="49" customWidth="1"/>
    <col min="32" max="32" width="8.7109375" style="49" customWidth="1"/>
    <col min="33" max="33" width="3.5703125" style="49" customWidth="1"/>
    <col min="34" max="16384" width="11.42578125" style="49" hidden="1"/>
  </cols>
  <sheetData>
    <row r="1" spans="2:33" ht="13.5" thickBot="1" x14ac:dyDescent="0.25"/>
    <row r="2" spans="2:33" ht="36" customHeight="1" thickTop="1" x14ac:dyDescent="0.2">
      <c r="G2" s="543"/>
      <c r="H2" s="625"/>
      <c r="I2" s="839" t="str">
        <f>Vorrunde!$G$2</f>
        <v>Internationales U10-Turnier am 12.04.2025</v>
      </c>
      <c r="J2" s="840"/>
      <c r="K2" s="840"/>
      <c r="L2" s="840"/>
      <c r="M2" s="840"/>
      <c r="N2" s="840"/>
      <c r="O2" s="840"/>
      <c r="P2" s="840"/>
      <c r="Q2" s="840"/>
      <c r="R2" s="840"/>
      <c r="S2" s="840"/>
      <c r="T2" s="840"/>
      <c r="U2" s="840"/>
      <c r="V2" s="840"/>
      <c r="W2" s="840"/>
      <c r="X2" s="840"/>
      <c r="Y2" s="841"/>
      <c r="Z2" s="543"/>
      <c r="AA2" s="543"/>
      <c r="AB2" s="543"/>
      <c r="AC2" s="543"/>
      <c r="AD2" s="543"/>
      <c r="AE2" s="543"/>
      <c r="AF2" s="543"/>
      <c r="AG2" s="543"/>
    </row>
    <row r="3" spans="2:33" ht="30" customHeight="1" x14ac:dyDescent="0.2">
      <c r="G3" s="544"/>
      <c r="H3" s="626"/>
      <c r="I3" s="842" t="str">
        <f>Vorrunde!$G$3</f>
        <v>Veranstalter:  1. FC Riedwald</v>
      </c>
      <c r="J3" s="843"/>
      <c r="K3" s="843"/>
      <c r="L3" s="843"/>
      <c r="M3" s="843"/>
      <c r="N3" s="843"/>
      <c r="O3" s="843"/>
      <c r="P3" s="843"/>
      <c r="Q3" s="843"/>
      <c r="R3" s="843"/>
      <c r="S3" s="843"/>
      <c r="T3" s="843"/>
      <c r="U3" s="843"/>
      <c r="V3" s="843"/>
      <c r="W3" s="843"/>
      <c r="X3" s="843"/>
      <c r="Y3" s="844"/>
      <c r="Z3" s="544"/>
      <c r="AA3" s="544"/>
      <c r="AB3" s="544"/>
      <c r="AC3" s="544"/>
      <c r="AD3" s="544"/>
      <c r="AE3" s="544"/>
      <c r="AF3" s="544"/>
      <c r="AG3" s="544"/>
    </row>
    <row r="4" spans="2:33" ht="30" customHeight="1" x14ac:dyDescent="0.2">
      <c r="G4" s="545"/>
      <c r="H4" s="627"/>
      <c r="I4" s="845" t="str">
        <f>Vorrunde!$G$4</f>
        <v>Sporthalle Wiesengrund, Wendiger Str. 51, 65432 Riedwald</v>
      </c>
      <c r="J4" s="846"/>
      <c r="K4" s="846"/>
      <c r="L4" s="846"/>
      <c r="M4" s="846"/>
      <c r="N4" s="846"/>
      <c r="O4" s="846"/>
      <c r="P4" s="846"/>
      <c r="Q4" s="846"/>
      <c r="R4" s="846"/>
      <c r="S4" s="846"/>
      <c r="T4" s="846"/>
      <c r="U4" s="846"/>
      <c r="V4" s="846"/>
      <c r="W4" s="846"/>
      <c r="X4" s="846"/>
      <c r="Y4" s="847"/>
      <c r="Z4" s="545"/>
      <c r="AA4" s="545"/>
      <c r="AB4" s="545"/>
      <c r="AC4" s="545"/>
      <c r="AD4" s="545"/>
      <c r="AE4" s="545"/>
      <c r="AF4" s="545"/>
      <c r="AG4" s="545"/>
    </row>
    <row r="5" spans="2:33" ht="30" customHeight="1" thickBot="1" x14ac:dyDescent="0.25">
      <c r="G5" s="545"/>
      <c r="H5" s="627"/>
      <c r="I5" s="848" t="str">
        <f>Vorrunde!$G$5</f>
        <v>Beginn:  9:00 Uhr</v>
      </c>
      <c r="J5" s="849"/>
      <c r="K5" s="849"/>
      <c r="L5" s="849"/>
      <c r="M5" s="849"/>
      <c r="N5" s="849"/>
      <c r="O5" s="849"/>
      <c r="P5" s="849"/>
      <c r="Q5" s="849"/>
      <c r="R5" s="849"/>
      <c r="S5" s="849"/>
      <c r="T5" s="849"/>
      <c r="U5" s="849"/>
      <c r="V5" s="849"/>
      <c r="W5" s="849"/>
      <c r="X5" s="849"/>
      <c r="Y5" s="850"/>
      <c r="Z5" s="545"/>
      <c r="AA5" s="545"/>
      <c r="AB5" s="545"/>
      <c r="AC5" s="545"/>
      <c r="AD5" s="545"/>
      <c r="AE5" s="545"/>
      <c r="AF5" s="545"/>
      <c r="AG5" s="545"/>
    </row>
    <row r="6" spans="2:33" ht="18" customHeight="1" thickTop="1" thickBot="1" x14ac:dyDescent="0.25"/>
    <row r="7" spans="2:33" ht="30" customHeight="1" thickTop="1" x14ac:dyDescent="0.2">
      <c r="L7" s="899" t="str">
        <f>Sprache!$E$19</f>
        <v>Endrunde</v>
      </c>
      <c r="M7" s="900"/>
      <c r="N7" s="900"/>
      <c r="O7" s="900"/>
      <c r="P7" s="900"/>
      <c r="Q7" s="900"/>
      <c r="R7" s="901"/>
      <c r="S7" s="546"/>
      <c r="T7" s="546"/>
      <c r="U7" s="546"/>
      <c r="AB7" s="546"/>
      <c r="AC7" s="546"/>
      <c r="AD7" s="782" t="str">
        <f>Sprache!$E$103</f>
        <v>Sind zwei oder mehr Mannschaften nicht unterscheidbar und wird eine Entscheidung z.B. durch Elfmeterschießen oder Los getroffen, genügt es, für die bevorzugte Mannschaft einen Bonuspunkt einzutragen.</v>
      </c>
      <c r="AE7" s="782"/>
      <c r="AF7" s="782"/>
    </row>
    <row r="8" spans="2:33" ht="30" customHeight="1" thickBot="1" x14ac:dyDescent="0.25">
      <c r="L8" s="902"/>
      <c r="M8" s="903"/>
      <c r="N8" s="903"/>
      <c r="O8" s="903"/>
      <c r="P8" s="903"/>
      <c r="Q8" s="903"/>
      <c r="R8" s="904"/>
      <c r="S8" s="546"/>
      <c r="T8" s="546"/>
      <c r="U8" s="546"/>
      <c r="AB8" s="546"/>
      <c r="AC8" s="546"/>
      <c r="AD8" s="782"/>
      <c r="AE8" s="782"/>
      <c r="AF8" s="782"/>
    </row>
    <row r="9" spans="2:33" ht="15.95" customHeight="1" thickTop="1" x14ac:dyDescent="0.2"/>
    <row r="10" spans="2:33" ht="24" customHeight="1" thickBot="1" x14ac:dyDescent="0.45">
      <c r="C10" s="774" t="str">
        <f>Sprache!$E$69</f>
        <v>Halbfinalspiele</v>
      </c>
      <c r="D10" s="774"/>
      <c r="E10" s="315"/>
      <c r="F10" s="315"/>
      <c r="G10" s="315"/>
      <c r="H10" s="315"/>
      <c r="I10" s="315"/>
      <c r="J10" s="315"/>
      <c r="K10" s="315"/>
      <c r="L10" s="410"/>
      <c r="M10" s="410"/>
      <c r="N10" s="410"/>
      <c r="O10" s="814" t="str">
        <f>Sprache!$E$20</f>
        <v>Zusätzl. Pause (min)</v>
      </c>
      <c r="Q10" s="905" t="str">
        <f>Sprache!$E$64</f>
        <v>Gruppensechste</v>
      </c>
      <c r="R10" s="905"/>
      <c r="S10" s="905"/>
      <c r="T10" s="905"/>
      <c r="U10" s="905"/>
      <c r="V10" s="905"/>
      <c r="W10" s="199"/>
      <c r="X10" s="199"/>
      <c r="Y10" s="199"/>
      <c r="Z10" s="199"/>
      <c r="AA10" s="199"/>
      <c r="AD10" s="796" t="str">
        <f>Sprache!$E$64</f>
        <v>Gruppensechste</v>
      </c>
      <c r="AE10" s="796"/>
      <c r="AF10" s="280"/>
      <c r="AG10" s="280"/>
    </row>
    <row r="11" spans="2:33" ht="24" customHeight="1" thickTop="1" thickBot="1" x14ac:dyDescent="0.45">
      <c r="C11" s="411" t="str">
        <f>Sprache!$E$33</f>
        <v>Spiel-Nr.</v>
      </c>
      <c r="D11" s="597" t="str">
        <f>Sprache!$E$39</f>
        <v>Beginn:</v>
      </c>
      <c r="E11" s="597" t="str">
        <f>Sprache!$E$48</f>
        <v>Feld</v>
      </c>
      <c r="F11" s="821"/>
      <c r="G11" s="822"/>
      <c r="H11" s="823"/>
      <c r="I11" s="821" t="str">
        <f>Sprache!$E$14</f>
        <v>Spielpaarung</v>
      </c>
      <c r="J11" s="822"/>
      <c r="K11" s="823"/>
      <c r="L11" s="824" t="str">
        <f>Sprache!$E$15</f>
        <v>Ergebnis</v>
      </c>
      <c r="M11" s="825"/>
      <c r="N11" s="898"/>
      <c r="O11" s="815"/>
      <c r="Q11" s="893"/>
      <c r="R11" s="894"/>
      <c r="S11" s="596" t="str">
        <f>Sprache!$E$21</f>
        <v>SP</v>
      </c>
      <c r="T11" s="202" t="str">
        <f>Sprache!$E$22</f>
        <v>G</v>
      </c>
      <c r="U11" s="202" t="str">
        <f>Sprache!$E$23</f>
        <v>U</v>
      </c>
      <c r="V11" s="595" t="str">
        <f>Sprache!$E$24</f>
        <v>V</v>
      </c>
      <c r="W11" s="895" t="str">
        <f>Sprache!$E$25</f>
        <v>Tore</v>
      </c>
      <c r="X11" s="896"/>
      <c r="Y11" s="897"/>
      <c r="Z11" s="202" t="str">
        <f>Sprache!$E$26</f>
        <v>Diff.</v>
      </c>
      <c r="AA11" s="204" t="str">
        <f>Sprache!$E$27</f>
        <v>Pkt</v>
      </c>
      <c r="AD11" s="441"/>
      <c r="AE11" s="471" t="str">
        <f>Sprache!$E$10</f>
        <v>Teilnehmer bzw. Mannschaft</v>
      </c>
      <c r="AF11" s="430" t="str">
        <f>Sprache!$E$49</f>
        <v>Bonus</v>
      </c>
      <c r="AG11" s="470"/>
    </row>
    <row r="12" spans="2:33" ht="24" customHeight="1" x14ac:dyDescent="0.2">
      <c r="B12" s="613"/>
      <c r="C12" s="527">
        <f t="array" aca="1" ref="C12" ca="1">61-SUM(((Planung!$L$6:$L$65="")+(Planung!$N$6:$N$65="")&gt;0)*1)</f>
        <v>41</v>
      </c>
      <c r="D12" s="185">
        <f ca="1">IF(Planung!$U$15,"",Planung!$R$13+(Planung!$R$9+Planung!$P$65)/1440)</f>
        <v>0.61805555555555558</v>
      </c>
      <c r="E12" s="176" t="str">
        <f>IF(Planung!$U$15,"","1")</f>
        <v>1</v>
      </c>
      <c r="F12" s="413" t="s">
        <v>307</v>
      </c>
      <c r="G12" s="414" t="s">
        <v>5</v>
      </c>
      <c r="H12" s="415" t="s">
        <v>308</v>
      </c>
      <c r="I12" s="442" t="str">
        <f t="shared" ref="I12:I22" ca="1" si="0">IF($F12="","",IF(VLOOKUP($F12,$AD$12:$AE$72,2,0)="","",VLOOKUP($F12,$AD$12:$AE$72,2,0)))</f>
        <v/>
      </c>
      <c r="J12" s="443" t="s">
        <v>5</v>
      </c>
      <c r="K12" s="515" t="str">
        <f t="shared" ref="K12:K22" ca="1" si="1">IF($H12="","",IF(VLOOKUP($H12,$AD$12:$AE$72,2,0)="","",VLOOKUP($H12,$AD$12:$AE$72,2,0)))</f>
        <v/>
      </c>
      <c r="L12" s="422"/>
      <c r="M12" s="368" t="str">
        <f>Sprache!$E$111</f>
        <v>:</v>
      </c>
      <c r="N12" s="512"/>
      <c r="O12" s="340"/>
      <c r="Q12" s="621" t="str">
        <f ca="1">IF(CalcE6!$K$13=0,"",1)</f>
        <v/>
      </c>
      <c r="R12" s="371" t="str">
        <f ca="1">IF(Calc1!$F$14&lt;3,"",IF(AND(CalcE6!$K$13=0,AE16&lt;&gt;1),CalcE6!$Q$64,VLOOKUP(CalcE6!$B$4,CalcE6!$C$4:$N$12,4,0)))</f>
        <v/>
      </c>
      <c r="S12" s="611" t="str">
        <f ca="1">IF(CalcE6!$K$13=0,"",VLOOKUP(CalcE6!$B$4,CalcE6!$C$4:$N$12,9,0))</f>
        <v/>
      </c>
      <c r="T12" s="208" t="str">
        <f ca="1">IF(CalcE6!$K$13=0,"",VLOOKUP(CalcE6!$B$4,CalcE6!$C$4:$N$12,10,0))</f>
        <v/>
      </c>
      <c r="U12" s="208" t="str">
        <f ca="1">IF(CalcE6!$K$13=0,"",VLOOKUP(CalcE6!$B$4,CalcE6!$C$4:$N$12,11,0))</f>
        <v/>
      </c>
      <c r="V12" s="208" t="str">
        <f ca="1">IF(CalcE6!$K$13=0,"",VLOOKUP(CalcE6!$B$4,CalcE6!$C$4:$N$12,12,0))</f>
        <v/>
      </c>
      <c r="W12" s="615" t="str">
        <f ca="1">IF(CalcE6!$K$13=0,"",VLOOKUP(CalcE6!$B$4,CalcE6!$C$4:$N$12,5,0))</f>
        <v/>
      </c>
      <c r="X12" s="616" t="str">
        <f>Sprache!$E$111</f>
        <v>:</v>
      </c>
      <c r="Y12" s="612" t="str">
        <f ca="1">IF(CalcE6!$K$13=0,"",VLOOKUP(CalcE6!$B$4,CalcE6!$C$4:$N$12,6,0))</f>
        <v/>
      </c>
      <c r="Z12" s="208" t="str">
        <f ca="1">IF(CalcE6!$K$13=0,"",VLOOKUP(CalcE6!$B$4,CalcE6!$C$4:$N$12,7,0))</f>
        <v/>
      </c>
      <c r="AA12" s="213" t="str">
        <f ca="1">IF(CalcE6!$K$13=0,"",VLOOKUP(CalcE6!$B$4,CalcE6!$C$4:$N$12,8,0))</f>
        <v/>
      </c>
      <c r="AD12" s="594" t="s">
        <v>307</v>
      </c>
      <c r="AE12" s="472" t="str">
        <f ca="1">IF(Vorrunde!$N$17="","",Vorrunde!$N$17)</f>
        <v/>
      </c>
      <c r="AF12" s="433"/>
      <c r="AG12" s="408"/>
    </row>
    <row r="13" spans="2:33" ht="24" customHeight="1" x14ac:dyDescent="0.2">
      <c r="B13" s="613"/>
      <c r="C13" s="528">
        <f t="array" aca="1" ref="C13" ca="1">ROW(62:62)-SUM(((Planung!$L$6:$L$65="")+(Planung!$N$6:$N$65="")&gt;0)*1)-SUM((($I$12:$I12="")+($K$12:$K12="")&gt;0)*1)</f>
        <v>41</v>
      </c>
      <c r="D13" s="175">
        <f t="array" aca="1" ref="D13" ca="1">IF(Planung!$U$15,"",$D$12+QUOTIENT(($C13-$C$12),Planung!$U$11)*(Planung!$R$7+Planung!$R$9)/1440+SUM($O$12:$O12)/1440)</f>
        <v>0.61805555555555558</v>
      </c>
      <c r="E13" s="177">
        <f ca="1">IF(Planung!$U$15,"",MOD($C13-$C$12,Planung!$U$11)+1)</f>
        <v>1</v>
      </c>
      <c r="F13" s="413" t="s">
        <v>304</v>
      </c>
      <c r="G13" s="414" t="s">
        <v>5</v>
      </c>
      <c r="H13" s="415" t="s">
        <v>305</v>
      </c>
      <c r="I13" s="516" t="str">
        <f t="shared" ca="1" si="0"/>
        <v>Maibach 1822 eV</v>
      </c>
      <c r="J13" s="517" t="s">
        <v>5</v>
      </c>
      <c r="K13" s="518" t="str">
        <f t="shared" ca="1" si="1"/>
        <v>SSV Wildbach</v>
      </c>
      <c r="L13" s="423">
        <v>2</v>
      </c>
      <c r="M13" s="424" t="str">
        <f>Sprache!$E$111</f>
        <v>:</v>
      </c>
      <c r="N13" s="513">
        <v>4</v>
      </c>
      <c r="O13" s="341"/>
      <c r="Q13" s="622" t="str">
        <f ca="1">IF(CalcE6!$K$13=0,"",IF(VLOOKUP(CalcE6!$B$5,CalcE6!$C$4:$E$12,3,0)=MAX($Q12:$Q12),VLOOKUP(CalcE6!$B$5,CalcE6!$C$4:$E$12,3,0),CalcE6!$B$5))</f>
        <v/>
      </c>
      <c r="R13" s="373" t="str">
        <f ca="1">IF(OR(Calc1!$F$14&lt;3,AE16=1),"",IF(CalcE6!$K$13=0,CalcE6!$Q$65,VLOOKUP(CalcE6!$B$5,CalcE6!$C$4:$N$12,4,0)))</f>
        <v/>
      </c>
      <c r="S13" s="223" t="str">
        <f ca="1">IF(CalcE6!$K$13=0,"",VLOOKUP(CalcE6!$B$5,CalcE6!$C$4:$N$12,9,0))</f>
        <v/>
      </c>
      <c r="T13" s="198" t="str">
        <f ca="1">IF(CalcE6!$K$13=0,"",VLOOKUP(CalcE6!$B$5,CalcE6!$C$4:$N$12,10,0))</f>
        <v/>
      </c>
      <c r="U13" s="198" t="str">
        <f ca="1">IF(CalcE6!$K$13=0,"",VLOOKUP(CalcE6!$B$5,CalcE6!$C$4:$N$12,11,0))</f>
        <v/>
      </c>
      <c r="V13" s="198" t="str">
        <f ca="1">IF(CalcE6!$K$13=0,"",VLOOKUP(CalcE6!$B$5,CalcE6!$C$4:$N$12,12,0))</f>
        <v/>
      </c>
      <c r="W13" s="617" t="str">
        <f ca="1">IF(CalcE6!$K$13=0,"",VLOOKUP(CalcE6!$B$5,CalcE6!$C$4:$N$12,5,0))</f>
        <v/>
      </c>
      <c r="X13" s="618" t="str">
        <f>Sprache!$E$111</f>
        <v>:</v>
      </c>
      <c r="Y13" s="435" t="str">
        <f ca="1">IF(CalcE6!$K$13=0,"",VLOOKUP(CalcE6!$B$5,CalcE6!$C$4:$N$12,6,0))</f>
        <v/>
      </c>
      <c r="Z13" s="198" t="str">
        <f ca="1">IF(CalcE6!$K$13=0,"",VLOOKUP(CalcE6!$B$5,CalcE6!$C$4:$N$12,7,0))</f>
        <v/>
      </c>
      <c r="AA13" s="222" t="str">
        <f ca="1">IF(CalcE6!$K$13=0,"",VLOOKUP(CalcE6!$B$5,CalcE6!$C$4:$N$12,8,0))</f>
        <v/>
      </c>
      <c r="AD13" s="440" t="s">
        <v>308</v>
      </c>
      <c r="AE13" s="473" t="str">
        <f ca="1">IF(Vorrunde!$N$27="","",Vorrunde!$N$27)</f>
        <v/>
      </c>
      <c r="AF13" s="436"/>
      <c r="AG13" s="506"/>
    </row>
    <row r="14" spans="2:33" ht="24" customHeight="1" x14ac:dyDescent="0.2">
      <c r="B14" s="613"/>
      <c r="C14" s="528">
        <f t="array" aca="1" ref="C14" ca="1">ROW(63:63)-SUM(((Planung!$L$6:$L$65="")+(Planung!$N$6:$N$65="")&gt;0)*1)-SUM((($I$12:$I13="")+($K$12:$K13="")&gt;0)*1)</f>
        <v>42</v>
      </c>
      <c r="D14" s="175">
        <f t="array" aca="1" ref="D14" ca="1">IF(Planung!$U$15,"",$D$12+QUOTIENT(($C14-$C$12),Planung!$U$11)*(Planung!$R$7+Planung!$R$9)/1440+SUM($O$12:$O13)/1440)</f>
        <v>0.61805555555555558</v>
      </c>
      <c r="E14" s="177">
        <f ca="1">IF(Planung!$U$15,"",MOD($C14-$C$12,Planung!$U$11)+1)</f>
        <v>2</v>
      </c>
      <c r="F14" s="413" t="s">
        <v>301</v>
      </c>
      <c r="G14" s="414" t="s">
        <v>5</v>
      </c>
      <c r="H14" s="415" t="s">
        <v>302</v>
      </c>
      <c r="I14" s="516" t="str">
        <f t="shared" ca="1" si="0"/>
        <v>VFB Essenheim</v>
      </c>
      <c r="J14" s="517"/>
      <c r="K14" s="518" t="str">
        <f t="shared" ca="1" si="1"/>
        <v>FC Grönlingen</v>
      </c>
      <c r="L14" s="423">
        <v>2</v>
      </c>
      <c r="M14" s="424" t="str">
        <f>Sprache!$E$111</f>
        <v>:</v>
      </c>
      <c r="N14" s="513">
        <v>1</v>
      </c>
      <c r="O14" s="341"/>
      <c r="Q14" s="622" t="str">
        <f ca="1">IF(CalcE6!$K$13=0,"",IF(VLOOKUP(CalcE6!$B$6,CalcE6!$C$4:$E$12,3,0)=MAX($Q12:$Q13),VLOOKUP(CalcE6!$B$6,CalcE6!$C$4:$E$12,3,0),CalcE6!$B$6))</f>
        <v/>
      </c>
      <c r="R14" s="373" t="str">
        <f ca="1">IF(OR(Calc1!$F$14&lt;3,AE16=1),"",IF(CalcE6!$K$13=0,CalcE6!$Q$66,VLOOKUP(CalcE6!$B$6,CalcE6!$C$4:$N$12,4,0)))</f>
        <v/>
      </c>
      <c r="S14" s="223" t="str">
        <f ca="1">IF(CalcE6!$K$13=0,"",VLOOKUP(CalcE6!$B$6,CalcE6!$C$4:$N$12,9,0))</f>
        <v/>
      </c>
      <c r="T14" s="198" t="str">
        <f ca="1">IF(CalcE6!$K$13=0,"",VLOOKUP(CalcE6!$B$6,CalcE6!$C$4:$N$12,10,0))</f>
        <v/>
      </c>
      <c r="U14" s="198" t="str">
        <f ca="1">IF(CalcE6!$K$13=0,"",VLOOKUP(CalcE6!$B$6,CalcE6!$C$4:$N$12,11,0))</f>
        <v/>
      </c>
      <c r="V14" s="198" t="str">
        <f ca="1">IF(CalcE6!$K$13=0,"",VLOOKUP(CalcE6!$B$6,CalcE6!$C$4:$N$12,12,0))</f>
        <v/>
      </c>
      <c r="W14" s="617" t="str">
        <f ca="1">IF(CalcE6!$K$13=0,"",VLOOKUP(CalcE6!$B$6,CalcE6!$C$4:$N$12,5,0))</f>
        <v/>
      </c>
      <c r="X14" s="618" t="str">
        <f>Sprache!$E$111</f>
        <v>:</v>
      </c>
      <c r="Y14" s="435" t="str">
        <f ca="1">IF(CalcE6!$K$13=0,"",VLOOKUP(CalcE6!$B$6,CalcE6!$C$4:$N$12,6,0))</f>
        <v/>
      </c>
      <c r="Z14" s="198" t="str">
        <f ca="1">IF(CalcE6!$K$13=0,"",VLOOKUP(CalcE6!$B$6,CalcE6!$C$4:$N$12,7,0))</f>
        <v/>
      </c>
      <c r="AA14" s="222" t="str">
        <f ca="1">IF(CalcE6!$K$13=0,"",VLOOKUP(CalcE6!$B$6,CalcE6!$C$4:$N$12,8,0))</f>
        <v/>
      </c>
      <c r="AD14" s="593" t="s">
        <v>309</v>
      </c>
      <c r="AE14" s="473" t="str">
        <f ca="1">IF(Vorrunde!$N$37="","",Vorrunde!$N$37)</f>
        <v/>
      </c>
      <c r="AF14" s="436"/>
      <c r="AG14" s="506"/>
    </row>
    <row r="15" spans="2:33" ht="24" customHeight="1" thickBot="1" x14ac:dyDescent="0.25">
      <c r="B15" s="613"/>
      <c r="C15" s="528">
        <f t="array" aca="1" ref="C15" ca="1">ROW(64:64)-SUM(((Planung!$L$6:$L$65="")+(Planung!$N$6:$N$65="")&gt;0)*1)-SUM((($I$12:$I14="")+($K$12:$K14="")&gt;0)*1)</f>
        <v>43</v>
      </c>
      <c r="D15" s="175">
        <f t="array" aca="1" ref="D15" ca="1">IF(Planung!$U$15,"",$D$12+QUOTIENT(($C15-$C$12),Planung!$U$11)*(Planung!$R$7+Planung!$R$9)/1440+SUM($O$12:$O14)/1440)</f>
        <v>0.61805555555555558</v>
      </c>
      <c r="E15" s="177">
        <f ca="1">IF(Planung!$U$15,"",MOD($C15-$C$12,Planung!$U$11)+1)</f>
        <v>3</v>
      </c>
      <c r="F15" s="413" t="s">
        <v>298</v>
      </c>
      <c r="G15" s="414" t="s">
        <v>5</v>
      </c>
      <c r="H15" s="415" t="s">
        <v>299</v>
      </c>
      <c r="I15" s="516" t="str">
        <f t="shared" ca="1" si="0"/>
        <v>1. FC Riedwald</v>
      </c>
      <c r="J15" s="517" t="s">
        <v>5</v>
      </c>
      <c r="K15" s="518" t="str">
        <f t="shared" ca="1" si="1"/>
        <v>Mainz 05</v>
      </c>
      <c r="L15" s="423">
        <v>0</v>
      </c>
      <c r="M15" s="424" t="str">
        <f>Sprache!$E$111</f>
        <v>:</v>
      </c>
      <c r="N15" s="513">
        <v>0</v>
      </c>
      <c r="O15" s="341"/>
      <c r="Q15" s="623" t="str">
        <f ca="1">IF(CalcE6!$K$13=0,"",IF(VLOOKUP(CalcE6!$B$7,CalcE6!$C$4:$E$12,3,0)=MAX($Q12:$Q14),VLOOKUP(CalcE6!$B$7,CalcE6!$C$4:$E$12,3,0),CalcE6!$B$7))</f>
        <v/>
      </c>
      <c r="R15" s="375" t="str">
        <f ca="1">IF(OR(Calc1!$F$14&lt;3,AE16=1),"",IF(CalcE6!$K$13=0,CalcE6!$Q$67,VLOOKUP(CalcE6!$B$7,CalcE6!$C$4:$N$12,4,0)))</f>
        <v/>
      </c>
      <c r="S15" s="234" t="str">
        <f ca="1">IF(CalcE6!$K$13=0,"",VLOOKUP(CalcE6!$B$7,CalcE6!$C$4:$N$12,9,0))</f>
        <v/>
      </c>
      <c r="T15" s="228" t="str">
        <f ca="1">IF(CalcE6!$K$13=0,"",VLOOKUP(CalcE6!$B$7,CalcE6!$C$4:$N$12,10,0))</f>
        <v/>
      </c>
      <c r="U15" s="228" t="str">
        <f ca="1">IF(CalcE6!$K$13=0,"",VLOOKUP(CalcE6!$B$7,CalcE6!$C$4:$N$12,11,0))</f>
        <v/>
      </c>
      <c r="V15" s="228" t="str">
        <f ca="1">IF(CalcE6!$K$13=0,"",VLOOKUP(CalcE6!$B$7,CalcE6!$C$4:$N$12,12,0))</f>
        <v/>
      </c>
      <c r="W15" s="619" t="str">
        <f ca="1">IF(CalcE6!$K$13=0,"",VLOOKUP(CalcE6!$B$7,CalcE6!$C$4:$N$12,5,0))</f>
        <v/>
      </c>
      <c r="X15" s="620" t="str">
        <f>Sprache!$E$111</f>
        <v>:</v>
      </c>
      <c r="Y15" s="438" t="str">
        <f ca="1">IF(CalcE6!$K$13=0,"",VLOOKUP(CalcE6!$B$7,CalcE6!$C$4:$N$12,6,0))</f>
        <v/>
      </c>
      <c r="Z15" s="228" t="str">
        <f ca="1">IF(CalcE6!$K$13=0,"",VLOOKUP(CalcE6!$B$7,CalcE6!$C$4:$N$12,7,0))</f>
        <v/>
      </c>
      <c r="AA15" s="233" t="str">
        <f ca="1">IF(CalcE6!$K$13=0,"",VLOOKUP(CalcE6!$B$7,CalcE6!$C$4:$N$12,8,0))</f>
        <v/>
      </c>
      <c r="AD15" s="405" t="s">
        <v>353</v>
      </c>
      <c r="AE15" s="474" t="str">
        <f ca="1">IF(Vorrunde!$N$47="","",Vorrunde!$N$47)</f>
        <v/>
      </c>
      <c r="AF15" s="439"/>
      <c r="AG15" s="506"/>
    </row>
    <row r="16" spans="2:33" ht="24" customHeight="1" thickTop="1" x14ac:dyDescent="0.2">
      <c r="B16" s="613"/>
      <c r="C16" s="528">
        <f t="array" aca="1" ref="C16" ca="1">ROW(65:65)-SUM(((Planung!$L$6:$L$65="")+(Planung!$N$6:$N$65="")&gt;0)*1)-SUM((($I$12:$I15="")+($K$12:$K15="")&gt;0)*1)</f>
        <v>44</v>
      </c>
      <c r="D16" s="175">
        <f t="array" aca="1" ref="D16" ca="1">IF(Planung!$U$15,"",$D$12+QUOTIENT(($C16-$C$12),Planung!$U$11)*(Planung!$R$7+Planung!$R$9)/1440+SUM($O$12:$O15)/1440)</f>
        <v>0.61805555555555558</v>
      </c>
      <c r="E16" s="177">
        <f ca="1">IF(Planung!$U$15,"",MOD($C16-$C$12,Planung!$U$11)+1)</f>
        <v>4</v>
      </c>
      <c r="F16" s="416" t="s">
        <v>295</v>
      </c>
      <c r="G16" s="417" t="s">
        <v>5</v>
      </c>
      <c r="H16" s="418" t="s">
        <v>296</v>
      </c>
      <c r="I16" s="516" t="str">
        <f t="shared" ca="1" si="0"/>
        <v>Eintracht Frankfurt</v>
      </c>
      <c r="J16" s="517" t="s">
        <v>5</v>
      </c>
      <c r="K16" s="518" t="str">
        <f t="shared" ca="1" si="1"/>
        <v>Inter Mailand</v>
      </c>
      <c r="L16" s="423">
        <v>5</v>
      </c>
      <c r="M16" s="424" t="str">
        <f>Sprache!$E$111</f>
        <v>:</v>
      </c>
      <c r="N16" s="513">
        <v>1</v>
      </c>
      <c r="O16" s="341"/>
      <c r="AD16" s="407"/>
      <c r="AE16" s="634">
        <f t="array" aca="1" ref="AE16" ca="1">SUM((AE12:AE15&lt;&gt;"")*1)</f>
        <v>0</v>
      </c>
      <c r="AF16" s="282"/>
      <c r="AG16" s="506"/>
    </row>
    <row r="17" spans="2:33" ht="24" customHeight="1" thickBot="1" x14ac:dyDescent="0.45">
      <c r="B17" s="613"/>
      <c r="C17" s="528">
        <f t="array" aca="1" ref="C17" ca="1">ROW(66:66)-SUM(((Planung!$L$6:$L$65="")+(Planung!$N$6:$N$65="")&gt;0)*1)-SUM((($I$12:$I16="")+($K$12:$K16="")&gt;0)*1)</f>
        <v>45</v>
      </c>
      <c r="D17" s="175">
        <f t="array" aca="1" ref="D17" ca="1">IF(Planung!$U$15,"",$D$12+QUOTIENT(($C17-$C$12),Planung!$U$11)*(Planung!$R$7+Planung!$R$9)/1440+SUM($O$12:$O16)/1440)</f>
        <v>0.64236111111111116</v>
      </c>
      <c r="E17" s="177">
        <f ca="1">IF(Planung!$U$15,"",MOD($C17-$C$12,Planung!$U$11)+1)</f>
        <v>1</v>
      </c>
      <c r="F17" s="416" t="s">
        <v>292</v>
      </c>
      <c r="G17" s="417" t="s">
        <v>5</v>
      </c>
      <c r="H17" s="418" t="s">
        <v>293</v>
      </c>
      <c r="I17" s="516" t="str">
        <f t="shared" ca="1" si="0"/>
        <v>FC Barcelona</v>
      </c>
      <c r="J17" s="517" t="s">
        <v>5</v>
      </c>
      <c r="K17" s="518" t="str">
        <f t="shared" ca="1" si="1"/>
        <v>Manchester City</v>
      </c>
      <c r="L17" s="423">
        <v>2</v>
      </c>
      <c r="M17" s="424" t="str">
        <f>Sprache!$E$111</f>
        <v>:</v>
      </c>
      <c r="N17" s="513">
        <v>3</v>
      </c>
      <c r="O17" s="341"/>
      <c r="Q17" s="905" t="str">
        <f>Sprache!$E$63</f>
        <v>Gruppenfünfte</v>
      </c>
      <c r="R17" s="905"/>
      <c r="S17" s="905"/>
      <c r="T17" s="905"/>
      <c r="U17" s="905"/>
      <c r="V17" s="905"/>
      <c r="W17" s="199"/>
      <c r="X17" s="199"/>
      <c r="Y17" s="199"/>
      <c r="Z17" s="199"/>
      <c r="AA17" s="199"/>
      <c r="AD17" s="796" t="str">
        <f>Sprache!$E$63</f>
        <v>Gruppenfünfte</v>
      </c>
      <c r="AE17" s="796"/>
      <c r="AF17" s="282"/>
      <c r="AG17" s="406"/>
    </row>
    <row r="18" spans="2:33" ht="24" customHeight="1" thickTop="1" thickBot="1" x14ac:dyDescent="0.25">
      <c r="B18" s="613"/>
      <c r="C18" s="528">
        <f t="array" aca="1" ref="C18" ca="1">ROW(67:67)-SUM(((Planung!$L$6:$L$65="")+(Planung!$N$6:$N$65="")&gt;0)*1)-SUM((($I$12:$I17="")+($K$12:$K17="")&gt;0)*1)</f>
        <v>46</v>
      </c>
      <c r="D18" s="175">
        <f t="array" aca="1" ref="D18" ca="1">IF(Planung!$U$15,"",$D$12+QUOTIENT(($C18-$C$12),Planung!$U$11)*(Planung!$R$7+Planung!$R$9)/1440+SUM($O$12:$O17)/1440)</f>
        <v>0.64236111111111116</v>
      </c>
      <c r="E18" s="177">
        <f ca="1">IF(Planung!$U$15,"",MOD($C18-$C$12,Planung!$U$11)+1)</f>
        <v>2</v>
      </c>
      <c r="F18" s="416" t="s">
        <v>309</v>
      </c>
      <c r="G18" s="417" t="s">
        <v>5</v>
      </c>
      <c r="H18" s="418" t="s">
        <v>353</v>
      </c>
      <c r="I18" s="516" t="str">
        <f t="shared" ca="1" si="0"/>
        <v/>
      </c>
      <c r="J18" s="517" t="s">
        <v>5</v>
      </c>
      <c r="K18" s="518" t="str">
        <f t="shared" ca="1" si="1"/>
        <v/>
      </c>
      <c r="L18" s="423"/>
      <c r="M18" s="424" t="str">
        <f>Sprache!$E$111</f>
        <v>:</v>
      </c>
      <c r="N18" s="513"/>
      <c r="O18" s="341"/>
      <c r="Q18" s="893"/>
      <c r="R18" s="894"/>
      <c r="S18" s="596" t="str">
        <f>Sprache!$E$21</f>
        <v>SP</v>
      </c>
      <c r="T18" s="202" t="str">
        <f>Sprache!$E$22</f>
        <v>G</v>
      </c>
      <c r="U18" s="202" t="str">
        <f>Sprache!$E$23</f>
        <v>U</v>
      </c>
      <c r="V18" s="595" t="str">
        <f>Sprache!$E$24</f>
        <v>V</v>
      </c>
      <c r="W18" s="895" t="str">
        <f>Sprache!$E$25</f>
        <v>Tore</v>
      </c>
      <c r="X18" s="896"/>
      <c r="Y18" s="897"/>
      <c r="Z18" s="202" t="str">
        <f>Sprache!$E$26</f>
        <v>Diff.</v>
      </c>
      <c r="AA18" s="204" t="str">
        <f>Sprache!$E$27</f>
        <v>Pkt</v>
      </c>
      <c r="AD18" s="441"/>
      <c r="AE18" s="471" t="str">
        <f>Sprache!$E$10</f>
        <v>Teilnehmer bzw. Mannschaft</v>
      </c>
      <c r="AF18" s="430" t="str">
        <f>Sprache!$E$49</f>
        <v>Bonus</v>
      </c>
      <c r="AG18" s="406"/>
    </row>
    <row r="19" spans="2:33" ht="24" customHeight="1" x14ac:dyDescent="0.4">
      <c r="B19" s="613"/>
      <c r="C19" s="528">
        <f t="array" aca="1" ref="C19" ca="1">ROW(68:68)-SUM(((Planung!$L$6:$L$65="")+(Planung!$N$6:$N$65="")&gt;0)*1)-SUM((($I$12:$I18="")+($K$12:$K18="")&gt;0)*1)</f>
        <v>46</v>
      </c>
      <c r="D19" s="175">
        <f t="array" aca="1" ref="D19" ca="1">IF(Planung!$U$15,"",$D$12+QUOTIENT(($C19-$C$12),Planung!$U$11)*(Planung!$R$7+Planung!$R$9)/1440+SUM($O$12:$O18)/1440)</f>
        <v>0.64236111111111116</v>
      </c>
      <c r="E19" s="177">
        <f ca="1">IF(Planung!$U$15,"",MOD($C19-$C$12,Planung!$U$11)+1)</f>
        <v>2</v>
      </c>
      <c r="F19" s="416" t="s">
        <v>306</v>
      </c>
      <c r="G19" s="417" t="s">
        <v>5</v>
      </c>
      <c r="H19" s="418" t="s">
        <v>352</v>
      </c>
      <c r="I19" s="516" t="str">
        <f t="shared" ca="1" si="0"/>
        <v>FSV Rauen</v>
      </c>
      <c r="J19" s="517" t="s">
        <v>5</v>
      </c>
      <c r="K19" s="518" t="str">
        <f t="shared" ca="1" si="1"/>
        <v>TSG Saalberg eV</v>
      </c>
      <c r="L19" s="423">
        <v>5</v>
      </c>
      <c r="M19" s="424" t="str">
        <f>Sprache!$E$111</f>
        <v>:</v>
      </c>
      <c r="N19" s="513">
        <v>3</v>
      </c>
      <c r="O19" s="341"/>
      <c r="Q19" s="621">
        <f ca="1">IF(CalcE5!$K$13=0,"",1)</f>
        <v>1</v>
      </c>
      <c r="R19" s="371" t="str">
        <f ca="1">IF(Calc1!$F$14&lt;3,"",IF(AND(CalcE5!$K$13=0,AE23&lt;&gt;1),CalcE5!$Q$64,VLOOKUP(CalcE5!$B$4,CalcE5!$C$4:$N$12,4,0)))</f>
        <v>FSV Rauen</v>
      </c>
      <c r="S19" s="611">
        <f ca="1">IF(CalcE5!$K$13=0,"",VLOOKUP(CalcE5!$B$4,CalcE5!$C$4:$N$12,9,0))</f>
        <v>3</v>
      </c>
      <c r="T19" s="208">
        <f ca="1">IF(CalcE5!$K$13=0,"",VLOOKUP(CalcE5!$B$4,CalcE5!$C$4:$N$12,10,0))</f>
        <v>2</v>
      </c>
      <c r="U19" s="208">
        <f ca="1">IF(CalcE5!$K$13=0,"",VLOOKUP(CalcE5!$B$4,CalcE5!$C$4:$N$12,11,0))</f>
        <v>0</v>
      </c>
      <c r="V19" s="208">
        <f ca="1">IF(CalcE5!$K$13=0,"",VLOOKUP(CalcE5!$B$4,CalcE5!$C$4:$N$12,12,0))</f>
        <v>1</v>
      </c>
      <c r="W19" s="615">
        <f ca="1">IF(CalcE5!$K$13=0,"",VLOOKUP(CalcE5!$B$4,CalcE5!$C$4:$N$12,5,0))</f>
        <v>11</v>
      </c>
      <c r="X19" s="616" t="str">
        <f>Sprache!$E$111</f>
        <v>:</v>
      </c>
      <c r="Y19" s="612">
        <f ca="1">IF(CalcE5!$K$13=0,"",VLOOKUP(CalcE5!$B$4,CalcE5!$C$4:$N$12,6,0))</f>
        <v>7</v>
      </c>
      <c r="Z19" s="208">
        <f ca="1">IF(CalcE5!$K$13=0,"",VLOOKUP(CalcE5!$B$4,CalcE5!$C$4:$N$12,7,0))</f>
        <v>4</v>
      </c>
      <c r="AA19" s="213">
        <f ca="1">IF(CalcE5!$K$13=0,"",VLOOKUP(CalcE5!$B$4,CalcE5!$C$4:$N$12,8,0))</f>
        <v>6</v>
      </c>
      <c r="AD19" s="594" t="s">
        <v>304</v>
      </c>
      <c r="AE19" s="472" t="str">
        <f ca="1">IF(Vorrunde!$N$16="","",Vorrunde!$N$16)</f>
        <v>Maibach 1822 eV</v>
      </c>
      <c r="AF19" s="433"/>
      <c r="AG19" s="470"/>
    </row>
    <row r="20" spans="2:33" ht="24" customHeight="1" x14ac:dyDescent="0.2">
      <c r="B20" s="613"/>
      <c r="C20" s="528">
        <f t="array" aca="1" ref="C20" ca="1">ROW(69:69)-SUM(((Planung!$L$6:$L$65="")+(Planung!$N$6:$N$65="")&gt;0)*1)-SUM((($I$12:$I19="")+($K$12:$K19="")&gt;0)*1)</f>
        <v>47</v>
      </c>
      <c r="D20" s="175">
        <f t="array" aca="1" ref="D20" ca="1">IF(Planung!$U$15,"",$D$12+QUOTIENT(($C20-$C$12),Planung!$U$11)*(Planung!$R$7+Planung!$R$9)/1440+SUM($O$12:$O19)/1440)</f>
        <v>0.64236111111111116</v>
      </c>
      <c r="E20" s="177">
        <f ca="1">IF(Planung!$U$15,"",MOD($C20-$C$12,Planung!$U$11)+1)</f>
        <v>3</v>
      </c>
      <c r="F20" s="416" t="s">
        <v>303</v>
      </c>
      <c r="G20" s="417" t="s">
        <v>5</v>
      </c>
      <c r="H20" s="418" t="s">
        <v>351</v>
      </c>
      <c r="I20" s="516" t="str">
        <f t="shared" ca="1" si="0"/>
        <v>Kickers Rodendorf</v>
      </c>
      <c r="J20" s="517" t="s">
        <v>5</v>
      </c>
      <c r="K20" s="518" t="str">
        <f t="shared" ca="1" si="1"/>
        <v>SV Oberredenburg</v>
      </c>
      <c r="L20" s="423">
        <v>2</v>
      </c>
      <c r="M20" s="424" t="str">
        <f>Sprache!$E$111</f>
        <v>:</v>
      </c>
      <c r="N20" s="513">
        <v>1</v>
      </c>
      <c r="O20" s="341"/>
      <c r="Q20" s="622">
        <f ca="1">IF(CalcE5!$K$13=0,"",IF(VLOOKUP(CalcE5!$B$5,CalcE5!$C$4:$E$12,3,0)=MAX($Q19:$Q19),VLOOKUP(CalcE5!$B$5,CalcE5!$C$4:$E$12,3,0),CalcE5!$B$5))</f>
        <v>2</v>
      </c>
      <c r="R20" s="373" t="str">
        <f ca="1">IF(OR(Calc1!$F$14&lt;3,AE23=1),"",IF(CalcE5!$K$13=0,CalcE5!$Q$65,VLOOKUP(CalcE5!$B$5,CalcE5!$C$4:$N$12,4,0)))</f>
        <v>TSG Saalberg eV</v>
      </c>
      <c r="S20" s="223">
        <f ca="1">IF(CalcE5!$K$13=0,"",VLOOKUP(CalcE5!$B$5,CalcE5!$C$4:$N$12,9,0))</f>
        <v>3</v>
      </c>
      <c r="T20" s="198">
        <f ca="1">IF(CalcE5!$K$13=0,"",VLOOKUP(CalcE5!$B$5,CalcE5!$C$4:$N$12,10,0))</f>
        <v>2</v>
      </c>
      <c r="U20" s="198">
        <f ca="1">IF(CalcE5!$K$13=0,"",VLOOKUP(CalcE5!$B$5,CalcE5!$C$4:$N$12,11,0))</f>
        <v>0</v>
      </c>
      <c r="V20" s="198">
        <f ca="1">IF(CalcE5!$K$13=0,"",VLOOKUP(CalcE5!$B$5,CalcE5!$C$4:$N$12,12,0))</f>
        <v>1</v>
      </c>
      <c r="W20" s="617">
        <f ca="1">IF(CalcE5!$K$13=0,"",VLOOKUP(CalcE5!$B$5,CalcE5!$C$4:$N$12,5,0))</f>
        <v>9</v>
      </c>
      <c r="X20" s="618" t="str">
        <f>Sprache!$E$111</f>
        <v>:</v>
      </c>
      <c r="Y20" s="435">
        <f ca="1">IF(CalcE5!$K$13=0,"",VLOOKUP(CalcE5!$B$5,CalcE5!$C$4:$N$12,6,0))</f>
        <v>6</v>
      </c>
      <c r="Z20" s="198">
        <f ca="1">IF(CalcE5!$K$13=0,"",VLOOKUP(CalcE5!$B$5,CalcE5!$C$4:$N$12,7,0))</f>
        <v>3</v>
      </c>
      <c r="AA20" s="222">
        <f ca="1">IF(CalcE5!$K$13=0,"",VLOOKUP(CalcE5!$B$5,CalcE5!$C$4:$N$12,8,0))</f>
        <v>6</v>
      </c>
      <c r="AD20" s="440" t="s">
        <v>305</v>
      </c>
      <c r="AE20" s="473" t="str">
        <f ca="1">IF(Vorrunde!$N$26="","",Vorrunde!$N$26)</f>
        <v>SSV Wildbach</v>
      </c>
      <c r="AF20" s="436"/>
      <c r="AG20" s="408"/>
    </row>
    <row r="21" spans="2:33" ht="24" customHeight="1" x14ac:dyDescent="0.2">
      <c r="B21" s="613"/>
      <c r="C21" s="528">
        <f t="array" aca="1" ref="C21" ca="1">ROW(70:70)-SUM(((Planung!$L$6:$L$65="")+(Planung!$N$6:$N$65="")&gt;0)*1)-SUM((($I$12:$I20="")+($K$12:$K20="")&gt;0)*1)</f>
        <v>48</v>
      </c>
      <c r="D21" s="175">
        <f t="array" aca="1" ref="D21" ca="1">IF(Planung!$U$15,"",$D$12+QUOTIENT(($C21-$C$12),Planung!$U$11)*(Planung!$R$7+Planung!$R$9)/1440+SUM($O$12:$O20)/1440)</f>
        <v>0.64236111111111116</v>
      </c>
      <c r="E21" s="177">
        <f ca="1">IF(Planung!$U$15,"",MOD($C21-$C$12,Planung!$U$11)+1)</f>
        <v>4</v>
      </c>
      <c r="F21" s="416" t="s">
        <v>300</v>
      </c>
      <c r="G21" s="417" t="s">
        <v>5</v>
      </c>
      <c r="H21" s="418" t="s">
        <v>350</v>
      </c>
      <c r="I21" s="516" t="str">
        <f t="shared" ca="1" si="0"/>
        <v>1. FC Nürnberg</v>
      </c>
      <c r="J21" s="517" t="s">
        <v>5</v>
      </c>
      <c r="K21" s="518" t="str">
        <f t="shared" ca="1" si="1"/>
        <v>HSV</v>
      </c>
      <c r="L21" s="423">
        <v>3</v>
      </c>
      <c r="M21" s="424" t="str">
        <f>Sprache!$E$111</f>
        <v>:</v>
      </c>
      <c r="N21" s="513">
        <v>1</v>
      </c>
      <c r="O21" s="341"/>
      <c r="Q21" s="622">
        <f ca="1">IF(CalcE5!$K$13=0,"",IF(VLOOKUP(CalcE5!$B$6,CalcE5!$C$4:$E$12,3,0)=MAX($Q19:$Q20),VLOOKUP(CalcE5!$B$6,CalcE5!$C$4:$E$12,3,0),CalcE5!$B$6))</f>
        <v>3</v>
      </c>
      <c r="R21" s="373" t="str">
        <f ca="1">IF(OR(Calc1!$F$14&lt;3,AE23=1),"",IF(CalcE5!$K$13=0,CalcE5!$Q$66,VLOOKUP(CalcE5!$B$6,CalcE5!$C$4:$N$12,4,0)))</f>
        <v>SSV Wildbach</v>
      </c>
      <c r="S21" s="223">
        <f ca="1">IF(CalcE5!$K$13=0,"",VLOOKUP(CalcE5!$B$6,CalcE5!$C$4:$N$12,9,0))</f>
        <v>3</v>
      </c>
      <c r="T21" s="198">
        <f ca="1">IF(CalcE5!$K$13=0,"",VLOOKUP(CalcE5!$B$6,CalcE5!$C$4:$N$12,10,0))</f>
        <v>2</v>
      </c>
      <c r="U21" s="198">
        <f ca="1">IF(CalcE5!$K$13=0,"",VLOOKUP(CalcE5!$B$6,CalcE5!$C$4:$N$12,11,0))</f>
        <v>0</v>
      </c>
      <c r="V21" s="198">
        <f ca="1">IF(CalcE5!$K$13=0,"",VLOOKUP(CalcE5!$B$6,CalcE5!$C$4:$N$12,12,0))</f>
        <v>1</v>
      </c>
      <c r="W21" s="617">
        <f ca="1">IF(CalcE5!$K$13=0,"",VLOOKUP(CalcE5!$B$6,CalcE5!$C$4:$N$12,5,0))</f>
        <v>8</v>
      </c>
      <c r="X21" s="618" t="str">
        <f>Sprache!$E$111</f>
        <v>:</v>
      </c>
      <c r="Y21" s="435">
        <f ca="1">IF(CalcE5!$K$13=0,"",VLOOKUP(CalcE5!$B$6,CalcE5!$C$4:$N$12,6,0))</f>
        <v>7</v>
      </c>
      <c r="Z21" s="198">
        <f ca="1">IF(CalcE5!$K$13=0,"",VLOOKUP(CalcE5!$B$6,CalcE5!$C$4:$N$12,7,0))</f>
        <v>1</v>
      </c>
      <c r="AA21" s="222">
        <f ca="1">IF(CalcE5!$K$13=0,"",VLOOKUP(CalcE5!$B$6,CalcE5!$C$4:$N$12,8,0))</f>
        <v>6</v>
      </c>
      <c r="AD21" s="593" t="s">
        <v>306</v>
      </c>
      <c r="AE21" s="473" t="str">
        <f ca="1">IF(Vorrunde!$N$36="","",Vorrunde!$N$36)</f>
        <v>FSV Rauen</v>
      </c>
      <c r="AF21" s="436"/>
      <c r="AG21" s="506"/>
    </row>
    <row r="22" spans="2:33" ht="24" customHeight="1" thickBot="1" x14ac:dyDescent="0.25">
      <c r="B22" s="613"/>
      <c r="C22" s="528">
        <f t="array" aca="1" ref="C22" ca="1">ROW(71:71)-SUM(((Planung!$L$6:$L$65="")+(Planung!$N$6:$N$65="")&gt;0)*1)-SUM((($I$12:$I21="")+($K$12:$K21="")&gt;0)*1)</f>
        <v>49</v>
      </c>
      <c r="D22" s="175">
        <f t="array" aca="1" ref="D22" ca="1">IF(Planung!$U$15,"",$D$12+QUOTIENT(($C22-$C$12),Planung!$U$11)*(Planung!$R$7+Planung!$R$9)/1440+SUM($O$12:$O21)/1440)</f>
        <v>0.66666666666666674</v>
      </c>
      <c r="E22" s="177">
        <f ca="1">IF(Planung!$U$15,"",MOD($C22-$C$12,Planung!$U$11)+1)</f>
        <v>1</v>
      </c>
      <c r="F22" s="416" t="s">
        <v>297</v>
      </c>
      <c r="G22" s="417" t="s">
        <v>5</v>
      </c>
      <c r="H22" s="418" t="s">
        <v>349</v>
      </c>
      <c r="I22" s="516" t="str">
        <f t="shared" ca="1" si="0"/>
        <v>Real Madrid</v>
      </c>
      <c r="J22" s="517"/>
      <c r="K22" s="518" t="str">
        <f t="shared" ca="1" si="1"/>
        <v>RB Leipzig</v>
      </c>
      <c r="L22" s="423">
        <v>4</v>
      </c>
      <c r="M22" s="424" t="str">
        <f>Sprache!$E$111</f>
        <v>:</v>
      </c>
      <c r="N22" s="513">
        <v>2</v>
      </c>
      <c r="O22" s="341"/>
      <c r="Q22" s="623">
        <f ca="1">IF(CalcE5!$K$13=0,"",IF(VLOOKUP(CalcE5!$B$7,CalcE5!$C$4:$E$12,3,0)=MAX($Q19:$Q21),VLOOKUP(CalcE5!$B$7,CalcE5!$C$4:$E$12,3,0),CalcE5!$B$7))</f>
        <v>4</v>
      </c>
      <c r="R22" s="375" t="str">
        <f ca="1">IF(OR(Calc1!$F$14&lt;3,AE23=1),"",IF(CalcE5!$K$13=0,CalcE5!$Q$67,VLOOKUP(CalcE5!$B$7,CalcE5!$C$4:$N$12,4,0)))</f>
        <v>Maibach 1822 eV</v>
      </c>
      <c r="S22" s="234">
        <f ca="1">IF(CalcE5!$K$13=0,"",VLOOKUP(CalcE5!$B$7,CalcE5!$C$4:$N$12,9,0))</f>
        <v>3</v>
      </c>
      <c r="T22" s="228">
        <f ca="1">IF(CalcE5!$K$13=0,"",VLOOKUP(CalcE5!$B$7,CalcE5!$C$4:$N$12,10,0))</f>
        <v>0</v>
      </c>
      <c r="U22" s="228">
        <f ca="1">IF(CalcE5!$K$13=0,"",VLOOKUP(CalcE5!$B$7,CalcE5!$C$4:$N$12,11,0))</f>
        <v>0</v>
      </c>
      <c r="V22" s="228">
        <f ca="1">IF(CalcE5!$K$13=0,"",VLOOKUP(CalcE5!$B$7,CalcE5!$C$4:$N$12,12,0))</f>
        <v>3</v>
      </c>
      <c r="W22" s="619">
        <f ca="1">IF(CalcE5!$K$13=0,"",VLOOKUP(CalcE5!$B$7,CalcE5!$C$4:$N$12,5,0))</f>
        <v>3</v>
      </c>
      <c r="X22" s="620" t="str">
        <f>Sprache!$E$111</f>
        <v>:</v>
      </c>
      <c r="Y22" s="438">
        <f ca="1">IF(CalcE5!$K$13=0,"",VLOOKUP(CalcE5!$B$7,CalcE5!$C$4:$N$12,6,0))</f>
        <v>11</v>
      </c>
      <c r="Z22" s="228">
        <f ca="1">IF(CalcE5!$K$13=0,"",VLOOKUP(CalcE5!$B$7,CalcE5!$C$4:$N$12,7,0))</f>
        <v>-8</v>
      </c>
      <c r="AA22" s="233">
        <f ca="1">IF(CalcE5!$K$13=0,"",VLOOKUP(CalcE5!$B$7,CalcE5!$C$4:$N$12,8,0))</f>
        <v>0</v>
      </c>
      <c r="AD22" s="405" t="s">
        <v>352</v>
      </c>
      <c r="AE22" s="474" t="str">
        <f ca="1">IF(Vorrunde!$N$46="","",Vorrunde!$N$46)</f>
        <v>TSG Saalberg eV</v>
      </c>
      <c r="AF22" s="439"/>
      <c r="AG22" s="506"/>
    </row>
    <row r="23" spans="2:33" ht="24" customHeight="1" thickTop="1" x14ac:dyDescent="0.2">
      <c r="B23" s="613"/>
      <c r="C23" s="528">
        <f t="array" aca="1" ref="C23" ca="1">ROW(72:72)-SUM(((Planung!$L$6:$L$65="")+(Planung!$N$6:$N$65="")&gt;0)*1)-SUM((($I$12:$I22="")+($K$12:$K22="")&gt;0)*1)</f>
        <v>50</v>
      </c>
      <c r="D23" s="175">
        <f t="array" aca="1" ref="D23" ca="1">IF(Planung!$U$15,"",$D$12+QUOTIENT(($C23-$C$12),Planung!$U$11)*(Planung!$R$7+Planung!$R$9)/1440+SUM($O$12:$O22)/1440)</f>
        <v>0.66666666666666674</v>
      </c>
      <c r="E23" s="177">
        <f ca="1">IF(Planung!$U$15,"",MOD($C23-$C$12,Planung!$U$11)+1)</f>
        <v>2</v>
      </c>
      <c r="F23" s="416" t="s">
        <v>294</v>
      </c>
      <c r="G23" s="417" t="s">
        <v>5</v>
      </c>
      <c r="H23" s="418" t="s">
        <v>348</v>
      </c>
      <c r="I23" s="516" t="str">
        <f t="shared" ref="I23:I47" ca="1" si="2">IF($F23="","",IF(VLOOKUP($F23,$AD$12:$AE$72,2,0)="","",VLOOKUP($F23,$AD$12:$AE$72,2,0)))</f>
        <v>Borussia Dortmund</v>
      </c>
      <c r="J23" s="517"/>
      <c r="K23" s="518" t="str">
        <f t="shared" ref="K23:K47" ca="1" si="3">IF($H23="","",IF(VLOOKUP($H23,$AD$12:$AE$72,2,0)="","",VLOOKUP($H23,$AD$12:$AE$72,2,0)))</f>
        <v>Paris St. Germain</v>
      </c>
      <c r="L23" s="423">
        <v>1</v>
      </c>
      <c r="M23" s="424" t="str">
        <f>Sprache!$E$111</f>
        <v>:</v>
      </c>
      <c r="N23" s="513">
        <v>3</v>
      </c>
      <c r="O23" s="341"/>
      <c r="AE23" s="634">
        <f t="array" aca="1" ref="AE23" ca="1">SUM((AE19:AE22&lt;&gt;"")*1)</f>
        <v>4</v>
      </c>
      <c r="AF23" s="282"/>
      <c r="AG23" s="506"/>
    </row>
    <row r="24" spans="2:33" ht="24" customHeight="1" thickBot="1" x14ac:dyDescent="0.45">
      <c r="B24" s="316"/>
      <c r="C24" s="528">
        <f t="array" aca="1" ref="C24" ca="1">ROW(73:73)-SUM(((Planung!$L$6:$L$65="")+(Planung!$N$6:$N$65="")&gt;0)*1)-SUM((($I$12:$I23="")+($K$12:$K23="")&gt;0)*1)</f>
        <v>51</v>
      </c>
      <c r="D24" s="175">
        <f t="array" aca="1" ref="D24" ca="1">IF(Planung!$U$15,"",$D$12+QUOTIENT(($C24-$C$12),Planung!$U$11)*(Planung!$R$7+Planung!$R$9)/1440+SUM($O$12:$O23)/1440)</f>
        <v>0.66666666666666674</v>
      </c>
      <c r="E24" s="177">
        <f ca="1">IF(Planung!$U$15,"",MOD($C24-$C$12,Planung!$U$11)+1)</f>
        <v>3</v>
      </c>
      <c r="F24" s="416" t="s">
        <v>307</v>
      </c>
      <c r="G24" s="417" t="s">
        <v>5</v>
      </c>
      <c r="H24" s="418" t="s">
        <v>309</v>
      </c>
      <c r="I24" s="516" t="str">
        <f t="shared" ca="1" si="2"/>
        <v/>
      </c>
      <c r="J24" s="517"/>
      <c r="K24" s="518" t="str">
        <f t="shared" ca="1" si="3"/>
        <v/>
      </c>
      <c r="L24" s="423"/>
      <c r="M24" s="424" t="str">
        <f>Sprache!$E$111</f>
        <v>:</v>
      </c>
      <c r="N24" s="513"/>
      <c r="O24" s="341"/>
      <c r="Q24" s="905" t="str">
        <f>Sprache!$E$62</f>
        <v>Gruppenvierte</v>
      </c>
      <c r="R24" s="905"/>
      <c r="S24" s="905"/>
      <c r="T24" s="905"/>
      <c r="U24" s="905"/>
      <c r="V24" s="905"/>
      <c r="W24" s="199"/>
      <c r="X24" s="199"/>
      <c r="Y24" s="199"/>
      <c r="Z24" s="199"/>
      <c r="AA24" s="199"/>
      <c r="AD24" s="796" t="str">
        <f>Sprache!$E$62</f>
        <v>Gruppenvierte</v>
      </c>
      <c r="AE24" s="796"/>
      <c r="AF24" s="469"/>
      <c r="AG24" s="506"/>
    </row>
    <row r="25" spans="2:33" ht="24" customHeight="1" thickTop="1" thickBot="1" x14ac:dyDescent="0.25">
      <c r="B25" s="316"/>
      <c r="C25" s="528">
        <f t="array" aca="1" ref="C25" ca="1">ROW(74:74)-SUM(((Planung!$L$6:$L$65="")+(Planung!$N$6:$N$65="")&gt;0)*1)-SUM((($I$12:$I24="")+($K$12:$K24="")&gt;0)*1)</f>
        <v>51</v>
      </c>
      <c r="D25" s="175">
        <f t="array" aca="1" ref="D25" ca="1">IF(Planung!$U$15,"",$D$12+QUOTIENT(($C25-$C$12),Planung!$U$11)*(Planung!$R$7+Planung!$R$9)/1440+SUM($O$12:$O24)/1440)</f>
        <v>0.66666666666666674</v>
      </c>
      <c r="E25" s="177">
        <f ca="1">IF(Planung!$U$15,"",MOD($C25-$C$12,Planung!$U$11)+1)</f>
        <v>3</v>
      </c>
      <c r="F25" s="416" t="s">
        <v>304</v>
      </c>
      <c r="G25" s="417" t="s">
        <v>5</v>
      </c>
      <c r="H25" s="418" t="s">
        <v>306</v>
      </c>
      <c r="I25" s="516" t="str">
        <f t="shared" ca="1" si="2"/>
        <v>Maibach 1822 eV</v>
      </c>
      <c r="J25" s="517"/>
      <c r="K25" s="518" t="str">
        <f t="shared" ca="1" si="3"/>
        <v>FSV Rauen</v>
      </c>
      <c r="L25" s="423">
        <v>1</v>
      </c>
      <c r="M25" s="424" t="str">
        <f>Sprache!$E$111</f>
        <v>:</v>
      </c>
      <c r="N25" s="513">
        <v>5</v>
      </c>
      <c r="O25" s="341"/>
      <c r="Q25" s="893"/>
      <c r="R25" s="894"/>
      <c r="S25" s="596" t="str">
        <f>Sprache!$E$21</f>
        <v>SP</v>
      </c>
      <c r="T25" s="202" t="str">
        <f>Sprache!$E$22</f>
        <v>G</v>
      </c>
      <c r="U25" s="202" t="str">
        <f>Sprache!$E$23</f>
        <v>U</v>
      </c>
      <c r="V25" s="595" t="str">
        <f>Sprache!$E$24</f>
        <v>V</v>
      </c>
      <c r="W25" s="895" t="str">
        <f>Sprache!$E$25</f>
        <v>Tore</v>
      </c>
      <c r="X25" s="896"/>
      <c r="Y25" s="897"/>
      <c r="Z25" s="202" t="str">
        <f>Sprache!$E$26</f>
        <v>Diff.</v>
      </c>
      <c r="AA25" s="204" t="str">
        <f>Sprache!$E$27</f>
        <v>Pkt</v>
      </c>
      <c r="AD25" s="441"/>
      <c r="AE25" s="471" t="str">
        <f>Sprache!$E$10</f>
        <v>Teilnehmer bzw. Mannschaft</v>
      </c>
      <c r="AF25" s="430" t="str">
        <f>Sprache!$E$49</f>
        <v>Bonus</v>
      </c>
      <c r="AG25" s="406"/>
    </row>
    <row r="26" spans="2:33" ht="24" customHeight="1" x14ac:dyDescent="0.2">
      <c r="B26" s="316"/>
      <c r="C26" s="528">
        <f t="array" aca="1" ref="C26" ca="1">ROW(75:75)-SUM(((Planung!$L$6:$L$65="")+(Planung!$N$6:$N$65="")&gt;0)*1)-SUM((($I$12:$I25="")+($K$12:$K25="")&gt;0)*1)</f>
        <v>52</v>
      </c>
      <c r="D26" s="175">
        <f t="array" aca="1" ref="D26" ca="1">IF(Planung!$U$15,"",$D$12+QUOTIENT(($C26-$C$12),Planung!$U$11)*(Planung!$R$7+Planung!$R$9)/1440+SUM($O$12:$O25)/1440)</f>
        <v>0.66666666666666674</v>
      </c>
      <c r="E26" s="177">
        <f ca="1">IF(Planung!$U$15,"",MOD($C26-$C$12,Planung!$U$11)+1)</f>
        <v>4</v>
      </c>
      <c r="F26" s="416" t="s">
        <v>301</v>
      </c>
      <c r="G26" s="417" t="s">
        <v>5</v>
      </c>
      <c r="H26" s="418" t="s">
        <v>303</v>
      </c>
      <c r="I26" s="516" t="str">
        <f t="shared" ca="1" si="2"/>
        <v>VFB Essenheim</v>
      </c>
      <c r="J26" s="517"/>
      <c r="K26" s="518" t="str">
        <f t="shared" ca="1" si="3"/>
        <v>Kickers Rodendorf</v>
      </c>
      <c r="L26" s="423">
        <v>4</v>
      </c>
      <c r="M26" s="424" t="str">
        <f>Sprache!$E$111</f>
        <v>:</v>
      </c>
      <c r="N26" s="513">
        <v>4</v>
      </c>
      <c r="O26" s="341"/>
      <c r="Q26" s="621">
        <f ca="1">IF(CalcE4!$K$13=0,"",1)</f>
        <v>1</v>
      </c>
      <c r="R26" s="371" t="str">
        <f ca="1">IF(Calc1!$F$14&lt;3,"",IF(AND(CalcE4!$K$13=0,AE30&lt;&gt;1),CalcE4!$Q$64,VLOOKUP(CalcE4!$B$4,CalcE4!$C$4:$N$12,4,0)))</f>
        <v>SV Oberredenburg</v>
      </c>
      <c r="S26" s="611">
        <f ca="1">IF(CalcE4!$K$13=0,"",VLOOKUP(CalcE4!$B$4,CalcE4!$C$4:$N$12,9,0))</f>
        <v>3</v>
      </c>
      <c r="T26" s="208">
        <f ca="1">IF(CalcE4!$K$13=0,"",VLOOKUP(CalcE4!$B$4,CalcE4!$C$4:$N$12,10,0))</f>
        <v>2</v>
      </c>
      <c r="U26" s="208">
        <f ca="1">IF(CalcE4!$K$13=0,"",VLOOKUP(CalcE4!$B$4,CalcE4!$C$4:$N$12,11,0))</f>
        <v>0</v>
      </c>
      <c r="V26" s="208">
        <f ca="1">IF(CalcE4!$K$13=0,"",VLOOKUP(CalcE4!$B$4,CalcE4!$C$4:$N$12,12,0))</f>
        <v>1</v>
      </c>
      <c r="W26" s="615">
        <f ca="1">IF(CalcE4!$K$13=0,"",VLOOKUP(CalcE4!$B$4,CalcE4!$C$4:$N$12,5,0))</f>
        <v>5</v>
      </c>
      <c r="X26" s="616" t="str">
        <f>Sprache!$E$111</f>
        <v>:</v>
      </c>
      <c r="Y26" s="612">
        <f ca="1">IF(CalcE4!$K$13=0,"",VLOOKUP(CalcE4!$B$4,CalcE4!$C$4:$N$12,6,0))</f>
        <v>4</v>
      </c>
      <c r="Z26" s="208">
        <f ca="1">IF(CalcE4!$K$13=0,"",VLOOKUP(CalcE4!$B$4,CalcE4!$C$4:$N$12,7,0))</f>
        <v>1</v>
      </c>
      <c r="AA26" s="213">
        <f ca="1">IF(CalcE4!$K$13=0,"",VLOOKUP(CalcE4!$B$4,CalcE4!$C$4:$N$12,8,0))</f>
        <v>6</v>
      </c>
      <c r="AD26" s="594" t="s">
        <v>301</v>
      </c>
      <c r="AE26" s="472" t="str">
        <f ca="1">IF(Vorrunde!$N$15="","",Vorrunde!$N$15)</f>
        <v>VFB Essenheim</v>
      </c>
      <c r="AF26" s="433"/>
      <c r="AG26" s="280"/>
    </row>
    <row r="27" spans="2:33" ht="24" customHeight="1" x14ac:dyDescent="0.4">
      <c r="B27" s="523"/>
      <c r="C27" s="528">
        <f t="array" aca="1" ref="C27" ca="1">ROW(76:76)-SUM(((Planung!$L$6:$L$65="")+(Planung!$N$6:$N$65="")&gt;0)*1)-SUM((($I$12:$I26="")+($K$12:$K26="")&gt;0)*1)</f>
        <v>53</v>
      </c>
      <c r="D27" s="175">
        <f t="array" aca="1" ref="D27" ca="1">IF(Planung!$U$15,"",$D$12+QUOTIENT(($C27-$C$12),Planung!$U$11)*(Planung!$R$7+Planung!$R$9)/1440+SUM($O$12:$O26)/1440)</f>
        <v>0.69097222222222221</v>
      </c>
      <c r="E27" s="177">
        <f ca="1">IF(Planung!$U$15,"",MOD($C27-$C$12,Planung!$U$11)+1)</f>
        <v>1</v>
      </c>
      <c r="F27" s="416" t="s">
        <v>298</v>
      </c>
      <c r="G27" s="417" t="s">
        <v>5</v>
      </c>
      <c r="H27" s="418" t="s">
        <v>300</v>
      </c>
      <c r="I27" s="516" t="str">
        <f t="shared" ca="1" si="2"/>
        <v>1. FC Riedwald</v>
      </c>
      <c r="J27" s="517"/>
      <c r="K27" s="518" t="str">
        <f t="shared" ca="1" si="3"/>
        <v>1. FC Nürnberg</v>
      </c>
      <c r="L27" s="423">
        <v>0</v>
      </c>
      <c r="M27" s="424" t="str">
        <f>Sprache!$E$111</f>
        <v>:</v>
      </c>
      <c r="N27" s="513">
        <v>7</v>
      </c>
      <c r="O27" s="341"/>
      <c r="Q27" s="622">
        <f ca="1">IF(CalcE4!$K$13=0,"",IF(VLOOKUP(CalcE4!$B$5,CalcE4!$C$4:$E$12,3,0)=MAX($Q26:$Q26),VLOOKUP(CalcE4!$B$5,CalcE4!$C$4:$E$12,3,0),CalcE4!$B$5))</f>
        <v>2</v>
      </c>
      <c r="R27" s="373" t="str">
        <f ca="1">IF(OR(Calc1!$F$14&lt;3,AE30=1),"",IF(CalcE4!$K$13=0,CalcE4!$Q$65,VLOOKUP(CalcE4!$B$5,CalcE4!$C$4:$N$12,4,0)))</f>
        <v>Kickers Rodendorf</v>
      </c>
      <c r="S27" s="223">
        <f ca="1">IF(CalcE4!$K$13=0,"",VLOOKUP(CalcE4!$B$5,CalcE4!$C$4:$N$12,9,0))</f>
        <v>3</v>
      </c>
      <c r="T27" s="198">
        <f ca="1">IF(CalcE4!$K$13=0,"",VLOOKUP(CalcE4!$B$5,CalcE4!$C$4:$N$12,10,0))</f>
        <v>1</v>
      </c>
      <c r="U27" s="198">
        <f ca="1">IF(CalcE4!$K$13=0,"",VLOOKUP(CalcE4!$B$5,CalcE4!$C$4:$N$12,11,0))</f>
        <v>1</v>
      </c>
      <c r="V27" s="198">
        <f ca="1">IF(CalcE4!$K$13=0,"",VLOOKUP(CalcE4!$B$5,CalcE4!$C$4:$N$12,12,0))</f>
        <v>1</v>
      </c>
      <c r="W27" s="617">
        <f ca="1">IF(CalcE4!$K$13=0,"",VLOOKUP(CalcE4!$B$5,CalcE4!$C$4:$N$12,5,0))</f>
        <v>9</v>
      </c>
      <c r="X27" s="618" t="str">
        <f>Sprache!$E$111</f>
        <v>:</v>
      </c>
      <c r="Y27" s="435">
        <f ca="1">IF(CalcE4!$K$13=0,"",VLOOKUP(CalcE4!$B$5,CalcE4!$C$4:$N$12,6,0))</f>
        <v>9</v>
      </c>
      <c r="Z27" s="198">
        <f ca="1">IF(CalcE4!$K$13=0,"",VLOOKUP(CalcE4!$B$5,CalcE4!$C$4:$N$12,7,0))</f>
        <v>0</v>
      </c>
      <c r="AA27" s="222">
        <f ca="1">IF(CalcE4!$K$13=0,"",VLOOKUP(CalcE4!$B$5,CalcE4!$C$4:$N$12,8,0))</f>
        <v>4</v>
      </c>
      <c r="AD27" s="440" t="s">
        <v>302</v>
      </c>
      <c r="AE27" s="473" t="str">
        <f ca="1">IF(Vorrunde!$N$25="","",Vorrunde!$N$25)</f>
        <v>FC Grönlingen</v>
      </c>
      <c r="AF27" s="436"/>
      <c r="AG27" s="470"/>
    </row>
    <row r="28" spans="2:33" ht="24" customHeight="1" x14ac:dyDescent="0.2">
      <c r="B28" s="523"/>
      <c r="C28" s="528">
        <f t="array" aca="1" ref="C28" ca="1">ROW(77:77)-SUM(((Planung!$L$6:$L$65="")+(Planung!$N$6:$N$65="")&gt;0)*1)-SUM((($I$12:$I27="")+($K$12:$K27="")&gt;0)*1)</f>
        <v>54</v>
      </c>
      <c r="D28" s="175">
        <f t="array" aca="1" ref="D28" ca="1">IF(Planung!$U$15,"",$D$12+QUOTIENT(($C28-$C$12),Planung!$U$11)*(Planung!$R$7+Planung!$R$9)/1440+SUM($O$12:$O27)/1440)</f>
        <v>0.69097222222222221</v>
      </c>
      <c r="E28" s="177">
        <f ca="1">IF(Planung!$U$15,"",MOD($C28-$C$12,Planung!$U$11)+1)</f>
        <v>2</v>
      </c>
      <c r="F28" s="416" t="s">
        <v>382</v>
      </c>
      <c r="G28" s="417" t="s">
        <v>5</v>
      </c>
      <c r="H28" s="418" t="s">
        <v>297</v>
      </c>
      <c r="I28" s="516" t="str">
        <f t="shared" ca="1" si="2"/>
        <v>Eintracht Frankfurt</v>
      </c>
      <c r="J28" s="517"/>
      <c r="K28" s="518" t="str">
        <f t="shared" ca="1" si="3"/>
        <v>Real Madrid</v>
      </c>
      <c r="L28" s="423">
        <v>2</v>
      </c>
      <c r="M28" s="424" t="str">
        <f>Sprache!$E$111</f>
        <v>:</v>
      </c>
      <c r="N28" s="513">
        <v>8</v>
      </c>
      <c r="O28" s="341"/>
      <c r="Q28" s="622">
        <f ca="1">IF(CalcE4!$K$13=0,"",IF(VLOOKUP(CalcE4!$B$6,CalcE4!$C$4:$E$12,3,0)=MAX($Q26:$Q27),VLOOKUP(CalcE4!$B$6,CalcE4!$C$4:$E$12,3,0),CalcE4!$B$6))</f>
        <v>3</v>
      </c>
      <c r="R28" s="373" t="str">
        <f ca="1">IF(OR(Calc1!$F$14&lt;3,AE30=1),"",IF(CalcE4!$K$13=0,CalcE4!$Q$66,VLOOKUP(CalcE4!$B$6,CalcE4!$C$4:$N$12,4,0)))</f>
        <v>VFB Essenheim</v>
      </c>
      <c r="S28" s="223">
        <f ca="1">IF(CalcE4!$K$13=0,"",VLOOKUP(CalcE4!$B$6,CalcE4!$C$4:$N$12,9,0))</f>
        <v>3</v>
      </c>
      <c r="T28" s="198">
        <f ca="1">IF(CalcE4!$K$13=0,"",VLOOKUP(CalcE4!$B$6,CalcE4!$C$4:$N$12,10,0))</f>
        <v>1</v>
      </c>
      <c r="U28" s="198">
        <f ca="1">IF(CalcE4!$K$13=0,"",VLOOKUP(CalcE4!$B$6,CalcE4!$C$4:$N$12,11,0))</f>
        <v>1</v>
      </c>
      <c r="V28" s="198">
        <f ca="1">IF(CalcE4!$K$13=0,"",VLOOKUP(CalcE4!$B$6,CalcE4!$C$4:$N$12,12,0))</f>
        <v>1</v>
      </c>
      <c r="W28" s="617">
        <f ca="1">IF(CalcE4!$K$13=0,"",VLOOKUP(CalcE4!$B$6,CalcE4!$C$4:$N$12,5,0))</f>
        <v>6</v>
      </c>
      <c r="X28" s="618" t="str">
        <f>Sprache!$E$111</f>
        <v>:</v>
      </c>
      <c r="Y28" s="435">
        <f ca="1">IF(CalcE4!$K$13=0,"",VLOOKUP(CalcE4!$B$6,CalcE4!$C$4:$N$12,6,0))</f>
        <v>6</v>
      </c>
      <c r="Z28" s="198">
        <f ca="1">IF(CalcE4!$K$13=0,"",VLOOKUP(CalcE4!$B$6,CalcE4!$C$4:$N$12,7,0))</f>
        <v>0</v>
      </c>
      <c r="AA28" s="222">
        <f ca="1">IF(CalcE4!$K$13=0,"",VLOOKUP(CalcE4!$B$6,CalcE4!$C$4:$N$12,8,0))</f>
        <v>4</v>
      </c>
      <c r="AD28" s="593" t="s">
        <v>303</v>
      </c>
      <c r="AE28" s="473" t="str">
        <f ca="1">IF(Vorrunde!$N$35="","",Vorrunde!$N$35)</f>
        <v>Kickers Rodendorf</v>
      </c>
      <c r="AF28" s="436"/>
      <c r="AG28" s="408"/>
    </row>
    <row r="29" spans="2:33" ht="24" customHeight="1" thickBot="1" x14ac:dyDescent="0.25">
      <c r="B29" s="316"/>
      <c r="C29" s="528">
        <f t="array" aca="1" ref="C29" ca="1">ROW(78:78)-SUM(((Planung!$L$6:$L$65="")+(Planung!$N$6:$N$65="")&gt;0)*1)-SUM((($I$12:$I28="")+($K$12:$K28="")&gt;0)*1)</f>
        <v>55</v>
      </c>
      <c r="D29" s="175">
        <f t="array" aca="1" ref="D29" ca="1">IF(Planung!$U$15,"",$D$12+QUOTIENT(($C29-$C$12),Planung!$U$11)*(Planung!$R$7+Planung!$R$9)/1440+SUM($O$12:$O28)/1440)</f>
        <v>0.69097222222222221</v>
      </c>
      <c r="E29" s="177">
        <f ca="1">IF(Planung!$U$15,"",MOD($C29-$C$12,Planung!$U$11)+1)</f>
        <v>3</v>
      </c>
      <c r="F29" s="416" t="s">
        <v>292</v>
      </c>
      <c r="G29" s="417" t="s">
        <v>5</v>
      </c>
      <c r="H29" s="418" t="s">
        <v>294</v>
      </c>
      <c r="I29" s="516" t="str">
        <f t="shared" ca="1" si="2"/>
        <v>FC Barcelona</v>
      </c>
      <c r="J29" s="517"/>
      <c r="K29" s="518" t="str">
        <f t="shared" ca="1" si="3"/>
        <v>Borussia Dortmund</v>
      </c>
      <c r="L29" s="423">
        <v>4</v>
      </c>
      <c r="M29" s="424" t="str">
        <f>Sprache!$E$111</f>
        <v>:</v>
      </c>
      <c r="N29" s="513">
        <v>0</v>
      </c>
      <c r="O29" s="341"/>
      <c r="Q29" s="623">
        <f ca="1">IF(CalcE4!$K$13=0,"",IF(VLOOKUP(CalcE4!$B$7,CalcE4!$C$4:$E$12,3,0)=MAX($Q26:$Q28),VLOOKUP(CalcE4!$B$7,CalcE4!$C$4:$E$12,3,0),CalcE4!$B$7))</f>
        <v>4</v>
      </c>
      <c r="R29" s="375" t="str">
        <f ca="1">IF(OR(Calc1!$F$14&lt;3,AE30=1),"",IF(CalcE4!$K$13=0,CalcE4!$Q$67,VLOOKUP(CalcE4!$B$7,CalcE4!$C$4:$N$12,4,0)))</f>
        <v>FC Grönlingen</v>
      </c>
      <c r="S29" s="234">
        <f ca="1">IF(CalcE4!$K$13=0,"",VLOOKUP(CalcE4!$B$7,CalcE4!$C$4:$N$12,9,0))</f>
        <v>3</v>
      </c>
      <c r="T29" s="228">
        <f ca="1">IF(CalcE4!$K$13=0,"",VLOOKUP(CalcE4!$B$7,CalcE4!$C$4:$N$12,10,0))</f>
        <v>1</v>
      </c>
      <c r="U29" s="228">
        <f ca="1">IF(CalcE4!$K$13=0,"",VLOOKUP(CalcE4!$B$7,CalcE4!$C$4:$N$12,11,0))</f>
        <v>0</v>
      </c>
      <c r="V29" s="228">
        <f ca="1">IF(CalcE4!$K$13=0,"",VLOOKUP(CalcE4!$B$7,CalcE4!$C$4:$N$12,12,0))</f>
        <v>2</v>
      </c>
      <c r="W29" s="619">
        <f ca="1">IF(CalcE4!$K$13=0,"",VLOOKUP(CalcE4!$B$7,CalcE4!$C$4:$N$12,5,0))</f>
        <v>7</v>
      </c>
      <c r="X29" s="620" t="str">
        <f>Sprache!$E$111</f>
        <v>:</v>
      </c>
      <c r="Y29" s="438">
        <f ca="1">IF(CalcE4!$K$13=0,"",VLOOKUP(CalcE4!$B$7,CalcE4!$C$4:$N$12,6,0))</f>
        <v>8</v>
      </c>
      <c r="Z29" s="228">
        <f ca="1">IF(CalcE4!$K$13=0,"",VLOOKUP(CalcE4!$B$7,CalcE4!$C$4:$N$12,7,0))</f>
        <v>-1</v>
      </c>
      <c r="AA29" s="233">
        <f ca="1">IF(CalcE4!$K$13=0,"",VLOOKUP(CalcE4!$B$7,CalcE4!$C$4:$N$12,8,0))</f>
        <v>3</v>
      </c>
      <c r="AD29" s="405" t="s">
        <v>351</v>
      </c>
      <c r="AE29" s="474" t="str">
        <f ca="1">IF(Vorrunde!$N$45="","",Vorrunde!$N$45)</f>
        <v>SV Oberredenburg</v>
      </c>
      <c r="AF29" s="439"/>
      <c r="AG29" s="506"/>
    </row>
    <row r="30" spans="2:33" ht="24" customHeight="1" thickTop="1" x14ac:dyDescent="0.2">
      <c r="B30" s="316"/>
      <c r="C30" s="528">
        <f t="array" aca="1" ref="C30" ca="1">ROW(79:79)-SUM(((Planung!$L$6:$L$65="")+(Planung!$N$6:$N$65="")&gt;0)*1)-SUM((($I$12:$I29="")+($K$12:$K29="")&gt;0)*1)</f>
        <v>56</v>
      </c>
      <c r="D30" s="175">
        <f t="array" aca="1" ref="D30" ca="1">IF(Planung!$U$15,"",$D$12+QUOTIENT(($C30-$C$12),Planung!$U$11)*(Planung!$R$7+Planung!$R$9)/1440+SUM($O$12:$O29)/1440)</f>
        <v>0.69097222222222221</v>
      </c>
      <c r="E30" s="177">
        <f ca="1">IF(Planung!$U$15,"",MOD($C30-$C$12,Planung!$U$11)+1)</f>
        <v>4</v>
      </c>
      <c r="F30" s="416" t="s">
        <v>353</v>
      </c>
      <c r="G30" s="417" t="s">
        <v>5</v>
      </c>
      <c r="H30" s="418" t="s">
        <v>308</v>
      </c>
      <c r="I30" s="516" t="str">
        <f t="shared" ca="1" si="2"/>
        <v/>
      </c>
      <c r="J30" s="517"/>
      <c r="K30" s="518" t="str">
        <f t="shared" ca="1" si="3"/>
        <v/>
      </c>
      <c r="L30" s="423"/>
      <c r="M30" s="424" t="str">
        <f>Sprache!$E$111</f>
        <v>:</v>
      </c>
      <c r="N30" s="513"/>
      <c r="O30" s="341"/>
      <c r="AE30" s="634">
        <f t="array" aca="1" ref="AE30" ca="1">SUM((AE26:AE29&lt;&gt;"")*1)</f>
        <v>4</v>
      </c>
      <c r="AF30" s="468"/>
      <c r="AG30" s="506"/>
    </row>
    <row r="31" spans="2:33" ht="24" customHeight="1" thickBot="1" x14ac:dyDescent="0.45">
      <c r="B31" s="523"/>
      <c r="C31" s="528">
        <f t="array" aca="1" ref="C31" ca="1">ROW(80:80)-SUM(((Planung!$L$6:$L$65="")+(Planung!$N$6:$N$65="")&gt;0)*1)-SUM((($I$12:$I30="")+($K$12:$K30="")&gt;0)*1)</f>
        <v>56</v>
      </c>
      <c r="D31" s="175">
        <f t="array" aca="1" ref="D31" ca="1">IF(Planung!$U$15,"",$D$12+QUOTIENT(($C31-$C$12),Planung!$U$11)*(Planung!$R$7+Planung!$R$9)/1440+SUM($O$12:$O30)/1440)</f>
        <v>0.69097222222222221</v>
      </c>
      <c r="E31" s="177">
        <f ca="1">IF(Planung!$U$15,"",MOD($C31-$C$12,Planung!$U$11)+1)</f>
        <v>4</v>
      </c>
      <c r="F31" s="416" t="s">
        <v>352</v>
      </c>
      <c r="G31" s="417" t="s">
        <v>5</v>
      </c>
      <c r="H31" s="415" t="s">
        <v>305</v>
      </c>
      <c r="I31" s="516" t="str">
        <f t="shared" ca="1" si="2"/>
        <v>TSG Saalberg eV</v>
      </c>
      <c r="J31" s="517"/>
      <c r="K31" s="518" t="str">
        <f t="shared" ca="1" si="3"/>
        <v>SSV Wildbach</v>
      </c>
      <c r="L31" s="423">
        <v>4</v>
      </c>
      <c r="M31" s="424" t="str">
        <f>Sprache!$E$111</f>
        <v>:</v>
      </c>
      <c r="N31" s="513">
        <v>1</v>
      </c>
      <c r="O31" s="341"/>
      <c r="Q31" s="905" t="str">
        <f>Sprache!$E$61</f>
        <v>Gruppendritte</v>
      </c>
      <c r="R31" s="905"/>
      <c r="S31" s="905"/>
      <c r="T31" s="905"/>
      <c r="U31" s="905"/>
      <c r="V31" s="905"/>
      <c r="W31" s="199"/>
      <c r="X31" s="199"/>
      <c r="Y31" s="199"/>
      <c r="Z31" s="199"/>
      <c r="AA31" s="199"/>
      <c r="AD31" s="796" t="str">
        <f>Sprache!$E$61</f>
        <v>Gruppendritte</v>
      </c>
      <c r="AE31" s="796"/>
      <c r="AF31" s="468"/>
      <c r="AG31" s="506"/>
    </row>
    <row r="32" spans="2:33" ht="24" customHeight="1" thickTop="1" thickBot="1" x14ac:dyDescent="0.25">
      <c r="B32" s="523"/>
      <c r="C32" s="528">
        <f t="array" aca="1" ref="C32" ca="1">ROW(81:81)-SUM(((Planung!$L$6:$L$65="")+(Planung!$N$6:$N$65="")&gt;0)*1)-SUM((($I$12:$I31="")+($K$12:$K31="")&gt;0)*1)</f>
        <v>57</v>
      </c>
      <c r="D32" s="175">
        <f t="array" aca="1" ref="D32" ca="1">IF(Planung!$U$15,"",$D$12+QUOTIENT(($C32-$C$12),Planung!$U$11)*(Planung!$R$7+Planung!$R$9)/1440+SUM($O$12:$O31)/1440)</f>
        <v>0.71527777777777779</v>
      </c>
      <c r="E32" s="177">
        <f ca="1">IF(Planung!$U$15,"",MOD($C32-$C$12,Planung!$U$11)+1)</f>
        <v>1</v>
      </c>
      <c r="F32" s="416" t="s">
        <v>351</v>
      </c>
      <c r="G32" s="417" t="s">
        <v>5</v>
      </c>
      <c r="H32" s="415" t="s">
        <v>302</v>
      </c>
      <c r="I32" s="516" t="str">
        <f t="shared" ca="1" si="2"/>
        <v>SV Oberredenburg</v>
      </c>
      <c r="J32" s="517"/>
      <c r="K32" s="518" t="str">
        <f t="shared" ca="1" si="3"/>
        <v>FC Grönlingen</v>
      </c>
      <c r="L32" s="423">
        <v>3</v>
      </c>
      <c r="M32" s="424" t="str">
        <f>Sprache!$E$111</f>
        <v>:</v>
      </c>
      <c r="N32" s="513">
        <v>2</v>
      </c>
      <c r="O32" s="341"/>
      <c r="Q32" s="893"/>
      <c r="R32" s="894"/>
      <c r="S32" s="596" t="str">
        <f>Sprache!$E$21</f>
        <v>SP</v>
      </c>
      <c r="T32" s="202" t="str">
        <f>Sprache!$E$22</f>
        <v>G</v>
      </c>
      <c r="U32" s="202" t="str">
        <f>Sprache!$E$23</f>
        <v>U</v>
      </c>
      <c r="V32" s="595" t="str">
        <f>Sprache!$E$24</f>
        <v>V</v>
      </c>
      <c r="W32" s="895" t="str">
        <f>Sprache!$E$25</f>
        <v>Tore</v>
      </c>
      <c r="X32" s="896"/>
      <c r="Y32" s="897"/>
      <c r="Z32" s="202" t="str">
        <f>Sprache!$E$26</f>
        <v>Diff.</v>
      </c>
      <c r="AA32" s="204" t="str">
        <f>Sprache!$E$27</f>
        <v>Pkt</v>
      </c>
      <c r="AD32" s="441"/>
      <c r="AE32" s="471" t="str">
        <f>Sprache!$E$10</f>
        <v>Teilnehmer bzw. Mannschaft</v>
      </c>
      <c r="AF32" s="430" t="str">
        <f>Sprache!$E$49</f>
        <v>Bonus</v>
      </c>
      <c r="AG32" s="506"/>
    </row>
    <row r="33" spans="2:33" ht="24" customHeight="1" x14ac:dyDescent="0.2">
      <c r="B33" s="316"/>
      <c r="C33" s="528">
        <f t="array" aca="1" ref="C33" ca="1">ROW(82:82)-SUM(((Planung!$L$6:$L$65="")+(Planung!$N$6:$N$65="")&gt;0)*1)-SUM((($I$12:$I32="")+($K$12:$K32="")&gt;0)*1)</f>
        <v>58</v>
      </c>
      <c r="D33" s="175">
        <f t="array" aca="1" ref="D33" ca="1">IF(Planung!$U$15,"",$D$12+QUOTIENT(($C33-$C$12),Planung!$U$11)*(Planung!$R$7+Planung!$R$9)/1440+SUM($O$12:$O32)/1440)</f>
        <v>0.71527777777777779</v>
      </c>
      <c r="E33" s="177">
        <f ca="1">IF(Planung!$U$15,"",MOD($C33-$C$12,Planung!$U$11)+1)</f>
        <v>2</v>
      </c>
      <c r="F33" s="416" t="s">
        <v>350</v>
      </c>
      <c r="G33" s="417" t="s">
        <v>5</v>
      </c>
      <c r="H33" s="415" t="s">
        <v>299</v>
      </c>
      <c r="I33" s="516" t="str">
        <f t="shared" ca="1" si="2"/>
        <v>HSV</v>
      </c>
      <c r="J33" s="517"/>
      <c r="K33" s="518" t="str">
        <f t="shared" ca="1" si="3"/>
        <v>Mainz 05</v>
      </c>
      <c r="L33" s="423">
        <v>0</v>
      </c>
      <c r="M33" s="424" t="str">
        <f>Sprache!$E$111</f>
        <v>:</v>
      </c>
      <c r="N33" s="513">
        <v>3</v>
      </c>
      <c r="O33" s="341"/>
      <c r="Q33" s="621">
        <f ca="1">IF(CalcE3!$K$13=0,"",1)</f>
        <v>1</v>
      </c>
      <c r="R33" s="371" t="str">
        <f ca="1">IF(Calc1!$F$14&lt;3,"",IF(AND(CalcE3!$K$13=0,AE37&lt;&gt;1),CalcE3!$Q$64,VLOOKUP(CalcE3!$B$4,CalcE3!$C$4:$N$12,4,0)))</f>
        <v>1. FC Nürnberg</v>
      </c>
      <c r="S33" s="611">
        <f ca="1">IF(CalcE3!$K$13=0,"",VLOOKUP(CalcE3!$B$4,CalcE3!$C$4:$N$12,9,0))</f>
        <v>3</v>
      </c>
      <c r="T33" s="208">
        <f ca="1">IF(CalcE3!$K$13=0,"",VLOOKUP(CalcE3!$B$4,CalcE3!$C$4:$N$12,10,0))</f>
        <v>2</v>
      </c>
      <c r="U33" s="208">
        <f ca="1">IF(CalcE3!$K$13=0,"",VLOOKUP(CalcE3!$B$4,CalcE3!$C$4:$N$12,11,0))</f>
        <v>1</v>
      </c>
      <c r="V33" s="208">
        <f ca="1">IF(CalcE3!$K$13=0,"",VLOOKUP(CalcE3!$B$4,CalcE3!$C$4:$N$12,12,0))</f>
        <v>0</v>
      </c>
      <c r="W33" s="615">
        <f ca="1">IF(CalcE3!$K$13=0,"",VLOOKUP(CalcE3!$B$4,CalcE3!$C$4:$N$12,5,0))</f>
        <v>11</v>
      </c>
      <c r="X33" s="616" t="str">
        <f>Sprache!$E$111</f>
        <v>:</v>
      </c>
      <c r="Y33" s="612">
        <f ca="1">IF(CalcE3!$K$13=0,"",VLOOKUP(CalcE3!$B$4,CalcE3!$C$4:$N$12,6,0))</f>
        <v>2</v>
      </c>
      <c r="Z33" s="208">
        <f ca="1">IF(CalcE3!$K$13=0,"",VLOOKUP(CalcE3!$B$4,CalcE3!$C$4:$N$12,7,0))</f>
        <v>9</v>
      </c>
      <c r="AA33" s="213">
        <f ca="1">IF(CalcE3!$K$13=0,"",VLOOKUP(CalcE3!$B$4,CalcE3!$C$4:$N$12,8,0))</f>
        <v>7</v>
      </c>
      <c r="AD33" s="594" t="s">
        <v>298</v>
      </c>
      <c r="AE33" s="472" t="str">
        <f ca="1">IF(Vorrunde!$N$14="","",Vorrunde!$N$14)</f>
        <v>1. FC Riedwald</v>
      </c>
      <c r="AF33" s="433"/>
      <c r="AG33" s="282"/>
    </row>
    <row r="34" spans="2:33" ht="24" customHeight="1" x14ac:dyDescent="0.2">
      <c r="B34" s="316"/>
      <c r="C34" s="528">
        <f t="array" aca="1" ref="C34" ca="1">ROW(83:83)-SUM(((Planung!$L$6:$L$65="")+(Planung!$N$6:$N$65="")&gt;0)*1)-SUM((($I$12:$I33="")+($K$12:$K33="")&gt;0)*1)</f>
        <v>59</v>
      </c>
      <c r="D34" s="175">
        <f t="array" aca="1" ref="D34" ca="1">IF(Planung!$U$15,"",$D$12+QUOTIENT(($C34-$C$12),Planung!$U$11)*(Planung!$R$7+Planung!$R$9)/1440+SUM($O$12:$O33)/1440)</f>
        <v>0.71527777777777779</v>
      </c>
      <c r="E34" s="177">
        <f ca="1">IF(Planung!$U$15,"",MOD($C34-$C$12,Planung!$U$11)+1)</f>
        <v>3</v>
      </c>
      <c r="F34" s="416" t="s">
        <v>349</v>
      </c>
      <c r="G34" s="417" t="s">
        <v>5</v>
      </c>
      <c r="H34" s="418" t="s">
        <v>296</v>
      </c>
      <c r="I34" s="516" t="str">
        <f t="shared" ca="1" si="2"/>
        <v>RB Leipzig</v>
      </c>
      <c r="J34" s="517"/>
      <c r="K34" s="518" t="str">
        <f t="shared" ca="1" si="3"/>
        <v>Inter Mailand</v>
      </c>
      <c r="L34" s="423">
        <v>1</v>
      </c>
      <c r="M34" s="424" t="str">
        <f>Sprache!$E$111</f>
        <v>:</v>
      </c>
      <c r="N34" s="513">
        <v>1</v>
      </c>
      <c r="O34" s="341"/>
      <c r="Q34" s="622">
        <f ca="1">IF(CalcE3!$K$13=0,"",IF(VLOOKUP(CalcE3!$B$5,CalcE3!$C$4:$E$12,3,0)=MAX($Q33:$Q33),VLOOKUP(CalcE3!$B$5,CalcE3!$C$4:$E$12,3,0),CalcE3!$B$5))</f>
        <v>2</v>
      </c>
      <c r="R34" s="373" t="str">
        <f ca="1">IF(OR(Calc1!$F$14&lt;3,AE37=1),"",IF(CalcE3!$K$13=0,CalcE3!$Q$65,VLOOKUP(CalcE3!$B$5,CalcE3!$C$4:$N$12,4,0)))</f>
        <v>Mainz 05</v>
      </c>
      <c r="S34" s="223">
        <f ca="1">IF(CalcE3!$K$13=0,"",VLOOKUP(CalcE3!$B$5,CalcE3!$C$4:$N$12,9,0))</f>
        <v>3</v>
      </c>
      <c r="T34" s="198">
        <f ca="1">IF(CalcE3!$K$13=0,"",VLOOKUP(CalcE3!$B$5,CalcE3!$C$4:$N$12,10,0))</f>
        <v>1</v>
      </c>
      <c r="U34" s="198">
        <f ca="1">IF(CalcE3!$K$13=0,"",VLOOKUP(CalcE3!$B$5,CalcE3!$C$4:$N$12,11,0))</f>
        <v>2</v>
      </c>
      <c r="V34" s="198">
        <f ca="1">IF(CalcE3!$K$13=0,"",VLOOKUP(CalcE3!$B$5,CalcE3!$C$4:$N$12,12,0))</f>
        <v>0</v>
      </c>
      <c r="W34" s="617">
        <f ca="1">IF(CalcE3!$K$13=0,"",VLOOKUP(CalcE3!$B$5,CalcE3!$C$4:$N$12,5,0))</f>
        <v>4</v>
      </c>
      <c r="X34" s="618" t="str">
        <f>Sprache!$E$111</f>
        <v>:</v>
      </c>
      <c r="Y34" s="435">
        <f ca="1">IF(CalcE3!$K$13=0,"",VLOOKUP(CalcE3!$B$5,CalcE3!$C$4:$N$12,6,0))</f>
        <v>1</v>
      </c>
      <c r="Z34" s="198">
        <f ca="1">IF(CalcE3!$K$13=0,"",VLOOKUP(CalcE3!$B$5,CalcE3!$C$4:$N$12,7,0))</f>
        <v>3</v>
      </c>
      <c r="AA34" s="222">
        <f ca="1">IF(CalcE3!$K$13=0,"",VLOOKUP(CalcE3!$B$5,CalcE3!$C$4:$N$12,8,0))</f>
        <v>5</v>
      </c>
      <c r="AD34" s="440" t="s">
        <v>299</v>
      </c>
      <c r="AE34" s="473" t="str">
        <f ca="1">IF(Vorrunde!$N$24="","",Vorrunde!$N$24)</f>
        <v>Mainz 05</v>
      </c>
      <c r="AF34" s="436"/>
      <c r="AG34" s="282"/>
    </row>
    <row r="35" spans="2:33" ht="24" customHeight="1" x14ac:dyDescent="0.2">
      <c r="B35" s="523"/>
      <c r="C35" s="528">
        <f t="array" aca="1" ref="C35" ca="1">ROW(84:84)-SUM(((Planung!$L$6:$L$65="")+(Planung!$N$6:$N$65="")&gt;0)*1)-SUM((($I$12:$I34="")+($K$12:$K34="")&gt;0)*1)</f>
        <v>60</v>
      </c>
      <c r="D35" s="175">
        <f t="array" aca="1" ref="D35" ca="1">IF(Planung!$U$15,"",$D$12+QUOTIENT(($C35-$C$12),Planung!$U$11)*(Planung!$R$7+Planung!$R$9)/1440+SUM($O$12:$O34)/1440)</f>
        <v>0.71527777777777779</v>
      </c>
      <c r="E35" s="177">
        <f ca="1">IF(Planung!$U$15,"",MOD($C35-$C$12,Planung!$U$11)+1)</f>
        <v>4</v>
      </c>
      <c r="F35" s="416" t="s">
        <v>348</v>
      </c>
      <c r="G35" s="417" t="s">
        <v>5</v>
      </c>
      <c r="H35" s="418" t="s">
        <v>293</v>
      </c>
      <c r="I35" s="516" t="str">
        <f t="shared" ca="1" si="2"/>
        <v>Paris St. Germain</v>
      </c>
      <c r="J35" s="517"/>
      <c r="K35" s="518" t="str">
        <f t="shared" ca="1" si="3"/>
        <v>Manchester City</v>
      </c>
      <c r="L35" s="423">
        <v>3</v>
      </c>
      <c r="M35" s="424" t="str">
        <f>Sprache!$E$111</f>
        <v>:</v>
      </c>
      <c r="N35" s="513">
        <v>2</v>
      </c>
      <c r="O35" s="341"/>
      <c r="Q35" s="622">
        <f ca="1">IF(CalcE3!$K$13=0,"",IF(VLOOKUP(CalcE3!$B$6,CalcE3!$C$4:$E$12,3,0)=MAX($Q33:$Q34),VLOOKUP(CalcE3!$B$6,CalcE3!$C$4:$E$12,3,0),CalcE3!$B$6))</f>
        <v>3</v>
      </c>
      <c r="R35" s="373" t="str">
        <f ca="1">IF(OR(Calc1!$F$14&lt;3,AE37=1),"",IF(CalcE3!$K$13=0,CalcE3!$Q$66,VLOOKUP(CalcE3!$B$6,CalcE3!$C$4:$N$12,4,0)))</f>
        <v>HSV</v>
      </c>
      <c r="S35" s="223">
        <f ca="1">IF(CalcE3!$K$13=0,"",VLOOKUP(CalcE3!$B$6,CalcE3!$C$4:$N$12,9,0))</f>
        <v>3</v>
      </c>
      <c r="T35" s="198">
        <f ca="1">IF(CalcE3!$K$13=0,"",VLOOKUP(CalcE3!$B$6,CalcE3!$C$4:$N$12,10,0))</f>
        <v>1</v>
      </c>
      <c r="U35" s="198">
        <f ca="1">IF(CalcE3!$K$13=0,"",VLOOKUP(CalcE3!$B$6,CalcE3!$C$4:$N$12,11,0))</f>
        <v>0</v>
      </c>
      <c r="V35" s="198">
        <f ca="1">IF(CalcE3!$K$13=0,"",VLOOKUP(CalcE3!$B$6,CalcE3!$C$4:$N$12,12,0))</f>
        <v>2</v>
      </c>
      <c r="W35" s="617">
        <f ca="1">IF(CalcE3!$K$13=0,"",VLOOKUP(CalcE3!$B$6,CalcE3!$C$4:$N$12,5,0))</f>
        <v>3</v>
      </c>
      <c r="X35" s="618" t="str">
        <f>Sprache!$E$111</f>
        <v>:</v>
      </c>
      <c r="Y35" s="435">
        <f ca="1">IF(CalcE3!$K$13=0,"",VLOOKUP(CalcE3!$B$6,CalcE3!$C$4:$N$12,6,0))</f>
        <v>6</v>
      </c>
      <c r="Z35" s="198">
        <f ca="1">IF(CalcE3!$K$13=0,"",VLOOKUP(CalcE3!$B$6,CalcE3!$C$4:$N$12,7,0))</f>
        <v>-3</v>
      </c>
      <c r="AA35" s="222">
        <f ca="1">IF(CalcE3!$K$13=0,"",VLOOKUP(CalcE3!$B$6,CalcE3!$C$4:$N$12,8,0))</f>
        <v>3</v>
      </c>
      <c r="AD35" s="593" t="s">
        <v>300</v>
      </c>
      <c r="AE35" s="473" t="str">
        <f ca="1">IF(Vorrunde!$N$34="","",Vorrunde!$N$34)</f>
        <v>1. FC Nürnberg</v>
      </c>
      <c r="AF35" s="436"/>
      <c r="AG35" s="282"/>
    </row>
    <row r="36" spans="2:33" ht="24" customHeight="1" thickBot="1" x14ac:dyDescent="0.25">
      <c r="B36" s="523"/>
      <c r="C36" s="528">
        <f t="array" aca="1" ref="C36" ca="1">ROW(85:85)-SUM(((Planung!$L$6:$L$65="")+(Planung!$N$6:$N$65="")&gt;0)*1)-SUM((($I$12:$I35="")+($K$12:$K35="")&gt;0)*1)</f>
        <v>61</v>
      </c>
      <c r="D36" s="175">
        <f t="array" aca="1" ref="D36" ca="1">IF(Planung!$U$15,"",$D$12+QUOTIENT(($C36-$C$12),Planung!$U$11)*(Planung!$R$7+Planung!$R$9)/1440+SUM($O$12:$O35)/1440)</f>
        <v>0.73958333333333337</v>
      </c>
      <c r="E36" s="177">
        <f ca="1">IF(Planung!$U$15,"",MOD($C36-$C$12,Planung!$U$11)+1)</f>
        <v>1</v>
      </c>
      <c r="F36" s="416" t="s">
        <v>353</v>
      </c>
      <c r="G36" s="417" t="s">
        <v>5</v>
      </c>
      <c r="H36" s="418" t="s">
        <v>307</v>
      </c>
      <c r="I36" s="516" t="str">
        <f t="shared" ca="1" si="2"/>
        <v/>
      </c>
      <c r="J36" s="517"/>
      <c r="K36" s="518" t="str">
        <f t="shared" ca="1" si="3"/>
        <v/>
      </c>
      <c r="L36" s="423"/>
      <c r="M36" s="424" t="str">
        <f>Sprache!$E$111</f>
        <v>:</v>
      </c>
      <c r="N36" s="513"/>
      <c r="O36" s="341"/>
      <c r="Q36" s="623">
        <f ca="1">IF(CalcE3!$K$13=0,"",IF(VLOOKUP(CalcE3!$B$7,CalcE3!$C$4:$E$12,3,0)=MAX($Q33:$Q35),VLOOKUP(CalcE3!$B$7,CalcE3!$C$4:$E$12,3,0),CalcE3!$B$7))</f>
        <v>4</v>
      </c>
      <c r="R36" s="375" t="str">
        <f ca="1">IF(OR(Calc1!$F$14&lt;3,AE37=1),"",IF(CalcE3!$K$13=0,CalcE3!$Q$67,VLOOKUP(CalcE3!$B$7,CalcE3!$C$4:$N$12,4,0)))</f>
        <v>1. FC Riedwald</v>
      </c>
      <c r="S36" s="234">
        <f ca="1">IF(CalcE3!$K$13=0,"",VLOOKUP(CalcE3!$B$7,CalcE3!$C$4:$N$12,9,0))</f>
        <v>3</v>
      </c>
      <c r="T36" s="228">
        <f ca="1">IF(CalcE3!$K$13=0,"",VLOOKUP(CalcE3!$B$7,CalcE3!$C$4:$N$12,10,0))</f>
        <v>0</v>
      </c>
      <c r="U36" s="228">
        <f ca="1">IF(CalcE3!$K$13=0,"",VLOOKUP(CalcE3!$B$7,CalcE3!$C$4:$N$12,11,0))</f>
        <v>1</v>
      </c>
      <c r="V36" s="228">
        <f ca="1">IF(CalcE3!$K$13=0,"",VLOOKUP(CalcE3!$B$7,CalcE3!$C$4:$N$12,12,0))</f>
        <v>2</v>
      </c>
      <c r="W36" s="619">
        <f ca="1">IF(CalcE3!$K$13=0,"",VLOOKUP(CalcE3!$B$7,CalcE3!$C$4:$N$12,5,0))</f>
        <v>0</v>
      </c>
      <c r="X36" s="620" t="str">
        <f>Sprache!$E$111</f>
        <v>:</v>
      </c>
      <c r="Y36" s="438">
        <f ca="1">IF(CalcE3!$K$13=0,"",VLOOKUP(CalcE3!$B$7,CalcE3!$C$4:$N$12,6,0))</f>
        <v>9</v>
      </c>
      <c r="Z36" s="228">
        <f ca="1">IF(CalcE3!$K$13=0,"",VLOOKUP(CalcE3!$B$7,CalcE3!$C$4:$N$12,7,0))</f>
        <v>-9</v>
      </c>
      <c r="AA36" s="233">
        <f ca="1">IF(CalcE3!$K$13=0,"",VLOOKUP(CalcE3!$B$7,CalcE3!$C$4:$N$12,8,0))</f>
        <v>1</v>
      </c>
      <c r="AD36" s="405" t="s">
        <v>350</v>
      </c>
      <c r="AE36" s="474" t="str">
        <f ca="1">IF(Vorrunde!$N$44="","",Vorrunde!$N$44)</f>
        <v>HSV</v>
      </c>
      <c r="AF36" s="439"/>
      <c r="AG36" s="282"/>
    </row>
    <row r="37" spans="2:33" ht="24" customHeight="1" thickTop="1" x14ac:dyDescent="0.2">
      <c r="B37" s="316"/>
      <c r="C37" s="528">
        <f t="array" aca="1" ref="C37" ca="1">ROW(86:86)-SUM(((Planung!$L$6:$L$65="")+(Planung!$N$6:$N$65="")&gt;0)*1)-SUM((($I$12:$I36="")+($K$12:$K36="")&gt;0)*1)</f>
        <v>61</v>
      </c>
      <c r="D37" s="175">
        <f t="array" aca="1" ref="D37" ca="1">IF(Planung!$U$15,"",$D$12+QUOTIENT(($C37-$C$12),Planung!$U$11)*(Planung!$R$7+Planung!$R$9)/1440+SUM($O$12:$O36)/1440)</f>
        <v>0.73958333333333337</v>
      </c>
      <c r="E37" s="177">
        <f ca="1">IF(Planung!$U$15,"",MOD($C37-$C$12,Planung!$U$11)+1)</f>
        <v>1</v>
      </c>
      <c r="F37" s="416" t="s">
        <v>352</v>
      </c>
      <c r="G37" s="417" t="s">
        <v>5</v>
      </c>
      <c r="H37" s="418" t="s">
        <v>304</v>
      </c>
      <c r="I37" s="516" t="str">
        <f t="shared" ca="1" si="2"/>
        <v>TSG Saalberg eV</v>
      </c>
      <c r="J37" s="517"/>
      <c r="K37" s="518" t="str">
        <f t="shared" ca="1" si="3"/>
        <v>Maibach 1822 eV</v>
      </c>
      <c r="L37" s="423">
        <v>2</v>
      </c>
      <c r="M37" s="424" t="str">
        <f>Sprache!$E$111</f>
        <v>:</v>
      </c>
      <c r="N37" s="513">
        <v>0</v>
      </c>
      <c r="O37" s="341"/>
      <c r="AE37" s="634">
        <f t="array" aca="1" ref="AE37" ca="1">SUM((AE33:AE36&lt;&gt;"")*1)</f>
        <v>4</v>
      </c>
      <c r="AF37" s="282"/>
    </row>
    <row r="38" spans="2:33" ht="24" customHeight="1" thickBot="1" x14ac:dyDescent="0.45">
      <c r="B38" s="316"/>
      <c r="C38" s="528">
        <f t="array" aca="1" ref="C38" ca="1">ROW(87:87)-SUM(((Planung!$L$6:$L$65="")+(Planung!$N$6:$N$65="")&gt;0)*1)-SUM((($I$12:$I37="")+($K$12:$K37="")&gt;0)*1)</f>
        <v>62</v>
      </c>
      <c r="D38" s="175">
        <f t="array" aca="1" ref="D38" ca="1">IF(Planung!$U$15,"",$D$12+QUOTIENT(($C38-$C$12),Planung!$U$11)*(Planung!$R$7+Planung!$R$9)/1440+SUM($O$12:$O37)/1440)</f>
        <v>0.73958333333333337</v>
      </c>
      <c r="E38" s="177">
        <f ca="1">IF(Planung!$U$15,"",MOD($C38-$C$12,Planung!$U$11)+1)</f>
        <v>2</v>
      </c>
      <c r="F38" s="416" t="s">
        <v>351</v>
      </c>
      <c r="G38" s="417" t="s">
        <v>5</v>
      </c>
      <c r="H38" s="418" t="s">
        <v>301</v>
      </c>
      <c r="I38" s="516" t="str">
        <f t="shared" ca="1" si="2"/>
        <v>SV Oberredenburg</v>
      </c>
      <c r="J38" s="517"/>
      <c r="K38" s="518" t="str">
        <f t="shared" ca="1" si="3"/>
        <v>VFB Essenheim</v>
      </c>
      <c r="L38" s="423">
        <v>1</v>
      </c>
      <c r="M38" s="424" t="str">
        <f>Sprache!$E$111</f>
        <v>:</v>
      </c>
      <c r="N38" s="513">
        <v>0</v>
      </c>
      <c r="O38" s="341"/>
      <c r="Q38" s="905" t="str">
        <f>Sprache!$E$60</f>
        <v>Gruppenzweite</v>
      </c>
      <c r="R38" s="905"/>
      <c r="S38" s="905"/>
      <c r="T38" s="905"/>
      <c r="U38" s="905"/>
      <c r="V38" s="905"/>
      <c r="W38" s="199"/>
      <c r="X38" s="199"/>
      <c r="Y38" s="199"/>
      <c r="Z38" s="199"/>
      <c r="AA38" s="199"/>
      <c r="AD38" s="796" t="str">
        <f>Sprache!$E$60</f>
        <v>Gruppenzweite</v>
      </c>
      <c r="AE38" s="796"/>
      <c r="AF38" s="282"/>
    </row>
    <row r="39" spans="2:33" ht="24" customHeight="1" thickTop="1" thickBot="1" x14ac:dyDescent="0.25">
      <c r="B39" s="523"/>
      <c r="C39" s="528">
        <f t="array" aca="1" ref="C39" ca="1">ROW(88:88)-SUM(((Planung!$L$6:$L$65="")+(Planung!$N$6:$N$65="")&gt;0)*1)-SUM((($I$12:$I38="")+($K$12:$K38="")&gt;0)*1)</f>
        <v>63</v>
      </c>
      <c r="D39" s="175">
        <f t="array" aca="1" ref="D39" ca="1">IF(Planung!$U$15,"",$D$12+QUOTIENT(($C39-$C$12),Planung!$U$11)*(Planung!$R$7+Planung!$R$9)/1440+SUM($O$12:$O38)/1440)</f>
        <v>0.73958333333333337</v>
      </c>
      <c r="E39" s="177">
        <f ca="1">IF(Planung!$U$15,"",MOD($C39-$C$12,Planung!$U$11)+1)</f>
        <v>3</v>
      </c>
      <c r="F39" s="416" t="s">
        <v>350</v>
      </c>
      <c r="G39" s="417" t="s">
        <v>5</v>
      </c>
      <c r="H39" s="418" t="s">
        <v>298</v>
      </c>
      <c r="I39" s="516" t="str">
        <f t="shared" ca="1" si="2"/>
        <v>HSV</v>
      </c>
      <c r="J39" s="517"/>
      <c r="K39" s="518" t="str">
        <f t="shared" ca="1" si="3"/>
        <v>1. FC Riedwald</v>
      </c>
      <c r="L39" s="423">
        <v>2</v>
      </c>
      <c r="M39" s="424" t="str">
        <f>Sprache!$E$111</f>
        <v>:</v>
      </c>
      <c r="N39" s="513">
        <v>0</v>
      </c>
      <c r="O39" s="341"/>
      <c r="Q39" s="893"/>
      <c r="R39" s="894"/>
      <c r="S39" s="596" t="str">
        <f>Sprache!$E$21</f>
        <v>SP</v>
      </c>
      <c r="T39" s="202" t="str">
        <f>Sprache!$E$22</f>
        <v>G</v>
      </c>
      <c r="U39" s="202" t="str">
        <f>Sprache!$E$23</f>
        <v>U</v>
      </c>
      <c r="V39" s="595" t="str">
        <f>Sprache!$E$24</f>
        <v>V</v>
      </c>
      <c r="W39" s="895" t="str">
        <f>Sprache!$E$25</f>
        <v>Tore</v>
      </c>
      <c r="X39" s="896"/>
      <c r="Y39" s="897"/>
      <c r="Z39" s="202" t="str">
        <f>Sprache!$E$26</f>
        <v>Diff.</v>
      </c>
      <c r="AA39" s="204" t="str">
        <f>Sprache!$E$27</f>
        <v>Pkt</v>
      </c>
      <c r="AD39" s="441"/>
      <c r="AE39" s="471" t="str">
        <f>Sprache!$E$10</f>
        <v>Teilnehmer bzw. Mannschaft</v>
      </c>
      <c r="AF39" s="430" t="str">
        <f>Sprache!$E$49</f>
        <v>Bonus</v>
      </c>
    </row>
    <row r="40" spans="2:33" ht="24" customHeight="1" x14ac:dyDescent="0.2">
      <c r="B40" s="523"/>
      <c r="C40" s="528">
        <f t="array" aca="1" ref="C40" ca="1">ROW(89:89)-SUM(((Planung!$L$6:$L$65="")+(Planung!$N$6:$N$65="")&gt;0)*1)-SUM((($I$12:$I39="")+($K$12:$K39="")&gt;0)*1)</f>
        <v>64</v>
      </c>
      <c r="D40" s="175">
        <f t="array" aca="1" ref="D40" ca="1">IF(Planung!$U$15,"",$D$12+QUOTIENT(($C40-$C$12),Planung!$U$11)*(Planung!$R$7+Planung!$R$9)/1440+SUM($O$12:$O39)/1440)</f>
        <v>0.73958333333333337</v>
      </c>
      <c r="E40" s="177">
        <f ca="1">IF(Planung!$U$15,"",MOD($C40-$C$12,Planung!$U$11)+1)</f>
        <v>4</v>
      </c>
      <c r="F40" s="416" t="s">
        <v>349</v>
      </c>
      <c r="G40" s="417" t="s">
        <v>5</v>
      </c>
      <c r="H40" s="418" t="s">
        <v>295</v>
      </c>
      <c r="I40" s="516" t="str">
        <f t="shared" ca="1" si="2"/>
        <v>RB Leipzig</v>
      </c>
      <c r="J40" s="517"/>
      <c r="K40" s="518" t="str">
        <f t="shared" ca="1" si="3"/>
        <v>Eintracht Frankfurt</v>
      </c>
      <c r="L40" s="423">
        <v>1</v>
      </c>
      <c r="M40" s="424" t="str">
        <f>Sprache!$E$111</f>
        <v>:</v>
      </c>
      <c r="N40" s="513">
        <v>1</v>
      </c>
      <c r="O40" s="341"/>
      <c r="Q40" s="621">
        <f ca="1">IF(CalcE2!$K$13=0,"",1)</f>
        <v>1</v>
      </c>
      <c r="R40" s="371" t="str">
        <f ca="1">IF(Calc1!$F$14&lt;3,"",IF(AND(CalcE2!$K$13=0,AE44&lt;&gt;1),CalcE2!$Q$64,VLOOKUP(CalcE2!$B$4,CalcE2!$C$4:$N$12,4,0)))</f>
        <v>Real Madrid</v>
      </c>
      <c r="S40" s="611">
        <f ca="1">IF(CalcE2!$K$13=0,"",VLOOKUP(CalcE2!$B$4,CalcE2!$C$4:$N$12,9,0))</f>
        <v>3</v>
      </c>
      <c r="T40" s="208">
        <f ca="1">IF(CalcE2!$K$13=0,"",VLOOKUP(CalcE2!$B$4,CalcE2!$C$4:$N$12,10,0))</f>
        <v>3</v>
      </c>
      <c r="U40" s="208">
        <f ca="1">IF(CalcE2!$K$13=0,"",VLOOKUP(CalcE2!$B$4,CalcE2!$C$4:$N$12,11,0))</f>
        <v>0</v>
      </c>
      <c r="V40" s="208">
        <f ca="1">IF(CalcE2!$K$13=0,"",VLOOKUP(CalcE2!$B$4,CalcE2!$C$4:$N$12,12,0))</f>
        <v>0</v>
      </c>
      <c r="W40" s="615">
        <f ca="1">IF(CalcE2!$K$13=0,"",VLOOKUP(CalcE2!$B$4,CalcE2!$C$4:$N$12,5,0))</f>
        <v>16</v>
      </c>
      <c r="X40" s="616" t="str">
        <f>Sprache!$E$111</f>
        <v>:</v>
      </c>
      <c r="Y40" s="612">
        <f ca="1">IF(CalcE2!$K$13=0,"",VLOOKUP(CalcE2!$B$4,CalcE2!$C$4:$N$12,6,0))</f>
        <v>5</v>
      </c>
      <c r="Z40" s="208">
        <f ca="1">IF(CalcE2!$K$13=0,"",VLOOKUP(CalcE2!$B$4,CalcE2!$C$4:$N$12,7,0))</f>
        <v>11</v>
      </c>
      <c r="AA40" s="213">
        <f ca="1">IF(CalcE2!$K$13=0,"",VLOOKUP(CalcE2!$B$4,CalcE2!$C$4:$N$12,8,0))</f>
        <v>9</v>
      </c>
      <c r="AD40" s="594" t="s">
        <v>295</v>
      </c>
      <c r="AE40" s="472" t="str">
        <f ca="1">IF(Vorrunde!$N$13="","",Vorrunde!$N$13)</f>
        <v>Eintracht Frankfurt</v>
      </c>
      <c r="AF40" s="433"/>
    </row>
    <row r="41" spans="2:33" ht="24" customHeight="1" x14ac:dyDescent="0.2">
      <c r="B41" s="316"/>
      <c r="C41" s="528">
        <f t="array" aca="1" ref="C41" ca="1">ROW(90:90)-SUM(((Planung!$L$6:$L$65="")+(Planung!$N$6:$N$65="")&gt;0)*1)-SUM((($I$12:$I40="")+($K$12:$K40="")&gt;0)*1)</f>
        <v>65</v>
      </c>
      <c r="D41" s="175">
        <f t="array" aca="1" ref="D41" ca="1">IF(Planung!$U$15,"",$D$12+QUOTIENT(($C41-$C$12),Planung!$U$11)*(Planung!$R$7+Planung!$R$9)/1440+SUM($O$12:$O40)/1440)</f>
        <v>0.76388888888888895</v>
      </c>
      <c r="E41" s="177">
        <f ca="1">IF(Planung!$U$15,"",MOD($C41-$C$12,Planung!$U$11)+1)</f>
        <v>1</v>
      </c>
      <c r="F41" s="416" t="s">
        <v>348</v>
      </c>
      <c r="G41" s="417" t="s">
        <v>5</v>
      </c>
      <c r="H41" s="418" t="s">
        <v>292</v>
      </c>
      <c r="I41" s="516" t="str">
        <f t="shared" ca="1" si="2"/>
        <v>Paris St. Germain</v>
      </c>
      <c r="J41" s="517"/>
      <c r="K41" s="518" t="str">
        <f t="shared" ca="1" si="3"/>
        <v>FC Barcelona</v>
      </c>
      <c r="L41" s="423">
        <v>1</v>
      </c>
      <c r="M41" s="424" t="str">
        <f>Sprache!$E$111</f>
        <v>:</v>
      </c>
      <c r="N41" s="513">
        <v>2</v>
      </c>
      <c r="O41" s="341"/>
      <c r="Q41" s="622">
        <f ca="1">IF(CalcE2!$K$13=0,"",IF(VLOOKUP(CalcE2!$B$5,CalcE2!$C$4:$E$12,3,0)=MAX($Q40:$Q40),VLOOKUP(CalcE2!$B$5,CalcE2!$C$4:$E$12,3,0),CalcE2!$B$5))</f>
        <v>2</v>
      </c>
      <c r="R41" s="373" t="str">
        <f ca="1">IF(OR(Calc1!$F$14&lt;3,AE44=1),"",IF(CalcE2!$K$13=0,CalcE2!$Q$65,VLOOKUP(CalcE2!$B$5,CalcE2!$C$4:$N$12,4,0)))</f>
        <v>Eintracht Frankfurt</v>
      </c>
      <c r="S41" s="223">
        <f ca="1">IF(CalcE2!$K$13=0,"",VLOOKUP(CalcE2!$B$5,CalcE2!$C$4:$N$12,9,0))</f>
        <v>3</v>
      </c>
      <c r="T41" s="198">
        <f ca="1">IF(CalcE2!$K$13=0,"",VLOOKUP(CalcE2!$B$5,CalcE2!$C$4:$N$12,10,0))</f>
        <v>1</v>
      </c>
      <c r="U41" s="198">
        <f ca="1">IF(CalcE2!$K$13=0,"",VLOOKUP(CalcE2!$B$5,CalcE2!$C$4:$N$12,11,0))</f>
        <v>1</v>
      </c>
      <c r="V41" s="198">
        <f ca="1">IF(CalcE2!$K$13=0,"",VLOOKUP(CalcE2!$B$5,CalcE2!$C$4:$N$12,12,0))</f>
        <v>1</v>
      </c>
      <c r="W41" s="617">
        <f ca="1">IF(CalcE2!$K$13=0,"",VLOOKUP(CalcE2!$B$5,CalcE2!$C$4:$N$12,5,0))</f>
        <v>8</v>
      </c>
      <c r="X41" s="618" t="str">
        <f>Sprache!$E$111</f>
        <v>:</v>
      </c>
      <c r="Y41" s="435">
        <f ca="1">IF(CalcE2!$K$13=0,"",VLOOKUP(CalcE2!$B$5,CalcE2!$C$4:$N$12,6,0))</f>
        <v>10</v>
      </c>
      <c r="Z41" s="198">
        <f ca="1">IF(CalcE2!$K$13=0,"",VLOOKUP(CalcE2!$B$5,CalcE2!$C$4:$N$12,7,0))</f>
        <v>-2</v>
      </c>
      <c r="AA41" s="222">
        <f ca="1">IF(CalcE2!$K$13=0,"",VLOOKUP(CalcE2!$B$5,CalcE2!$C$4:$N$12,8,0))</f>
        <v>4</v>
      </c>
      <c r="AD41" s="440" t="s">
        <v>296</v>
      </c>
      <c r="AE41" s="473" t="str">
        <f ca="1">IF(Vorrunde!$N$23="","",Vorrunde!$N$23)</f>
        <v>Inter Mailand</v>
      </c>
      <c r="AF41" s="436"/>
    </row>
    <row r="42" spans="2:33" ht="24" customHeight="1" x14ac:dyDescent="0.2">
      <c r="B42" s="316"/>
      <c r="C42" s="528">
        <f t="array" aca="1" ref="C42" ca="1">ROW(91:91)-SUM(((Planung!$L$6:$L$65="")+(Planung!$N$6:$N$65="")&gt;0)*1)-SUM((($I$12:$I41="")+($K$12:$K41="")&gt;0)*1)</f>
        <v>66</v>
      </c>
      <c r="D42" s="175">
        <f t="array" aca="1" ref="D42" ca="1">IF(Planung!$U$15,"",$D$12+QUOTIENT(($C42-$C$12),Planung!$U$11)*(Planung!$R$7+Planung!$R$9)/1440+SUM($O$12:$O41)/1440)</f>
        <v>0.76388888888888895</v>
      </c>
      <c r="E42" s="177">
        <f ca="1">IF(Planung!$U$15,"",MOD($C42-$C$12,Planung!$U$11)+1)</f>
        <v>2</v>
      </c>
      <c r="F42" s="416" t="s">
        <v>308</v>
      </c>
      <c r="G42" s="417" t="s">
        <v>5</v>
      </c>
      <c r="H42" s="418" t="s">
        <v>309</v>
      </c>
      <c r="I42" s="516" t="str">
        <f t="shared" ca="1" si="2"/>
        <v/>
      </c>
      <c r="J42" s="517"/>
      <c r="K42" s="518" t="str">
        <f t="shared" ca="1" si="3"/>
        <v/>
      </c>
      <c r="L42" s="423"/>
      <c r="M42" s="424" t="str">
        <f>Sprache!$E$111</f>
        <v>:</v>
      </c>
      <c r="N42" s="513"/>
      <c r="O42" s="341"/>
      <c r="Q42" s="622">
        <f ca="1">IF(CalcE2!$K$13=0,"",IF(VLOOKUP(CalcE2!$B$6,CalcE2!$C$4:$E$12,3,0)=MAX($Q40:$Q41),VLOOKUP(CalcE2!$B$6,CalcE2!$C$4:$E$12,3,0),CalcE2!$B$6))</f>
        <v>3</v>
      </c>
      <c r="R42" s="373" t="str">
        <f ca="1">IF(OR(Calc1!$F$14&lt;3,AE44=1),"",IF(CalcE2!$K$13=0,CalcE2!$Q$66,VLOOKUP(CalcE2!$B$6,CalcE2!$C$4:$N$12,4,0)))</f>
        <v>RB Leipzig</v>
      </c>
      <c r="S42" s="223">
        <f ca="1">IF(CalcE2!$K$13=0,"",VLOOKUP(CalcE2!$B$6,CalcE2!$C$4:$N$12,9,0))</f>
        <v>3</v>
      </c>
      <c r="T42" s="198">
        <f ca="1">IF(CalcE2!$K$13=0,"",VLOOKUP(CalcE2!$B$6,CalcE2!$C$4:$N$12,10,0))</f>
        <v>0</v>
      </c>
      <c r="U42" s="198">
        <f ca="1">IF(CalcE2!$K$13=0,"",VLOOKUP(CalcE2!$B$6,CalcE2!$C$4:$N$12,11,0))</f>
        <v>2</v>
      </c>
      <c r="V42" s="198">
        <f ca="1">IF(CalcE2!$K$13=0,"",VLOOKUP(CalcE2!$B$6,CalcE2!$C$4:$N$12,12,0))</f>
        <v>1</v>
      </c>
      <c r="W42" s="617">
        <f ca="1">IF(CalcE2!$K$13=0,"",VLOOKUP(CalcE2!$B$6,CalcE2!$C$4:$N$12,5,0))</f>
        <v>4</v>
      </c>
      <c r="X42" s="618" t="str">
        <f>Sprache!$E$111</f>
        <v>:</v>
      </c>
      <c r="Y42" s="435">
        <f ca="1">IF(CalcE2!$K$13=0,"",VLOOKUP(CalcE2!$B$6,CalcE2!$C$4:$N$12,6,0))</f>
        <v>6</v>
      </c>
      <c r="Z42" s="198">
        <f ca="1">IF(CalcE2!$K$13=0,"",VLOOKUP(CalcE2!$B$6,CalcE2!$C$4:$N$12,7,0))</f>
        <v>-2</v>
      </c>
      <c r="AA42" s="222">
        <f ca="1">IF(CalcE2!$K$13=0,"",VLOOKUP(CalcE2!$B$6,CalcE2!$C$4:$N$12,8,0))</f>
        <v>2</v>
      </c>
      <c r="AD42" s="593" t="s">
        <v>297</v>
      </c>
      <c r="AE42" s="473" t="str">
        <f ca="1">IF(Vorrunde!$N$33="","",Vorrunde!$N$33)</f>
        <v>Real Madrid</v>
      </c>
      <c r="AF42" s="436"/>
    </row>
    <row r="43" spans="2:33" ht="24" customHeight="1" thickBot="1" x14ac:dyDescent="0.25">
      <c r="B43" s="523"/>
      <c r="C43" s="528">
        <f t="array" aca="1" ref="C43" ca="1">ROW(92:92)-SUM(((Planung!$L$6:$L$65="")+(Planung!$N$6:$N$65="")&gt;0)*1)-SUM((($I$12:$I42="")+($K$12:$K42="")&gt;0)*1)</f>
        <v>66</v>
      </c>
      <c r="D43" s="175">
        <f t="array" aca="1" ref="D43" ca="1">IF(Planung!$U$15,"",$D$12+QUOTIENT(($C43-$C$12),Planung!$U$11)*(Planung!$R$7+Planung!$R$9)/1440+SUM($O$12:$O42)/1440)</f>
        <v>0.76388888888888895</v>
      </c>
      <c r="E43" s="177">
        <f ca="1">IF(Planung!$U$15,"",MOD($C43-$C$12,Planung!$U$11)+1)</f>
        <v>2</v>
      </c>
      <c r="F43" s="416" t="s">
        <v>305</v>
      </c>
      <c r="G43" s="417" t="s">
        <v>5</v>
      </c>
      <c r="H43" s="418" t="s">
        <v>306</v>
      </c>
      <c r="I43" s="516" t="str">
        <f t="shared" ca="1" si="2"/>
        <v>SSV Wildbach</v>
      </c>
      <c r="J43" s="517"/>
      <c r="K43" s="518" t="str">
        <f t="shared" ca="1" si="3"/>
        <v>FSV Rauen</v>
      </c>
      <c r="L43" s="423">
        <v>3</v>
      </c>
      <c r="M43" s="424" t="str">
        <f>Sprache!$E$111</f>
        <v>:</v>
      </c>
      <c r="N43" s="513">
        <v>1</v>
      </c>
      <c r="O43" s="341"/>
      <c r="Q43" s="623">
        <f ca="1">IF(CalcE2!$K$13=0,"",IF(VLOOKUP(CalcE2!$B$7,CalcE2!$C$4:$E$12,3,0)=MAX($Q40:$Q42),VLOOKUP(CalcE2!$B$7,CalcE2!$C$4:$E$12,3,0),CalcE2!$B$7))</f>
        <v>4</v>
      </c>
      <c r="R43" s="375" t="str">
        <f ca="1">IF(OR(Calc1!$F$14&lt;3,AE44=1),"",IF(CalcE2!$K$13=0,CalcE2!$Q$67,VLOOKUP(CalcE2!$B$7,CalcE2!$C$4:$N$12,4,0)))</f>
        <v>Inter Mailand</v>
      </c>
      <c r="S43" s="234">
        <f ca="1">IF(CalcE2!$K$13=0,"",VLOOKUP(CalcE2!$B$7,CalcE2!$C$4:$N$12,9,0))</f>
        <v>3</v>
      </c>
      <c r="T43" s="228">
        <f ca="1">IF(CalcE2!$K$13=0,"",VLOOKUP(CalcE2!$B$7,CalcE2!$C$4:$N$12,10,0))</f>
        <v>0</v>
      </c>
      <c r="U43" s="228">
        <f ca="1">IF(CalcE2!$K$13=0,"",VLOOKUP(CalcE2!$B$7,CalcE2!$C$4:$N$12,11,0))</f>
        <v>1</v>
      </c>
      <c r="V43" s="228">
        <f ca="1">IF(CalcE2!$K$13=0,"",VLOOKUP(CalcE2!$B$7,CalcE2!$C$4:$N$12,12,0))</f>
        <v>2</v>
      </c>
      <c r="W43" s="619">
        <f ca="1">IF(CalcE2!$K$13=0,"",VLOOKUP(CalcE2!$B$7,CalcE2!$C$4:$N$12,5,0))</f>
        <v>3</v>
      </c>
      <c r="X43" s="620" t="str">
        <f>Sprache!$E$111</f>
        <v>:</v>
      </c>
      <c r="Y43" s="438">
        <f ca="1">IF(CalcE2!$K$13=0,"",VLOOKUP(CalcE2!$B$7,CalcE2!$C$4:$N$12,6,0))</f>
        <v>10</v>
      </c>
      <c r="Z43" s="228">
        <f ca="1">IF(CalcE2!$K$13=0,"",VLOOKUP(CalcE2!$B$7,CalcE2!$C$4:$N$12,7,0))</f>
        <v>-7</v>
      </c>
      <c r="AA43" s="233">
        <f ca="1">IF(CalcE2!$K$13=0,"",VLOOKUP(CalcE2!$B$7,CalcE2!$C$4:$N$12,8,0))</f>
        <v>1</v>
      </c>
      <c r="AD43" s="405" t="s">
        <v>349</v>
      </c>
      <c r="AE43" s="474" t="str">
        <f ca="1">IF(Vorrunde!$N$43="","",Vorrunde!$N$43)</f>
        <v>RB Leipzig</v>
      </c>
      <c r="AF43" s="439"/>
    </row>
    <row r="44" spans="2:33" ht="24" customHeight="1" thickTop="1" x14ac:dyDescent="0.2">
      <c r="B44" s="523"/>
      <c r="C44" s="528">
        <f t="array" aca="1" ref="C44" ca="1">ROW(93:93)-SUM(((Planung!$L$6:$L$65="")+(Planung!$N$6:$N$65="")&gt;0)*1)-SUM((($I$12:$I43="")+($K$12:$K43="")&gt;0)*1)</f>
        <v>67</v>
      </c>
      <c r="D44" s="175">
        <f t="array" aca="1" ref="D44" ca="1">IF(Planung!$U$15,"",$D$12+QUOTIENT(($C44-$C$12),Planung!$U$11)*(Planung!$R$7+Planung!$R$9)/1440+SUM($O$12:$O43)/1440)</f>
        <v>0.76388888888888895</v>
      </c>
      <c r="E44" s="177">
        <f ca="1">IF(Planung!$U$15,"",MOD($C44-$C$12,Planung!$U$11)+1)</f>
        <v>3</v>
      </c>
      <c r="F44" s="416" t="s">
        <v>302</v>
      </c>
      <c r="G44" s="417" t="s">
        <v>5</v>
      </c>
      <c r="H44" s="418" t="s">
        <v>303</v>
      </c>
      <c r="I44" s="516" t="str">
        <f t="shared" ca="1" si="2"/>
        <v>FC Grönlingen</v>
      </c>
      <c r="J44" s="517"/>
      <c r="K44" s="518" t="str">
        <f t="shared" ca="1" si="3"/>
        <v>Kickers Rodendorf</v>
      </c>
      <c r="L44" s="423">
        <v>4</v>
      </c>
      <c r="M44" s="424" t="str">
        <f>Sprache!$E$111</f>
        <v>:</v>
      </c>
      <c r="N44" s="513">
        <v>3</v>
      </c>
      <c r="O44" s="341"/>
      <c r="AE44" s="634">
        <f t="array" aca="1" ref="AE44" ca="1">SUM((AE40:AE43&lt;&gt;"")*1)</f>
        <v>4</v>
      </c>
      <c r="AF44" s="469"/>
    </row>
    <row r="45" spans="2:33" ht="24" customHeight="1" thickBot="1" x14ac:dyDescent="0.45">
      <c r="B45" s="316"/>
      <c r="C45" s="528">
        <f t="array" aca="1" ref="C45" ca="1">ROW(94:94)-SUM(((Planung!$L$6:$L$65="")+(Planung!$N$6:$N$65="")&gt;0)*1)-SUM((($I$12:$I44="")+($K$12:$K44="")&gt;0)*1)</f>
        <v>68</v>
      </c>
      <c r="D45" s="175">
        <f t="array" aca="1" ref="D45" ca="1">IF(Planung!$U$15,"",$D$12+QUOTIENT(($C45-$C$12),Planung!$U$11)*(Planung!$R$7+Planung!$R$9)/1440+SUM($O$12:$O44)/1440)</f>
        <v>0.76388888888888895</v>
      </c>
      <c r="E45" s="177">
        <f ca="1">IF(Planung!$U$15,"",MOD($C45-$C$12,Planung!$U$11)+1)</f>
        <v>4</v>
      </c>
      <c r="F45" s="416" t="s">
        <v>299</v>
      </c>
      <c r="G45" s="417" t="s">
        <v>5</v>
      </c>
      <c r="H45" s="418" t="s">
        <v>300</v>
      </c>
      <c r="I45" s="516" t="str">
        <f t="shared" ca="1" si="2"/>
        <v>Mainz 05</v>
      </c>
      <c r="J45" s="517"/>
      <c r="K45" s="518" t="str">
        <f t="shared" ca="1" si="3"/>
        <v>1. FC Nürnberg</v>
      </c>
      <c r="L45" s="423">
        <v>1</v>
      </c>
      <c r="M45" s="424" t="str">
        <f>Sprache!$E$111</f>
        <v>:</v>
      </c>
      <c r="N45" s="513">
        <v>1</v>
      </c>
      <c r="O45" s="341"/>
      <c r="Q45" s="905" t="str">
        <f>Sprache!$E$59</f>
        <v>Gruppenerste</v>
      </c>
      <c r="R45" s="905"/>
      <c r="S45" s="905"/>
      <c r="T45" s="905"/>
      <c r="U45" s="905"/>
      <c r="V45" s="905"/>
      <c r="W45" s="199"/>
      <c r="X45" s="199"/>
      <c r="Y45" s="199"/>
      <c r="Z45" s="199"/>
      <c r="AA45" s="199"/>
      <c r="AD45" s="796" t="str">
        <f>Sprache!$E$59</f>
        <v>Gruppenerste</v>
      </c>
      <c r="AE45" s="796"/>
      <c r="AF45" s="469"/>
    </row>
    <row r="46" spans="2:33" ht="24" customHeight="1" thickTop="1" thickBot="1" x14ac:dyDescent="0.25">
      <c r="B46" s="316"/>
      <c r="C46" s="528">
        <f t="array" aca="1" ref="C46" ca="1">ROW(95:95)-SUM(((Planung!$L$6:$L$65="")+(Planung!$N$6:$N$65="")&gt;0)*1)-SUM((($I$12:$I45="")+($K$12:$K45="")&gt;0)*1)</f>
        <v>69</v>
      </c>
      <c r="D46" s="175">
        <f t="array" aca="1" ref="D46" ca="1">IF(Planung!$U$15,"",$D$12+QUOTIENT(($C46-$C$12),Planung!$U$11)*(Planung!$R$7+Planung!$R$9)/1440+SUM($O$12:$O45)/1440)</f>
        <v>0.78819444444444442</v>
      </c>
      <c r="E46" s="177">
        <f ca="1">IF(Planung!$U$15,"",MOD($C46-$C$12,Planung!$U$11)+1)</f>
        <v>1</v>
      </c>
      <c r="F46" s="416" t="s">
        <v>296</v>
      </c>
      <c r="G46" s="417" t="s">
        <v>5</v>
      </c>
      <c r="H46" s="418" t="s">
        <v>297</v>
      </c>
      <c r="I46" s="516" t="str">
        <f t="shared" ca="1" si="2"/>
        <v>Inter Mailand</v>
      </c>
      <c r="J46" s="517"/>
      <c r="K46" s="518" t="str">
        <f t="shared" ca="1" si="3"/>
        <v>Real Madrid</v>
      </c>
      <c r="L46" s="423">
        <v>1</v>
      </c>
      <c r="M46" s="424" t="str">
        <f>Sprache!$E$111</f>
        <v>:</v>
      </c>
      <c r="N46" s="513">
        <v>4</v>
      </c>
      <c r="O46" s="624"/>
      <c r="Q46" s="893"/>
      <c r="R46" s="894"/>
      <c r="S46" s="596" t="str">
        <f>Sprache!$E$21</f>
        <v>SP</v>
      </c>
      <c r="T46" s="202" t="str">
        <f>Sprache!$E$22</f>
        <v>G</v>
      </c>
      <c r="U46" s="202" t="str">
        <f>Sprache!$E$23</f>
        <v>U</v>
      </c>
      <c r="V46" s="595" t="str">
        <f>Sprache!$E$24</f>
        <v>V</v>
      </c>
      <c r="W46" s="895" t="str">
        <f>Sprache!$E$25</f>
        <v>Tore</v>
      </c>
      <c r="X46" s="896"/>
      <c r="Y46" s="897"/>
      <c r="Z46" s="202" t="str">
        <f>Sprache!$E$26</f>
        <v>Diff.</v>
      </c>
      <c r="AA46" s="204" t="str">
        <f>Sprache!$E$27</f>
        <v>Pkt</v>
      </c>
      <c r="AD46" s="441"/>
      <c r="AE46" s="471" t="str">
        <f>Sprache!$E$10</f>
        <v>Teilnehmer bzw. Mannschaft</v>
      </c>
      <c r="AF46" s="430" t="str">
        <f>Sprache!$E$49</f>
        <v>Bonus</v>
      </c>
    </row>
    <row r="47" spans="2:33" ht="24" customHeight="1" thickBot="1" x14ac:dyDescent="0.3">
      <c r="B47" s="523"/>
      <c r="C47" s="529">
        <f t="array" aca="1" ref="C47" ca="1">ROW(96:96)-SUM(((Planung!$L$6:$L$65="")+(Planung!$N$6:$N$65="")&gt;0)*1)-SUM((($I$12:$I46="")+($K$12:$K46="")&gt;0)*1)</f>
        <v>70</v>
      </c>
      <c r="D47" s="178">
        <f t="array" aca="1" ref="D47" ca="1">IF(Planung!$U$15,"",$D$12+QUOTIENT(($C47-$C$12),Planung!$U$11)*(Planung!$R$7+Planung!$R$9)/1440+SUM($O$12:$O46)/1440)</f>
        <v>0.78819444444444442</v>
      </c>
      <c r="E47" s="179">
        <f ca="1">IF(Planung!$U$15,"",MOD($C47-$C$12,Planung!$U$11)+1)</f>
        <v>2</v>
      </c>
      <c r="F47" s="419" t="s">
        <v>293</v>
      </c>
      <c r="G47" s="606" t="s">
        <v>5</v>
      </c>
      <c r="H47" s="421" t="s">
        <v>294</v>
      </c>
      <c r="I47" s="507" t="str">
        <f t="shared" ca="1" si="2"/>
        <v>Manchester City</v>
      </c>
      <c r="J47" s="508"/>
      <c r="K47" s="519" t="str">
        <f t="shared" ca="1" si="3"/>
        <v>Borussia Dortmund</v>
      </c>
      <c r="L47" s="425">
        <v>2</v>
      </c>
      <c r="M47" s="362" t="str">
        <f>Sprache!$E$111</f>
        <v>:</v>
      </c>
      <c r="N47" s="514">
        <v>2</v>
      </c>
      <c r="O47" s="614"/>
      <c r="Q47" s="621">
        <f ca="1">IF(CalcE1!$K$13=0,"",1)</f>
        <v>1</v>
      </c>
      <c r="R47" s="371" t="str">
        <f ca="1">IF(Calc1!$F$14&lt;3,"",IF(CalcE1!$K$13=0,CalcE1!$Q$64,VLOOKUP(CalcE1!$B$4,CalcE1!$C$4:$N$12,4,0)))</f>
        <v>FC Barcelona</v>
      </c>
      <c r="S47" s="611">
        <f ca="1">IF(CalcE1!$K$13=0,"",VLOOKUP(CalcE1!$B$4,CalcE1!$C$4:$N$12,9,0))</f>
        <v>3</v>
      </c>
      <c r="T47" s="208">
        <f ca="1">IF(CalcE1!$K$13=0,"",VLOOKUP(CalcE1!$B$4,CalcE1!$C$4:$N$12,10,0))</f>
        <v>2</v>
      </c>
      <c r="U47" s="208">
        <f ca="1">IF(CalcE1!$K$13=0,"",VLOOKUP(CalcE1!$B$4,CalcE1!$C$4:$N$12,11,0))</f>
        <v>0</v>
      </c>
      <c r="V47" s="208">
        <f ca="1">IF(CalcE1!$K$13=0,"",VLOOKUP(CalcE1!$B$4,CalcE1!$C$4:$N$12,12,0))</f>
        <v>1</v>
      </c>
      <c r="W47" s="615">
        <f ca="1">IF(CalcE1!$K$13=0,"",VLOOKUP(CalcE1!$B$4,CalcE1!$C$4:$N$12,5,0))</f>
        <v>8</v>
      </c>
      <c r="X47" s="616" t="str">
        <f>Sprache!$E$111</f>
        <v>:</v>
      </c>
      <c r="Y47" s="612">
        <f ca="1">IF(CalcE1!$K$13=0,"",VLOOKUP(CalcE1!$B$4,CalcE1!$C$4:$N$12,6,0))</f>
        <v>4</v>
      </c>
      <c r="Z47" s="208">
        <f ca="1">IF(CalcE1!$K$13=0,"",VLOOKUP(CalcE1!$B$4,CalcE1!$C$4:$N$12,7,0))</f>
        <v>4</v>
      </c>
      <c r="AA47" s="213">
        <f ca="1">IF(CalcE1!$K$13=0,"",VLOOKUP(CalcE1!$B$4,CalcE1!$C$4:$N$12,8,0))</f>
        <v>6</v>
      </c>
      <c r="AD47" s="594" t="s">
        <v>292</v>
      </c>
      <c r="AE47" s="472" t="str">
        <f ca="1">IF(Vorrunde!$N$12="","",Vorrunde!$N$12)</f>
        <v>FC Barcelona</v>
      </c>
      <c r="AF47" s="433"/>
    </row>
    <row r="48" spans="2:33" ht="24" customHeight="1" thickTop="1" x14ac:dyDescent="0.2">
      <c r="B48" s="316"/>
      <c r="C48" s="406"/>
      <c r="D48" s="406"/>
      <c r="E48" s="406"/>
      <c r="F48" s="406"/>
      <c r="G48" s="406"/>
      <c r="H48" s="406"/>
      <c r="I48" s="524"/>
      <c r="J48" s="481"/>
      <c r="K48" s="524"/>
      <c r="L48" s="406"/>
      <c r="M48" s="406"/>
      <c r="N48" s="406"/>
      <c r="O48" s="406"/>
      <c r="Q48" s="622">
        <f ca="1">IF(CalcE1!$K$13=0,"",IF(VLOOKUP(CalcE1!$B$5,CalcE1!$C$4:$E$12,3,0)=MAX($Q47:$Q47),VLOOKUP(CalcE1!$B$5,CalcE1!$C$4:$E$12,3,0),CalcE1!$B$5))</f>
        <v>2</v>
      </c>
      <c r="R48" s="373" t="str">
        <f ca="1">IF(Calc1!$F$14&lt;3,"",IF(CalcE1!$K$13=0,CalcE1!$Q$65,VLOOKUP(CalcE1!$B$5,CalcE1!$C$4:$N$12,4,0)))</f>
        <v>Paris St. Germain</v>
      </c>
      <c r="S48" s="223">
        <f ca="1">IF(CalcE1!$K$13=0,"",VLOOKUP(CalcE1!$B$5,CalcE1!$C$4:$N$12,9,0))</f>
        <v>3</v>
      </c>
      <c r="T48" s="198">
        <f ca="1">IF(CalcE1!$K$13=0,"",VLOOKUP(CalcE1!$B$5,CalcE1!$C$4:$N$12,10,0))</f>
        <v>2</v>
      </c>
      <c r="U48" s="198">
        <f ca="1">IF(CalcE1!$K$13=0,"",VLOOKUP(CalcE1!$B$5,CalcE1!$C$4:$N$12,11,0))</f>
        <v>0</v>
      </c>
      <c r="V48" s="198">
        <f ca="1">IF(CalcE1!$K$13=0,"",VLOOKUP(CalcE1!$B$5,CalcE1!$C$4:$N$12,12,0))</f>
        <v>1</v>
      </c>
      <c r="W48" s="617">
        <f ca="1">IF(CalcE1!$K$13=0,"",VLOOKUP(CalcE1!$B$5,CalcE1!$C$4:$N$12,5,0))</f>
        <v>7</v>
      </c>
      <c r="X48" s="618" t="str">
        <f>Sprache!$E$111</f>
        <v>:</v>
      </c>
      <c r="Y48" s="435">
        <f ca="1">IF(CalcE1!$K$13=0,"",VLOOKUP(CalcE1!$B$5,CalcE1!$C$4:$N$12,6,0))</f>
        <v>5</v>
      </c>
      <c r="Z48" s="198">
        <f ca="1">IF(CalcE1!$K$13=0,"",VLOOKUP(CalcE1!$B$5,CalcE1!$C$4:$N$12,7,0))</f>
        <v>2</v>
      </c>
      <c r="AA48" s="222">
        <f ca="1">IF(CalcE1!$K$13=0,"",VLOOKUP(CalcE1!$B$5,CalcE1!$C$4:$N$12,8,0))</f>
        <v>6</v>
      </c>
      <c r="AD48" s="440" t="s">
        <v>293</v>
      </c>
      <c r="AE48" s="473" t="str">
        <f ca="1">IF(Vorrunde!$N$22="","",Vorrunde!$N$22)</f>
        <v>Manchester City</v>
      </c>
      <c r="AF48" s="436"/>
    </row>
    <row r="49" spans="2:32" ht="24" customHeight="1" x14ac:dyDescent="0.25">
      <c r="B49" s="316"/>
      <c r="C49" s="609"/>
      <c r="D49" s="609"/>
      <c r="E49" s="609"/>
      <c r="F49" s="609"/>
      <c r="G49" s="609"/>
      <c r="H49" s="609"/>
      <c r="I49" s="607"/>
      <c r="J49" s="608"/>
      <c r="K49" s="607"/>
      <c r="L49" s="610"/>
      <c r="M49" s="610"/>
      <c r="N49" s="610"/>
      <c r="O49" s="484"/>
      <c r="Q49" s="622">
        <f ca="1">IF(CalcE1!$K$13=0,"",IF(VLOOKUP(CalcE1!$B$6,CalcE1!$C$4:$E$12,3,0)=MAX($Q47:$Q48),VLOOKUP(CalcE1!$B$6,CalcE1!$C$4:$E$12,3,0),CalcE1!$B$6))</f>
        <v>3</v>
      </c>
      <c r="R49" s="373" t="str">
        <f ca="1">IF(Calc1!$F$14&lt;3,"",IF(CalcE1!$K$13=0,CalcE1!$Q$66,VLOOKUP(CalcE1!$B$6,CalcE1!$C$4:$N$12,4,0)))</f>
        <v>Manchester City</v>
      </c>
      <c r="S49" s="223">
        <f ca="1">IF(CalcE1!$K$13=0,"",VLOOKUP(CalcE1!$B$6,CalcE1!$C$4:$N$12,9,0))</f>
        <v>3</v>
      </c>
      <c r="T49" s="198">
        <f ca="1">IF(CalcE1!$K$13=0,"",VLOOKUP(CalcE1!$B$6,CalcE1!$C$4:$N$12,10,0))</f>
        <v>1</v>
      </c>
      <c r="U49" s="198">
        <f ca="1">IF(CalcE1!$K$13=0,"",VLOOKUP(CalcE1!$B$6,CalcE1!$C$4:$N$12,11,0))</f>
        <v>1</v>
      </c>
      <c r="V49" s="198">
        <f ca="1">IF(CalcE1!$K$13=0,"",VLOOKUP(CalcE1!$B$6,CalcE1!$C$4:$N$12,12,0))</f>
        <v>1</v>
      </c>
      <c r="W49" s="617">
        <f ca="1">IF(CalcE1!$K$13=0,"",VLOOKUP(CalcE1!$B$6,CalcE1!$C$4:$N$12,5,0))</f>
        <v>7</v>
      </c>
      <c r="X49" s="618" t="str">
        <f>Sprache!$E$111</f>
        <v>:</v>
      </c>
      <c r="Y49" s="435">
        <f ca="1">IF(CalcE1!$K$13=0,"",VLOOKUP(CalcE1!$B$6,CalcE1!$C$4:$N$12,6,0))</f>
        <v>7</v>
      </c>
      <c r="Z49" s="198">
        <f ca="1">IF(CalcE1!$K$13=0,"",VLOOKUP(CalcE1!$B$6,CalcE1!$C$4:$N$12,7,0))</f>
        <v>0</v>
      </c>
      <c r="AA49" s="222">
        <f ca="1">IF(CalcE1!$K$13=0,"",VLOOKUP(CalcE1!$B$6,CalcE1!$C$4:$N$12,8,0))</f>
        <v>4</v>
      </c>
      <c r="AD49" s="593" t="s">
        <v>294</v>
      </c>
      <c r="AE49" s="473" t="str">
        <f ca="1">IF(Vorrunde!$N$32="","",Vorrunde!$N$32)</f>
        <v>Borussia Dortmund</v>
      </c>
      <c r="AF49" s="436"/>
    </row>
    <row r="50" spans="2:32" ht="24" customHeight="1" thickBot="1" x14ac:dyDescent="0.25">
      <c r="B50" s="523"/>
      <c r="C50" s="907" t="str">
        <f>Sprache!$E$29</f>
        <v>Turnierende:</v>
      </c>
      <c r="D50" s="907"/>
      <c r="E50" s="907"/>
      <c r="F50" s="907"/>
      <c r="G50" s="907"/>
      <c r="H50" s="907"/>
      <c r="I50" s="907"/>
      <c r="J50" s="906">
        <f ca="1">IF(Planung!$R$13="","",$D$47+Planung!$R$7/1440)</f>
        <v>0.80902777777777779</v>
      </c>
      <c r="K50" s="906"/>
      <c r="L50" s="906"/>
      <c r="M50" s="906"/>
      <c r="N50" s="906"/>
      <c r="O50" s="906"/>
      <c r="Q50" s="623">
        <f ca="1">IF(CalcE1!$K$13=0,"",IF(VLOOKUP(CalcE1!$B$7,CalcE1!$C$4:$E$12,3,0)=MAX($Q47:$Q49),VLOOKUP(CalcE1!$B$7,CalcE1!$C$4:$E$12,3,0),CalcE1!$B$7))</f>
        <v>4</v>
      </c>
      <c r="R50" s="375" t="str">
        <f ca="1">IF(Calc1!$F$14&lt;3,"",IF(CalcE1!$K$13=0,CalcE1!$Q$67,VLOOKUP(CalcE1!$B$7,CalcE1!$C$4:$N$12,4,0)))</f>
        <v>Borussia Dortmund</v>
      </c>
      <c r="S50" s="234">
        <f ca="1">IF(CalcE1!$K$13=0,"",VLOOKUP(CalcE1!$B$7,CalcE1!$C$4:$N$12,9,0))</f>
        <v>3</v>
      </c>
      <c r="T50" s="228">
        <f ca="1">IF(CalcE1!$K$13=0,"",VLOOKUP(CalcE1!$B$7,CalcE1!$C$4:$N$12,10,0))</f>
        <v>0</v>
      </c>
      <c r="U50" s="228">
        <f ca="1">IF(CalcE1!$K$13=0,"",VLOOKUP(CalcE1!$B$7,CalcE1!$C$4:$N$12,11,0))</f>
        <v>1</v>
      </c>
      <c r="V50" s="228">
        <f ca="1">IF(CalcE1!$K$13=0,"",VLOOKUP(CalcE1!$B$7,CalcE1!$C$4:$N$12,12,0))</f>
        <v>2</v>
      </c>
      <c r="W50" s="619">
        <f ca="1">IF(CalcE1!$K$13=0,"",VLOOKUP(CalcE1!$B$7,CalcE1!$C$4:$N$12,5,0))</f>
        <v>3</v>
      </c>
      <c r="X50" s="620" t="str">
        <f>Sprache!$E$111</f>
        <v>:</v>
      </c>
      <c r="Y50" s="438">
        <f ca="1">IF(CalcE1!$K$13=0,"",VLOOKUP(CalcE1!$B$7,CalcE1!$C$4:$N$12,6,0))</f>
        <v>9</v>
      </c>
      <c r="Z50" s="228">
        <f ca="1">IF(CalcE1!$K$13=0,"",VLOOKUP(CalcE1!$B$7,CalcE1!$C$4:$N$12,7,0))</f>
        <v>-6</v>
      </c>
      <c r="AA50" s="233">
        <f ca="1">IF(CalcE1!$K$13=0,"",VLOOKUP(CalcE1!$B$7,CalcE1!$C$4:$N$12,8,0))</f>
        <v>1</v>
      </c>
      <c r="AD50" s="405" t="s">
        <v>348</v>
      </c>
      <c r="AE50" s="474" t="str">
        <f ca="1">IF(Vorrunde!$N$42="","",Vorrunde!$N$42)</f>
        <v>Paris St. Germain</v>
      </c>
      <c r="AF50" s="439"/>
    </row>
    <row r="51" spans="2:32" ht="24" customHeight="1" thickTop="1" thickBot="1" x14ac:dyDescent="0.25">
      <c r="L51" s="538"/>
      <c r="M51" s="538"/>
      <c r="AF51" s="280"/>
    </row>
    <row r="52" spans="2:32" ht="24" customHeight="1" thickBot="1" x14ac:dyDescent="0.25">
      <c r="F52" s="628"/>
      <c r="G52" s="629"/>
      <c r="H52" s="598" t="str">
        <f>Sprache!$E$119</f>
        <v>Rang</v>
      </c>
      <c r="I52" s="604" t="str">
        <f>Sprache!$E$10</f>
        <v>Teilnehmer bzw. Mannschaft</v>
      </c>
      <c r="J52" s="604"/>
      <c r="K52" s="605"/>
      <c r="L52" s="550"/>
      <c r="M52" s="550"/>
      <c r="N52" s="171"/>
      <c r="O52" s="171"/>
      <c r="AE52" s="49" t="s">
        <v>167</v>
      </c>
      <c r="AF52" s="280"/>
    </row>
    <row r="53" spans="2:32" ht="24" customHeight="1" thickTop="1" x14ac:dyDescent="0.2">
      <c r="F53" s="630"/>
      <c r="G53" s="630"/>
      <c r="H53" s="599">
        <v>1</v>
      </c>
      <c r="I53" s="853" t="str">
        <f ca="1">IF(CalcE1!$K$13=0,"",$R$47)</f>
        <v>FC Barcelona</v>
      </c>
      <c r="J53" s="853"/>
      <c r="K53" s="854"/>
      <c r="L53" s="550"/>
      <c r="M53" s="550"/>
      <c r="N53" s="171"/>
      <c r="O53" s="171"/>
      <c r="AF53" s="468"/>
    </row>
    <row r="54" spans="2:32" ht="24" customHeight="1" x14ac:dyDescent="0.2">
      <c r="F54" s="630"/>
      <c r="G54" s="630"/>
      <c r="H54" s="600">
        <v>2</v>
      </c>
      <c r="I54" s="855" t="str">
        <f ca="1">IF(CalcE1!$K$13=0,"",$R$48)</f>
        <v>Paris St. Germain</v>
      </c>
      <c r="J54" s="855"/>
      <c r="K54" s="856"/>
      <c r="L54" s="550"/>
      <c r="M54" s="550"/>
      <c r="N54" s="171"/>
      <c r="O54" s="171"/>
      <c r="AF54" s="468"/>
    </row>
    <row r="55" spans="2:32" ht="24" customHeight="1" x14ac:dyDescent="0.2">
      <c r="F55" s="630"/>
      <c r="G55" s="630"/>
      <c r="H55" s="601">
        <v>3</v>
      </c>
      <c r="I55" s="857" t="str">
        <f ca="1">IF(CalcE1!$K$13=0,"",$R$49)</f>
        <v>Manchester City</v>
      </c>
      <c r="J55" s="857"/>
      <c r="K55" s="858"/>
      <c r="L55" s="550"/>
      <c r="M55" s="550"/>
      <c r="N55" s="171"/>
      <c r="O55" s="171"/>
      <c r="AF55" s="468"/>
    </row>
    <row r="56" spans="2:32" ht="24" customHeight="1" x14ac:dyDescent="0.2">
      <c r="F56" s="630"/>
      <c r="G56" s="630"/>
      <c r="H56" s="602">
        <v>4</v>
      </c>
      <c r="I56" s="819" t="str">
        <f ca="1">IF(CalcE1!$K$13=0,"",$R$50)</f>
        <v>Borussia Dortmund</v>
      </c>
      <c r="J56" s="819"/>
      <c r="K56" s="820"/>
      <c r="L56" s="550"/>
      <c r="M56" s="550"/>
      <c r="N56" s="171"/>
      <c r="O56" s="171"/>
      <c r="AF56" s="282"/>
    </row>
    <row r="57" spans="2:32" ht="24" customHeight="1" x14ac:dyDescent="0.2">
      <c r="F57" s="630"/>
      <c r="G57" s="630"/>
      <c r="H57" s="602">
        <v>5</v>
      </c>
      <c r="I57" s="819" t="str">
        <f ca="1">IF(AND(CalcE2!$K$13=0,CalcE2!$F$13&lt;&gt;1),"",$R$40)</f>
        <v>Real Madrid</v>
      </c>
      <c r="J57" s="819"/>
      <c r="K57" s="820"/>
      <c r="L57" s="550"/>
      <c r="M57" s="550"/>
      <c r="N57" s="171"/>
      <c r="O57" s="171"/>
      <c r="AF57" s="282"/>
    </row>
    <row r="58" spans="2:32" ht="24" customHeight="1" x14ac:dyDescent="0.25">
      <c r="C58" s="494"/>
      <c r="F58" s="630"/>
      <c r="G58" s="630"/>
      <c r="H58" s="602">
        <v>6</v>
      </c>
      <c r="I58" s="819" t="str">
        <f ca="1">IF(CalcE2!$K$13=0,"",$R$41)</f>
        <v>Eintracht Frankfurt</v>
      </c>
      <c r="J58" s="819"/>
      <c r="K58" s="820"/>
      <c r="L58" s="550"/>
      <c r="M58" s="550"/>
      <c r="N58" s="483"/>
      <c r="O58" s="484"/>
      <c r="AF58" s="282"/>
    </row>
    <row r="59" spans="2:32" ht="24" customHeight="1" x14ac:dyDescent="0.25">
      <c r="C59" s="494"/>
      <c r="F59" s="630"/>
      <c r="G59" s="630"/>
      <c r="H59" s="602">
        <v>7</v>
      </c>
      <c r="I59" s="819" t="str">
        <f ca="1">IF(CalcE2!$K$13=0,"",$R$42)</f>
        <v>RB Leipzig</v>
      </c>
      <c r="J59" s="819"/>
      <c r="K59" s="820"/>
      <c r="L59" s="550"/>
      <c r="M59" s="550"/>
      <c r="N59" s="483"/>
      <c r="O59" s="484"/>
      <c r="AF59" s="282"/>
    </row>
    <row r="60" spans="2:32" ht="24" customHeight="1" x14ac:dyDescent="0.25">
      <c r="C60" s="494"/>
      <c r="F60" s="630"/>
      <c r="G60" s="630"/>
      <c r="H60" s="602">
        <v>8</v>
      </c>
      <c r="I60" s="819" t="str">
        <f ca="1">IF(CalcE2!$K$13=0,"",$R$43)</f>
        <v>Inter Mailand</v>
      </c>
      <c r="J60" s="819"/>
      <c r="K60" s="820"/>
      <c r="L60" s="550"/>
      <c r="M60" s="550"/>
      <c r="N60" s="483"/>
      <c r="O60" s="484"/>
      <c r="AE60" s="171"/>
      <c r="AF60" s="282"/>
    </row>
    <row r="61" spans="2:32" ht="24" customHeight="1" x14ac:dyDescent="0.25">
      <c r="C61" s="494"/>
      <c r="F61" s="630"/>
      <c r="G61" s="630"/>
      <c r="H61" s="602">
        <v>9</v>
      </c>
      <c r="I61" s="819" t="str">
        <f ca="1">IF(AND(CalcE3!$K$13=0,CalcE3!$F$13&lt;&gt;1),"",$R$33)</f>
        <v>1. FC Nürnberg</v>
      </c>
      <c r="J61" s="819"/>
      <c r="K61" s="820"/>
      <c r="L61" s="550"/>
      <c r="M61" s="550"/>
      <c r="N61" s="483"/>
      <c r="O61" s="484"/>
      <c r="AE61" s="171"/>
      <c r="AF61" s="282"/>
    </row>
    <row r="62" spans="2:32" ht="24" customHeight="1" x14ac:dyDescent="0.25">
      <c r="C62" s="494"/>
      <c r="F62" s="630"/>
      <c r="G62" s="630"/>
      <c r="H62" s="602">
        <v>10</v>
      </c>
      <c r="I62" s="819" t="str">
        <f ca="1">IF(CalcE3!$K$13=0,"",$R$34)</f>
        <v>Mainz 05</v>
      </c>
      <c r="J62" s="819"/>
      <c r="K62" s="820"/>
      <c r="L62" s="550"/>
      <c r="M62" s="550"/>
      <c r="N62" s="483"/>
      <c r="O62" s="484"/>
      <c r="AE62" s="171"/>
      <c r="AF62" s="469"/>
    </row>
    <row r="63" spans="2:32" ht="24" customHeight="1" x14ac:dyDescent="0.25">
      <c r="C63" s="494"/>
      <c r="F63" s="630"/>
      <c r="G63" s="630"/>
      <c r="H63" s="602">
        <v>11</v>
      </c>
      <c r="I63" s="819" t="str">
        <f ca="1">IF(CalcE3!$K$13=0,"",$R$35)</f>
        <v>HSV</v>
      </c>
      <c r="J63" s="819"/>
      <c r="K63" s="820"/>
      <c r="L63" s="550"/>
      <c r="M63" s="550"/>
      <c r="N63" s="483"/>
      <c r="O63" s="484"/>
      <c r="AD63" s="407"/>
      <c r="AE63" s="444"/>
      <c r="AF63" s="469"/>
    </row>
    <row r="64" spans="2:32" ht="24" customHeight="1" x14ac:dyDescent="0.25">
      <c r="C64" s="494"/>
      <c r="F64" s="630"/>
      <c r="G64" s="630"/>
      <c r="H64" s="602">
        <v>12</v>
      </c>
      <c r="I64" s="819" t="str">
        <f ca="1">IF(CalcE3!$K$13=0,"",$R$36)</f>
        <v>1. FC Riedwald</v>
      </c>
      <c r="J64" s="819"/>
      <c r="K64" s="820"/>
      <c r="L64" s="550"/>
      <c r="M64" s="550"/>
      <c r="N64" s="483"/>
      <c r="O64" s="484"/>
      <c r="AD64" s="407"/>
      <c r="AE64" s="444"/>
      <c r="AF64" s="280"/>
    </row>
    <row r="65" spans="6:33" ht="24" customHeight="1" x14ac:dyDescent="0.2">
      <c r="F65" s="630"/>
      <c r="G65" s="630"/>
      <c r="H65" s="602">
        <v>13</v>
      </c>
      <c r="I65" s="819" t="str">
        <f ca="1">IF(AND(CalcE4!$K$13=0,CalcE4!$F$13&lt;&gt;1),"",$R$26)</f>
        <v>SV Oberredenburg</v>
      </c>
      <c r="J65" s="819"/>
      <c r="K65" s="820"/>
      <c r="L65" s="550"/>
      <c r="M65" s="550"/>
      <c r="N65" s="171"/>
      <c r="O65" s="171"/>
      <c r="AE65" s="171"/>
      <c r="AF65" s="468"/>
    </row>
    <row r="66" spans="6:33" ht="24" customHeight="1" x14ac:dyDescent="0.2">
      <c r="F66" s="630"/>
      <c r="G66" s="630"/>
      <c r="H66" s="602">
        <v>14</v>
      </c>
      <c r="I66" s="819" t="str">
        <f ca="1">IF(CalcE4!$K$13=0,"",$R$27)</f>
        <v>Kickers Rodendorf</v>
      </c>
      <c r="J66" s="819"/>
      <c r="K66" s="820"/>
      <c r="L66" s="550"/>
      <c r="M66" s="550"/>
      <c r="N66" s="171"/>
      <c r="O66" s="171"/>
      <c r="AE66" s="171"/>
      <c r="AF66" s="282"/>
    </row>
    <row r="67" spans="6:33" ht="24" customHeight="1" x14ac:dyDescent="0.2">
      <c r="F67" s="630"/>
      <c r="G67" s="630"/>
      <c r="H67" s="602">
        <v>15</v>
      </c>
      <c r="I67" s="819" t="str">
        <f ca="1">IF(CalcE4!$K$13=0,"",$R$28)</f>
        <v>VFB Essenheim</v>
      </c>
      <c r="J67" s="819"/>
      <c r="K67" s="820"/>
      <c r="L67" s="550"/>
      <c r="M67" s="550"/>
      <c r="N67" s="171"/>
      <c r="O67" s="171"/>
      <c r="AE67" s="171"/>
      <c r="AF67" s="282"/>
    </row>
    <row r="68" spans="6:33" ht="24" customHeight="1" x14ac:dyDescent="0.2">
      <c r="F68" s="630"/>
      <c r="G68" s="630"/>
      <c r="H68" s="602">
        <v>16</v>
      </c>
      <c r="I68" s="819" t="str">
        <f ca="1">IF(CalcE4!$K$13=0,"",$R$29)</f>
        <v>FC Grönlingen</v>
      </c>
      <c r="J68" s="819"/>
      <c r="K68" s="820"/>
      <c r="L68" s="550"/>
      <c r="M68" s="550"/>
      <c r="N68" s="171"/>
      <c r="O68" s="171"/>
      <c r="AF68" s="282"/>
    </row>
    <row r="69" spans="6:33" ht="24" customHeight="1" x14ac:dyDescent="0.2">
      <c r="F69" s="630"/>
      <c r="G69" s="630"/>
      <c r="H69" s="602">
        <v>17</v>
      </c>
      <c r="I69" s="819" t="str">
        <f ca="1">IF(AND(CalcE5!$K$13=0,CalcE5!$F$13&lt;&gt;1),"",$R$19)</f>
        <v>FSV Rauen</v>
      </c>
      <c r="J69" s="819"/>
      <c r="K69" s="820"/>
      <c r="L69" s="550"/>
      <c r="M69" s="550"/>
      <c r="N69" s="171"/>
      <c r="O69" s="171"/>
      <c r="AF69" s="282"/>
    </row>
    <row r="70" spans="6:33" ht="24" customHeight="1" x14ac:dyDescent="0.2">
      <c r="F70" s="630"/>
      <c r="G70" s="630"/>
      <c r="H70" s="602">
        <v>18</v>
      </c>
      <c r="I70" s="819" t="str">
        <f ca="1">IF(CalcE5!$K$13=0,"",$R$20)</f>
        <v>TSG Saalberg eV</v>
      </c>
      <c r="J70" s="819"/>
      <c r="K70" s="820"/>
      <c r="L70" s="550"/>
      <c r="M70" s="550"/>
      <c r="N70" s="171"/>
      <c r="O70" s="171"/>
      <c r="AF70" s="469"/>
    </row>
    <row r="71" spans="6:33" ht="24" customHeight="1" x14ac:dyDescent="0.2">
      <c r="F71" s="630"/>
      <c r="G71" s="630"/>
      <c r="H71" s="602">
        <v>19</v>
      </c>
      <c r="I71" s="819" t="str">
        <f ca="1">IF(CalcE5!$K$13=0,"",$R$21)</f>
        <v>SSV Wildbach</v>
      </c>
      <c r="J71" s="819"/>
      <c r="K71" s="820"/>
      <c r="L71" s="550"/>
      <c r="M71" s="550"/>
      <c r="N71" s="171"/>
      <c r="O71" s="171"/>
      <c r="AF71" s="469"/>
    </row>
    <row r="72" spans="6:33" ht="24" customHeight="1" x14ac:dyDescent="0.2">
      <c r="F72" s="630"/>
      <c r="G72" s="630"/>
      <c r="H72" s="602">
        <v>20</v>
      </c>
      <c r="I72" s="819" t="str">
        <f ca="1">IF(CalcE5!$K$13=0,"",$R$22)</f>
        <v>Maibach 1822 eV</v>
      </c>
      <c r="J72" s="819"/>
      <c r="K72" s="820"/>
      <c r="L72" s="550"/>
      <c r="M72" s="550"/>
      <c r="N72" s="171"/>
      <c r="O72" s="171"/>
      <c r="AF72" s="280"/>
      <c r="AG72" s="280"/>
    </row>
    <row r="73" spans="6:33" ht="24" customHeight="1" x14ac:dyDescent="0.2">
      <c r="F73" s="630"/>
      <c r="G73" s="630"/>
      <c r="H73" s="602">
        <v>21</v>
      </c>
      <c r="I73" s="819" t="str">
        <f ca="1">IF(AND(CalcE6!$K$13=0,CalcE6!$F$13&lt;&gt;1),"",$R$12)</f>
        <v/>
      </c>
      <c r="J73" s="819"/>
      <c r="K73" s="820"/>
      <c r="L73" s="550"/>
      <c r="M73" s="550"/>
      <c r="N73" s="171"/>
      <c r="O73" s="171"/>
    </row>
    <row r="74" spans="6:33" ht="24" customHeight="1" x14ac:dyDescent="0.2">
      <c r="F74" s="630"/>
      <c r="G74" s="630"/>
      <c r="H74" s="602">
        <v>22</v>
      </c>
      <c r="I74" s="819" t="str">
        <f ca="1">IF(CalcE6!$K$13=0,"",$R$13)</f>
        <v/>
      </c>
      <c r="J74" s="819"/>
      <c r="K74" s="820"/>
      <c r="L74" s="550"/>
      <c r="M74" s="550"/>
      <c r="N74" s="171"/>
      <c r="O74" s="171"/>
    </row>
    <row r="75" spans="6:33" ht="24" customHeight="1" x14ac:dyDescent="0.2">
      <c r="F75" s="631"/>
      <c r="G75" s="631"/>
      <c r="H75" s="602">
        <v>23</v>
      </c>
      <c r="I75" s="819" t="str">
        <f ca="1">IF(CalcE6!$K$13=0,"",$R$14)</f>
        <v/>
      </c>
      <c r="J75" s="819"/>
      <c r="K75" s="820"/>
      <c r="L75" s="550"/>
      <c r="M75" s="550"/>
      <c r="N75" s="171"/>
      <c r="O75" s="171"/>
    </row>
    <row r="76" spans="6:33" ht="24" customHeight="1" thickBot="1" x14ac:dyDescent="0.25">
      <c r="F76" s="631"/>
      <c r="G76" s="631"/>
      <c r="H76" s="603">
        <v>24</v>
      </c>
      <c r="I76" s="863" t="str">
        <f ca="1">IF(CalcE6!$K$13=0,"",$R$15)</f>
        <v/>
      </c>
      <c r="J76" s="863"/>
      <c r="K76" s="864"/>
      <c r="L76" s="171"/>
      <c r="M76" s="171"/>
      <c r="N76" s="171"/>
      <c r="O76" s="171"/>
    </row>
    <row r="77" spans="6:33" ht="24" customHeight="1" thickTop="1" x14ac:dyDescent="0.2"/>
    <row r="78" spans="6:33" ht="24" customHeight="1" x14ac:dyDescent="0.2"/>
  </sheetData>
  <sheetProtection sheet="1" selectLockedCells="1"/>
  <mergeCells count="61">
    <mergeCell ref="I75:K75"/>
    <mergeCell ref="I76:K76"/>
    <mergeCell ref="J50:O50"/>
    <mergeCell ref="C50:I50"/>
    <mergeCell ref="AD38:AE38"/>
    <mergeCell ref="Q46:R46"/>
    <mergeCell ref="W46:Y46"/>
    <mergeCell ref="I53:K53"/>
    <mergeCell ref="I54:K54"/>
    <mergeCell ref="I55:K55"/>
    <mergeCell ref="I56:K56"/>
    <mergeCell ref="I57:K57"/>
    <mergeCell ref="I58:K58"/>
    <mergeCell ref="I59:K59"/>
    <mergeCell ref="I60:K60"/>
    <mergeCell ref="I61:K61"/>
    <mergeCell ref="AD31:AE31"/>
    <mergeCell ref="Q31:V31"/>
    <mergeCell ref="Q32:R32"/>
    <mergeCell ref="AD45:AE45"/>
    <mergeCell ref="W32:Y32"/>
    <mergeCell ref="Q38:V38"/>
    <mergeCell ref="Q39:R39"/>
    <mergeCell ref="W39:Y39"/>
    <mergeCell ref="Q45:V45"/>
    <mergeCell ref="AD7:AF8"/>
    <mergeCell ref="Q17:V17"/>
    <mergeCell ref="Q18:R18"/>
    <mergeCell ref="W18:Y18"/>
    <mergeCell ref="Q24:V24"/>
    <mergeCell ref="AD10:AE10"/>
    <mergeCell ref="AD17:AE17"/>
    <mergeCell ref="AD24:AE24"/>
    <mergeCell ref="Q10:V10"/>
    <mergeCell ref="Q11:R11"/>
    <mergeCell ref="W11:Y11"/>
    <mergeCell ref="C10:D10"/>
    <mergeCell ref="O10:O11"/>
    <mergeCell ref="I2:Y2"/>
    <mergeCell ref="I3:Y3"/>
    <mergeCell ref="I4:Y4"/>
    <mergeCell ref="I5:Y5"/>
    <mergeCell ref="L7:R8"/>
    <mergeCell ref="Q25:R25"/>
    <mergeCell ref="W25:Y25"/>
    <mergeCell ref="F11:H11"/>
    <mergeCell ref="I11:K11"/>
    <mergeCell ref="L11:N11"/>
    <mergeCell ref="I62:K62"/>
    <mergeCell ref="I63:K63"/>
    <mergeCell ref="I64:K64"/>
    <mergeCell ref="I65:K65"/>
    <mergeCell ref="I66:K66"/>
    <mergeCell ref="I72:K72"/>
    <mergeCell ref="I73:K73"/>
    <mergeCell ref="I74:K74"/>
    <mergeCell ref="I67:K67"/>
    <mergeCell ref="I68:K68"/>
    <mergeCell ref="I69:K69"/>
    <mergeCell ref="I70:K70"/>
    <mergeCell ref="I71:K71"/>
  </mergeCells>
  <conditionalFormatting sqref="C12:N47">
    <cfRule type="expression" dxfId="6" priority="19">
      <formula>OR($I12="",$K12="")</formula>
    </cfRule>
  </conditionalFormatting>
  <conditionalFormatting sqref="Q12:AA15 Q19:AA22 Q26:AA29 Q33:AA36 Q40:AA43 Q47:AA50">
    <cfRule type="expression" dxfId="5" priority="1">
      <formula>$R12=""</formula>
    </cfRule>
    <cfRule type="expression" dxfId="4" priority="2">
      <formula>OR(AND($Q12=$Q11,$R11&lt;&gt;""),AND($Q12=$Q13,$R13&lt;&gt;""))</formula>
    </cfRule>
  </conditionalFormatting>
  <dataValidations disablePrompts="1" count="1">
    <dataValidation allowBlank="1" showInputMessage="1" showErrorMessage="1" errorTitle="Unzulässige Teilnehmernummer" error="Es müssen Zahlen von 1 bis 9 eingetragen werden!" sqref="F12:F47 H12:H47" xr:uid="{84B51C47-AA23-4FA9-B3CA-CDC3BE4C28C8}"/>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0" id="{EE835FE0-8693-4CC5-A29E-9B503B75C371}">
            <xm:f>$H53&gt;4*Calc1!$F$14</xm:f>
            <x14:dxf>
              <numFmt numFmtId="165" formatCode=";;;"/>
            </x14:dxf>
          </x14:cfRule>
          <xm:sqref>H53:H76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45"/>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773" t="str">
        <f>$E$35</f>
        <v>Sprache wählen</v>
      </c>
      <c r="G1" s="773"/>
      <c r="H1" s="773"/>
      <c r="I1" s="107"/>
      <c r="J1" s="109" t="s">
        <v>152</v>
      </c>
      <c r="K1" s="174" t="str">
        <f>_xlfn.UNICHAR(8592)</f>
        <v>←</v>
      </c>
      <c r="L1" s="173" t="str">
        <f>$E$107</f>
        <v>Hier klicken und Sprache wählen</v>
      </c>
    </row>
    <row r="2" spans="2:12" ht="11.25" customHeight="1" thickBot="1" x14ac:dyDescent="0.25">
      <c r="F2" s="910"/>
      <c r="G2" s="910"/>
      <c r="I2" s="72"/>
      <c r="J2" s="73"/>
    </row>
    <row r="3" spans="2:12" ht="13.5" thickTop="1" x14ac:dyDescent="0.2">
      <c r="B3" s="74" t="s">
        <v>116</v>
      </c>
      <c r="C3" s="75">
        <f>IF(AND($J$1&lt;&gt;B4,$J$1&lt;&gt;B5),1,0)</f>
        <v>0</v>
      </c>
      <c r="D3" s="911"/>
      <c r="E3" s="913"/>
      <c r="F3" s="914" t="s">
        <v>116</v>
      </c>
      <c r="G3" s="916" t="s">
        <v>152</v>
      </c>
      <c r="H3" s="908" t="s">
        <v>115</v>
      </c>
      <c r="I3" s="76"/>
    </row>
    <row r="4" spans="2:12" ht="13.5" thickBot="1" x14ac:dyDescent="0.25">
      <c r="B4" s="74" t="s">
        <v>152</v>
      </c>
      <c r="C4" s="75">
        <f>IF($J$1=B4,1,0)</f>
        <v>1</v>
      </c>
      <c r="D4" s="912"/>
      <c r="E4" s="913"/>
      <c r="F4" s="915"/>
      <c r="G4" s="917"/>
      <c r="H4" s="909"/>
      <c r="I4" s="77"/>
      <c r="J4" s="78"/>
    </row>
    <row r="5" spans="2:12" ht="29.25" thickTop="1" x14ac:dyDescent="0.45">
      <c r="B5" s="74" t="s">
        <v>115</v>
      </c>
      <c r="C5" s="75">
        <f>IF($J$1=B5,1,0)</f>
        <v>0</v>
      </c>
      <c r="E5" s="74"/>
      <c r="F5" s="82" t="str">
        <f>$E$36</f>
        <v>Überschriften</v>
      </c>
      <c r="G5" s="83"/>
      <c r="H5" s="84"/>
      <c r="I5" s="77"/>
      <c r="J5" s="78"/>
    </row>
    <row r="6" spans="2:12" x14ac:dyDescent="0.2">
      <c r="E6" s="74" t="str">
        <f>IF($C$3,F6,IF($C$4,G6,IF($H6&lt;&gt;"",$H6,$F6)))</f>
        <v>Tie Break Vorrunde</v>
      </c>
      <c r="F6" s="81" t="s">
        <v>225</v>
      </c>
      <c r="G6" s="79" t="s">
        <v>224</v>
      </c>
      <c r="H6" s="102"/>
    </row>
    <row r="7" spans="2:12" x14ac:dyDescent="0.2">
      <c r="E7" s="74" t="str">
        <f t="shared" ref="E7:E140" si="0">IF($C$3,F7,IF($C$4,G7,IF($H7&lt;&gt;"",$H7,$F7)))</f>
        <v>Direkte Vergleiche</v>
      </c>
      <c r="F7" s="81" t="s">
        <v>117</v>
      </c>
      <c r="G7" s="79" t="s">
        <v>13</v>
      </c>
      <c r="H7" s="80"/>
    </row>
    <row r="8" spans="2:12" x14ac:dyDescent="0.2">
      <c r="E8" s="74" t="str">
        <f t="shared" si="0"/>
        <v>Dein Datum</v>
      </c>
      <c r="F8" s="100" t="s">
        <v>147</v>
      </c>
      <c r="G8" s="99" t="s">
        <v>146</v>
      </c>
      <c r="H8" s="80"/>
    </row>
    <row r="9" spans="2:12" ht="15" customHeight="1" x14ac:dyDescent="0.45">
      <c r="E9" s="74" t="str">
        <f t="shared" si="0"/>
        <v>Nr.</v>
      </c>
      <c r="F9" s="97" t="s">
        <v>120</v>
      </c>
      <c r="G9" s="96" t="s">
        <v>0</v>
      </c>
      <c r="H9" s="80"/>
      <c r="I9" s="88"/>
    </row>
    <row r="10" spans="2:12" ht="15" customHeight="1" x14ac:dyDescent="0.45">
      <c r="E10" s="74" t="str">
        <f t="shared" si="0"/>
        <v>Teilnehmer bzw. Mannschaft</v>
      </c>
      <c r="F10" s="97" t="s">
        <v>121</v>
      </c>
      <c r="G10" s="96" t="s">
        <v>22</v>
      </c>
      <c r="H10" s="80"/>
      <c r="I10" s="88"/>
    </row>
    <row r="11" spans="2:12" ht="15" customHeight="1" x14ac:dyDescent="0.45">
      <c r="E11" s="74" t="str">
        <f t="shared" si="0"/>
        <v>Ergebnisse</v>
      </c>
      <c r="F11" s="97" t="s">
        <v>122</v>
      </c>
      <c r="G11" s="96" t="s">
        <v>23</v>
      </c>
      <c r="H11" s="80"/>
      <c r="I11" s="88"/>
    </row>
    <row r="12" spans="2:12" ht="15" customHeight="1" x14ac:dyDescent="0.45">
      <c r="E12" s="74" t="str">
        <f t="shared" si="0"/>
        <v>Tabelle</v>
      </c>
      <c r="F12" s="97" t="s">
        <v>123</v>
      </c>
      <c r="G12" s="96" t="s">
        <v>14</v>
      </c>
      <c r="H12" s="80"/>
      <c r="I12" s="88"/>
    </row>
    <row r="13" spans="2:12" ht="15" customHeight="1" x14ac:dyDescent="0.45">
      <c r="E13" s="74" t="str">
        <f t="shared" si="0"/>
        <v>Tabelle (Kopie)</v>
      </c>
      <c r="F13" s="97" t="s">
        <v>124</v>
      </c>
      <c r="G13" s="96" t="s">
        <v>53</v>
      </c>
      <c r="H13" s="80"/>
      <c r="I13" s="88"/>
    </row>
    <row r="14" spans="2:12" ht="15" customHeight="1" x14ac:dyDescent="0.45">
      <c r="E14" s="74" t="str">
        <f t="shared" si="0"/>
        <v>Spielpaarung</v>
      </c>
      <c r="F14" s="97" t="s">
        <v>127</v>
      </c>
      <c r="G14" s="96" t="s">
        <v>1</v>
      </c>
      <c r="H14" s="80"/>
      <c r="I14" s="88"/>
    </row>
    <row r="15" spans="2:12" ht="15" customHeight="1" x14ac:dyDescent="0.45">
      <c r="E15" s="74" t="str">
        <f t="shared" si="0"/>
        <v>Ergebnis</v>
      </c>
      <c r="F15" s="97" t="s">
        <v>128</v>
      </c>
      <c r="G15" s="96" t="s">
        <v>2</v>
      </c>
      <c r="H15" s="80"/>
      <c r="I15" s="88"/>
    </row>
    <row r="16" spans="2:12" ht="15" customHeight="1" x14ac:dyDescent="0.45">
      <c r="E16" s="74" t="str">
        <f t="shared" si="0"/>
        <v>Gruppe</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Vorrunde</v>
      </c>
      <c r="F18" s="97" t="s">
        <v>220</v>
      </c>
      <c r="G18" s="96" t="s">
        <v>218</v>
      </c>
      <c r="H18" s="80"/>
      <c r="I18" s="88"/>
    </row>
    <row r="19" spans="5:13" ht="15" customHeight="1" x14ac:dyDescent="0.45">
      <c r="E19" s="74" t="str">
        <f t="shared" si="0"/>
        <v>Endrunde</v>
      </c>
      <c r="F19" s="97" t="s">
        <v>221</v>
      </c>
      <c r="G19" s="96" t="s">
        <v>219</v>
      </c>
      <c r="H19" s="80"/>
      <c r="I19" s="88"/>
    </row>
    <row r="20" spans="5:13" ht="15" x14ac:dyDescent="0.25">
      <c r="E20" s="74" t="str">
        <f t="shared" si="0"/>
        <v>Zusätzl. Pause (min)</v>
      </c>
      <c r="F20" s="100" t="s">
        <v>228</v>
      </c>
      <c r="G20" s="99" t="s">
        <v>227</v>
      </c>
      <c r="H20" s="80"/>
      <c r="I20" s="89"/>
      <c r="J20" s="89"/>
      <c r="K20" s="89"/>
      <c r="L20" s="89"/>
      <c r="M20" s="89"/>
    </row>
    <row r="21" spans="5:13" ht="15" x14ac:dyDescent="0.25">
      <c r="E21" s="74" t="str">
        <f t="shared" si="0"/>
        <v>SP</v>
      </c>
      <c r="F21" s="100" t="s">
        <v>105</v>
      </c>
      <c r="G21" s="99" t="s">
        <v>129</v>
      </c>
      <c r="H21" s="80"/>
      <c r="I21" s="89"/>
      <c r="J21" s="89"/>
      <c r="K21" s="89"/>
      <c r="L21" s="89"/>
      <c r="M21" s="89"/>
    </row>
    <row r="22" spans="5:13" ht="15" x14ac:dyDescent="0.25">
      <c r="E22" s="74" t="str">
        <f t="shared" si="0"/>
        <v>G</v>
      </c>
      <c r="F22" s="100" t="s">
        <v>106</v>
      </c>
      <c r="G22" s="99" t="s">
        <v>130</v>
      </c>
      <c r="H22" s="80"/>
      <c r="I22" s="89"/>
      <c r="J22" s="89"/>
      <c r="K22" s="89"/>
      <c r="L22" s="89"/>
      <c r="M22" s="89"/>
    </row>
    <row r="23" spans="5:13" ht="15" x14ac:dyDescent="0.25">
      <c r="E23" s="74" t="str">
        <f t="shared" si="0"/>
        <v>U</v>
      </c>
      <c r="F23" s="100" t="s">
        <v>107</v>
      </c>
      <c r="G23" s="99" t="s">
        <v>131</v>
      </c>
      <c r="H23" s="80"/>
      <c r="I23" s="89"/>
      <c r="J23" s="89"/>
      <c r="K23" s="89"/>
      <c r="L23" s="89"/>
      <c r="M23" s="89"/>
    </row>
    <row r="24" spans="5:13" ht="15" x14ac:dyDescent="0.25">
      <c r="E24" s="74" t="str">
        <f t="shared" si="0"/>
        <v>V</v>
      </c>
      <c r="F24" s="100" t="s">
        <v>108</v>
      </c>
      <c r="G24" s="99" t="s">
        <v>132</v>
      </c>
      <c r="H24" s="80"/>
      <c r="I24" s="89"/>
      <c r="J24" s="89"/>
      <c r="K24" s="89"/>
      <c r="L24" s="89"/>
      <c r="M24" s="89"/>
    </row>
    <row r="25" spans="5:13" ht="15" x14ac:dyDescent="0.25">
      <c r="E25" s="74" t="str">
        <f t="shared" si="0"/>
        <v>Tore</v>
      </c>
      <c r="F25" s="100" t="s">
        <v>96</v>
      </c>
      <c r="G25" s="99" t="s">
        <v>3</v>
      </c>
      <c r="H25" s="80"/>
      <c r="I25" s="89"/>
      <c r="J25" s="89"/>
      <c r="K25" s="89"/>
      <c r="L25" s="89"/>
      <c r="M25" s="89"/>
    </row>
    <row r="26" spans="5:13" ht="15" x14ac:dyDescent="0.25">
      <c r="E26" s="74" t="str">
        <f t="shared" si="0"/>
        <v>Diff.</v>
      </c>
      <c r="F26" s="100" t="s">
        <v>111</v>
      </c>
      <c r="G26" s="99" t="s">
        <v>4</v>
      </c>
      <c r="H26" s="80"/>
      <c r="I26" s="89"/>
      <c r="J26" s="89"/>
      <c r="K26" s="89"/>
      <c r="L26" s="89"/>
      <c r="M26" s="89"/>
    </row>
    <row r="27" spans="5:13" ht="15" x14ac:dyDescent="0.25">
      <c r="E27" s="74" t="str">
        <f t="shared" si="0"/>
        <v>Pkt</v>
      </c>
      <c r="F27" s="100" t="s">
        <v>112</v>
      </c>
      <c r="G27" s="99" t="s">
        <v>133</v>
      </c>
      <c r="H27" s="80"/>
      <c r="I27" s="89"/>
      <c r="J27" s="89"/>
      <c r="K27" s="89"/>
      <c r="L27" s="89"/>
      <c r="M27" s="89"/>
    </row>
    <row r="28" spans="5:13" ht="15" x14ac:dyDescent="0.25">
      <c r="E28" s="74" t="str">
        <f t="shared" si="0"/>
        <v>erz. Tore</v>
      </c>
      <c r="F28" s="100" t="s">
        <v>109</v>
      </c>
      <c r="G28" s="99" t="s">
        <v>156</v>
      </c>
      <c r="H28" s="80"/>
      <c r="I28" s="89"/>
      <c r="J28" s="89"/>
      <c r="K28" s="89"/>
      <c r="L28" s="89"/>
      <c r="M28" s="89"/>
    </row>
    <row r="29" spans="5:13" x14ac:dyDescent="0.2">
      <c r="E29" s="74" t="str">
        <f t="shared" si="0"/>
        <v>Turnierende:</v>
      </c>
      <c r="F29" s="100" t="s">
        <v>311</v>
      </c>
      <c r="G29" s="99" t="s">
        <v>229</v>
      </c>
      <c r="H29" s="80"/>
    </row>
    <row r="30" spans="5:13" x14ac:dyDescent="0.2">
      <c r="E30" s="74" t="str">
        <f t="shared" si="0"/>
        <v>Teilnehmer und Ablaufplan</v>
      </c>
      <c r="F30" s="100" t="s">
        <v>134</v>
      </c>
      <c r="G30" s="99" t="s">
        <v>20</v>
      </c>
      <c r="H30" s="80"/>
    </row>
    <row r="31" spans="5:13" x14ac:dyDescent="0.2">
      <c r="E31" s="74" t="str">
        <f t="shared" si="0"/>
        <v>Teilnehmer</v>
      </c>
      <c r="F31" s="101" t="s">
        <v>135</v>
      </c>
      <c r="G31" s="99" t="s">
        <v>21</v>
      </c>
      <c r="H31" s="80"/>
    </row>
    <row r="32" spans="5:13" x14ac:dyDescent="0.2">
      <c r="E32" s="74" t="str">
        <f t="shared" si="0"/>
        <v>Ablaufplan</v>
      </c>
      <c r="F32" s="101" t="s">
        <v>136</v>
      </c>
      <c r="G32" s="99" t="s">
        <v>24</v>
      </c>
      <c r="H32" s="80"/>
    </row>
    <row r="33" spans="5:8" x14ac:dyDescent="0.2">
      <c r="E33" s="74" t="str">
        <f t="shared" si="0"/>
        <v>Spiel-Nr.</v>
      </c>
      <c r="F33" s="101" t="s">
        <v>137</v>
      </c>
      <c r="G33" s="99" t="s">
        <v>52</v>
      </c>
      <c r="H33" s="80"/>
    </row>
    <row r="34" spans="5:8" x14ac:dyDescent="0.2">
      <c r="E34" s="74" t="str">
        <f t="shared" si="0"/>
        <v>Paarungen</v>
      </c>
      <c r="F34" s="101" t="s">
        <v>140</v>
      </c>
      <c r="G34" s="99" t="s">
        <v>54</v>
      </c>
      <c r="H34" s="80"/>
    </row>
    <row r="35" spans="5:8" x14ac:dyDescent="0.2">
      <c r="E35" s="74" t="str">
        <f t="shared" si="0"/>
        <v>Sprache wählen</v>
      </c>
      <c r="F35" s="100" t="s">
        <v>114</v>
      </c>
      <c r="G35" s="99" t="s">
        <v>145</v>
      </c>
      <c r="H35" s="80"/>
    </row>
    <row r="36" spans="5:8" x14ac:dyDescent="0.2">
      <c r="E36" s="74" t="str">
        <f t="shared" si="0"/>
        <v>Überschriften</v>
      </c>
      <c r="F36" s="100" t="s">
        <v>118</v>
      </c>
      <c r="G36" s="99" t="s">
        <v>142</v>
      </c>
      <c r="H36" s="80"/>
    </row>
    <row r="37" spans="5:8" x14ac:dyDescent="0.2">
      <c r="E37" s="74" t="str">
        <f t="shared" si="0"/>
        <v>Meldungen</v>
      </c>
      <c r="F37" s="100" t="s">
        <v>143</v>
      </c>
      <c r="G37" s="99" t="s">
        <v>144</v>
      </c>
      <c r="H37" s="80"/>
    </row>
    <row r="38" spans="5:8" x14ac:dyDescent="0.2">
      <c r="E38" s="74" t="str">
        <f t="shared" si="0"/>
        <v>Deine Überschriften</v>
      </c>
      <c r="F38" s="100" t="s">
        <v>150</v>
      </c>
      <c r="G38" s="99" t="s">
        <v>149</v>
      </c>
      <c r="H38" s="80"/>
    </row>
    <row r="39" spans="5:8" x14ac:dyDescent="0.2">
      <c r="E39" s="74" t="str">
        <f t="shared" si="0"/>
        <v>Beginn:</v>
      </c>
      <c r="F39" s="100" t="s">
        <v>232</v>
      </c>
      <c r="G39" s="99" t="s">
        <v>233</v>
      </c>
      <c r="H39" s="80"/>
    </row>
    <row r="40" spans="5:8" x14ac:dyDescent="0.2">
      <c r="E40" s="74" t="str">
        <f t="shared" si="0"/>
        <v>Ende der Vorrunde:</v>
      </c>
      <c r="F40" s="100" t="s">
        <v>234</v>
      </c>
      <c r="G40" s="99" t="s">
        <v>235</v>
      </c>
      <c r="H40" s="80"/>
    </row>
    <row r="41" spans="5:8" x14ac:dyDescent="0.2">
      <c r="E41" s="74" t="str">
        <f t="shared" si="0"/>
        <v>Spielzeiten</v>
      </c>
      <c r="F41" s="100" t="s">
        <v>175</v>
      </c>
      <c r="G41" s="99" t="s">
        <v>174</v>
      </c>
      <c r="H41" s="80"/>
    </row>
    <row r="42" spans="5:8" x14ac:dyDescent="0.2">
      <c r="E42" s="74" t="str">
        <f t="shared" si="0"/>
        <v>Spielzeit pro Spiel:</v>
      </c>
      <c r="F42" s="100" t="s">
        <v>236</v>
      </c>
      <c r="G42" s="99" t="s">
        <v>237</v>
      </c>
      <c r="H42" s="80"/>
    </row>
    <row r="43" spans="5:8" x14ac:dyDescent="0.2">
      <c r="E43" s="74" t="str">
        <f t="shared" si="0"/>
        <v>Wechselzeit:</v>
      </c>
      <c r="F43" s="100" t="s">
        <v>238</v>
      </c>
      <c r="G43" s="99" t="s">
        <v>239</v>
      </c>
      <c r="H43" s="80"/>
    </row>
    <row r="44" spans="5:8" x14ac:dyDescent="0.2">
      <c r="E44" s="74" t="str">
        <f t="shared" si="0"/>
        <v>Anzahl der Spielfelder:</v>
      </c>
      <c r="F44" s="100" t="s">
        <v>380</v>
      </c>
      <c r="G44" s="99" t="s">
        <v>379</v>
      </c>
      <c r="H44" s="80"/>
    </row>
    <row r="45" spans="5:8" x14ac:dyDescent="0.2">
      <c r="E45" s="74" t="str">
        <f t="shared" si="0"/>
        <v>Uhr</v>
      </c>
      <c r="F45" s="100" t="s">
        <v>167</v>
      </c>
      <c r="G45" s="99" t="s">
        <v>166</v>
      </c>
      <c r="H45" s="80"/>
    </row>
    <row r="46" spans="5:8" x14ac:dyDescent="0.2">
      <c r="E46" s="74" t="str">
        <f t="shared" si="0"/>
        <v>Spiel gegen</v>
      </c>
      <c r="F46" s="100" t="s">
        <v>171</v>
      </c>
      <c r="G46" s="99" t="s">
        <v>170</v>
      </c>
      <c r="H46" s="80"/>
    </row>
    <row r="47" spans="5:8" x14ac:dyDescent="0.2">
      <c r="E47" s="74" t="str">
        <f t="shared" si="0"/>
        <v>Anmerkung</v>
      </c>
      <c r="F47" s="100" t="s">
        <v>172</v>
      </c>
      <c r="G47" s="99" t="s">
        <v>173</v>
      </c>
      <c r="H47" s="80"/>
    </row>
    <row r="48" spans="5:8" x14ac:dyDescent="0.2">
      <c r="E48" s="74" t="str">
        <f t="shared" si="0"/>
        <v>Feld</v>
      </c>
      <c r="F48" s="100" t="s">
        <v>240</v>
      </c>
      <c r="G48" s="99" t="s">
        <v>381</v>
      </c>
      <c r="H48" s="80"/>
    </row>
    <row r="49" spans="5:8" x14ac:dyDescent="0.2">
      <c r="E49" s="74" t="str">
        <f t="shared" si="0"/>
        <v>Bonus</v>
      </c>
      <c r="F49" s="81" t="s">
        <v>119</v>
      </c>
      <c r="G49" s="79" t="s">
        <v>59</v>
      </c>
      <c r="H49" s="80"/>
    </row>
    <row r="50" spans="5:8" x14ac:dyDescent="0.2">
      <c r="E50" s="74" t="str">
        <f t="shared" si="0"/>
        <v>Spielpaarungen</v>
      </c>
      <c r="F50" s="97" t="s">
        <v>181</v>
      </c>
      <c r="G50" s="96" t="s">
        <v>182</v>
      </c>
      <c r="H50" s="80"/>
    </row>
    <row r="51" spans="5:8" x14ac:dyDescent="0.2">
      <c r="E51" s="74" t="str">
        <f t="shared" si="0"/>
        <v>Einstellungen</v>
      </c>
      <c r="F51" s="97" t="s">
        <v>184</v>
      </c>
      <c r="G51" s="96" t="s">
        <v>183</v>
      </c>
      <c r="H51" s="80"/>
    </row>
    <row r="52" spans="5:8" x14ac:dyDescent="0.2">
      <c r="E52" s="74" t="str">
        <f t="shared" si="0"/>
        <v>Anzahl der Punkte für einen Sieg:</v>
      </c>
      <c r="F52" s="97" t="s">
        <v>186</v>
      </c>
      <c r="G52" s="96" t="s">
        <v>185</v>
      </c>
      <c r="H52" s="80"/>
    </row>
    <row r="53" spans="5:8" x14ac:dyDescent="0.2">
      <c r="E53" s="74" t="str">
        <f t="shared" si="0"/>
        <v>Halbfinale</v>
      </c>
      <c r="F53" s="97" t="s">
        <v>252</v>
      </c>
      <c r="G53" s="96" t="s">
        <v>249</v>
      </c>
      <c r="H53" s="80"/>
    </row>
    <row r="54" spans="5:8" x14ac:dyDescent="0.2">
      <c r="E54" s="74" t="str">
        <f t="shared" si="0"/>
        <v>Endspiele</v>
      </c>
      <c r="F54" s="97" t="s">
        <v>251</v>
      </c>
      <c r="G54" s="96" t="s">
        <v>250</v>
      </c>
      <c r="H54" s="80"/>
    </row>
    <row r="55" spans="5:8" x14ac:dyDescent="0.2">
      <c r="E55" s="74" t="str">
        <f t="shared" si="0"/>
        <v xml:space="preserve">Spiele um die Plätze </v>
      </c>
      <c r="F55" s="97" t="s">
        <v>254</v>
      </c>
      <c r="G55" s="96" t="s">
        <v>253</v>
      </c>
      <c r="H55" s="80"/>
    </row>
    <row r="56" spans="5:8" x14ac:dyDescent="0.2">
      <c r="E56" s="74" t="str">
        <f t="shared" si="0"/>
        <v>Vorrunde Gruppe</v>
      </c>
      <c r="F56" s="97" t="s">
        <v>258</v>
      </c>
      <c r="G56" s="96" t="s">
        <v>257</v>
      </c>
      <c r="H56" s="80"/>
    </row>
    <row r="57" spans="5:8" x14ac:dyDescent="0.2">
      <c r="E57" s="74" t="str">
        <f t="shared" si="0"/>
        <v>Gruppendritte</v>
      </c>
      <c r="F57" s="97" t="s">
        <v>317</v>
      </c>
      <c r="G57" s="96" t="s">
        <v>316</v>
      </c>
      <c r="H57" s="80"/>
    </row>
    <row r="58" spans="5:8" x14ac:dyDescent="0.2">
      <c r="E58" s="74" t="str">
        <f t="shared" si="0"/>
        <v>Viertelfinale</v>
      </c>
      <c r="F58" s="97" t="s">
        <v>319</v>
      </c>
      <c r="G58" s="96" t="s">
        <v>318</v>
      </c>
      <c r="H58" s="80"/>
    </row>
    <row r="59" spans="5:8" x14ac:dyDescent="0.2">
      <c r="E59" s="74" t="str">
        <f t="shared" si="0"/>
        <v>Gruppenerste</v>
      </c>
      <c r="F59" s="97" t="s">
        <v>342</v>
      </c>
      <c r="G59" s="96" t="s">
        <v>337</v>
      </c>
      <c r="H59" s="80"/>
    </row>
    <row r="60" spans="5:8" x14ac:dyDescent="0.2">
      <c r="E60" s="74" t="str">
        <f t="shared" si="0"/>
        <v>Gruppenzweite</v>
      </c>
      <c r="F60" s="97" t="s">
        <v>343</v>
      </c>
      <c r="G60" s="96" t="s">
        <v>338</v>
      </c>
      <c r="H60" s="80"/>
    </row>
    <row r="61" spans="5:8" x14ac:dyDescent="0.2">
      <c r="E61" s="74" t="str">
        <f t="shared" si="0"/>
        <v>Gruppendritte</v>
      </c>
      <c r="F61" s="97" t="s">
        <v>347</v>
      </c>
      <c r="G61" s="96" t="s">
        <v>316</v>
      </c>
      <c r="H61" s="80"/>
    </row>
    <row r="62" spans="5:8" x14ac:dyDescent="0.2">
      <c r="E62" s="74" t="str">
        <f t="shared" si="0"/>
        <v>Gruppenvierte</v>
      </c>
      <c r="F62" s="97" t="s">
        <v>346</v>
      </c>
      <c r="G62" s="96" t="s">
        <v>339</v>
      </c>
      <c r="H62" s="80"/>
    </row>
    <row r="63" spans="5:8" x14ac:dyDescent="0.2">
      <c r="E63" s="74" t="str">
        <f t="shared" si="0"/>
        <v>Gruppenfünfte</v>
      </c>
      <c r="F63" s="97" t="s">
        <v>344</v>
      </c>
      <c r="G63" s="96" t="s">
        <v>340</v>
      </c>
      <c r="H63" s="80"/>
    </row>
    <row r="64" spans="5:8" x14ac:dyDescent="0.2">
      <c r="E64" s="74" t="str">
        <f t="shared" si="0"/>
        <v>Gruppensechste</v>
      </c>
      <c r="F64" s="97" t="s">
        <v>345</v>
      </c>
      <c r="G64" s="96" t="s">
        <v>341</v>
      </c>
      <c r="H64" s="80"/>
    </row>
    <row r="65" spans="5:10" x14ac:dyDescent="0.2">
      <c r="E65" s="74" t="str">
        <f t="shared" si="0"/>
        <v>Finale</v>
      </c>
      <c r="F65" s="97" t="s">
        <v>247</v>
      </c>
      <c r="G65" s="96" t="s">
        <v>246</v>
      </c>
      <c r="H65" s="80"/>
    </row>
    <row r="66" spans="5:10" x14ac:dyDescent="0.2">
      <c r="E66" s="74" t="str">
        <f t="shared" si="0"/>
        <v>Spiel um den dritten Platz</v>
      </c>
      <c r="F66" s="97" t="s">
        <v>354</v>
      </c>
      <c r="G66" s="96" t="s">
        <v>355</v>
      </c>
      <c r="H66" s="80"/>
    </row>
    <row r="67" spans="5:10" x14ac:dyDescent="0.2">
      <c r="E67" s="74" t="str">
        <f t="shared" si="0"/>
        <v xml:space="preserve">Finalspiele um die Plätze </v>
      </c>
      <c r="F67" s="97" t="s">
        <v>370</v>
      </c>
      <c r="G67" s="96" t="s">
        <v>369</v>
      </c>
      <c r="H67" s="80"/>
    </row>
    <row r="68" spans="5:10" x14ac:dyDescent="0.2">
      <c r="E68" s="74" t="str">
        <f t="shared" si="0"/>
        <v xml:space="preserve"> bis </v>
      </c>
      <c r="F68" s="97" t="s">
        <v>357</v>
      </c>
      <c r="G68" s="96" t="s">
        <v>356</v>
      </c>
      <c r="H68" s="80"/>
    </row>
    <row r="69" spans="5:10" x14ac:dyDescent="0.2">
      <c r="E69" s="74" t="str">
        <f t="shared" si="0"/>
        <v>Halbfinalspiele</v>
      </c>
      <c r="F69" s="97" t="s">
        <v>359</v>
      </c>
      <c r="G69" s="96" t="s">
        <v>358</v>
      </c>
      <c r="H69" s="80"/>
    </row>
    <row r="70" spans="5:10" x14ac:dyDescent="0.2">
      <c r="E70" s="74" t="str">
        <f t="shared" si="0"/>
        <v xml:space="preserve">VF </v>
      </c>
      <c r="F70" s="97" t="s">
        <v>373</v>
      </c>
      <c r="G70" s="96" t="s">
        <v>374</v>
      </c>
      <c r="H70" s="80"/>
      <c r="J70" t="str">
        <f>$E$135</f>
        <v>(Abkürzung für 'Viertelfinale')</v>
      </c>
    </row>
    <row r="71" spans="5:10" x14ac:dyDescent="0.2">
      <c r="E71" s="74" t="str">
        <f t="shared" si="0"/>
        <v xml:space="preserve">HF </v>
      </c>
      <c r="F71" s="97" t="s">
        <v>378</v>
      </c>
      <c r="G71" s="96" t="s">
        <v>377</v>
      </c>
      <c r="H71" s="80"/>
      <c r="J71" t="str">
        <f>$E$136</f>
        <v>(Abkürzung für 'Halbfinale')</v>
      </c>
    </row>
    <row r="72" spans="5:10" x14ac:dyDescent="0.2">
      <c r="E72" s="74">
        <f t="shared" si="0"/>
        <v>0</v>
      </c>
      <c r="F72" s="97"/>
      <c r="G72" s="96"/>
      <c r="H72" s="80"/>
    </row>
    <row r="73" spans="5:10" x14ac:dyDescent="0.2">
      <c r="E73" s="74">
        <f t="shared" si="0"/>
        <v>0</v>
      </c>
      <c r="F73" s="97"/>
      <c r="G73" s="96"/>
      <c r="H73" s="80"/>
    </row>
    <row r="74" spans="5:10" x14ac:dyDescent="0.2">
      <c r="E74" s="74" t="str">
        <f t="shared" si="0"/>
        <v>Viertelfinale Gruppenerste und -zweite</v>
      </c>
      <c r="F74" s="97" t="s">
        <v>426</v>
      </c>
      <c r="G74" s="96" t="s">
        <v>403</v>
      </c>
      <c r="H74" s="80"/>
    </row>
    <row r="75" spans="5:10" x14ac:dyDescent="0.2">
      <c r="E75" s="74" t="str">
        <f t="shared" si="0"/>
        <v>Viertelfinale Gruppendritte und -vierte</v>
      </c>
      <c r="F75" s="97" t="s">
        <v>427</v>
      </c>
      <c r="G75" s="96" t="s">
        <v>404</v>
      </c>
      <c r="H75" s="80"/>
    </row>
    <row r="76" spans="5:10" x14ac:dyDescent="0.2">
      <c r="E76" s="74" t="str">
        <f t="shared" si="0"/>
        <v>Viertelfinale Gruppenfünfte und -sechste</v>
      </c>
      <c r="F76" s="97" t="s">
        <v>428</v>
      </c>
      <c r="G76" s="96" t="s">
        <v>405</v>
      </c>
      <c r="H76" s="80"/>
    </row>
    <row r="77" spans="5:10" x14ac:dyDescent="0.2">
      <c r="E77" s="74" t="str">
        <f t="shared" si="0"/>
        <v>Halbfinale Plätze 1 - 4</v>
      </c>
      <c r="F77" s="97" t="s">
        <v>416</v>
      </c>
      <c r="G77" s="96" t="s">
        <v>406</v>
      </c>
      <c r="H77" s="80"/>
    </row>
    <row r="78" spans="5:10" x14ac:dyDescent="0.2">
      <c r="E78" s="74" t="str">
        <f t="shared" si="0"/>
        <v>Halbfinale Plätze 5 - 8</v>
      </c>
      <c r="F78" s="97" t="s">
        <v>389</v>
      </c>
      <c r="G78" s="96" t="s">
        <v>388</v>
      </c>
      <c r="H78" s="80"/>
    </row>
    <row r="79" spans="5:10" x14ac:dyDescent="0.2">
      <c r="E79" s="74" t="str">
        <f t="shared" si="0"/>
        <v>Halbfinale Plätze 9 - 12</v>
      </c>
      <c r="F79" s="97" t="s">
        <v>417</v>
      </c>
      <c r="G79" s="96" t="s">
        <v>407</v>
      </c>
      <c r="H79" s="80"/>
    </row>
    <row r="80" spans="5:10" x14ac:dyDescent="0.2">
      <c r="E80" s="74" t="str">
        <f t="shared" si="0"/>
        <v>Halbfinale Plätze 13 - 16</v>
      </c>
      <c r="F80" s="97" t="s">
        <v>418</v>
      </c>
      <c r="G80" s="96" t="s">
        <v>408</v>
      </c>
      <c r="H80" s="80"/>
    </row>
    <row r="81" spans="5:8" x14ac:dyDescent="0.2">
      <c r="E81" s="74" t="str">
        <f t="shared" si="0"/>
        <v>Halbfinale Plätze 17 - 20</v>
      </c>
      <c r="F81" s="97" t="s">
        <v>419</v>
      </c>
      <c r="G81" s="96" t="s">
        <v>409</v>
      </c>
      <c r="H81" s="80"/>
    </row>
    <row r="82" spans="5:8" x14ac:dyDescent="0.2">
      <c r="E82" s="74" t="str">
        <f t="shared" si="0"/>
        <v>Halbfinale Plätze 21 - 24</v>
      </c>
      <c r="F82" s="97" t="s">
        <v>420</v>
      </c>
      <c r="G82" s="96" t="s">
        <v>410</v>
      </c>
      <c r="H82" s="80"/>
    </row>
    <row r="83" spans="5:8" x14ac:dyDescent="0.2">
      <c r="E83" s="74" t="str">
        <f t="shared" si="0"/>
        <v>Endspiele Plätze 1 - 4</v>
      </c>
      <c r="F83" s="97" t="s">
        <v>421</v>
      </c>
      <c r="G83" s="96" t="s">
        <v>411</v>
      </c>
      <c r="H83" s="80"/>
    </row>
    <row r="84" spans="5:8" x14ac:dyDescent="0.2">
      <c r="E84" s="74" t="str">
        <f t="shared" si="0"/>
        <v>Endspiele Plätze 5 - 8</v>
      </c>
      <c r="F84" s="97" t="s">
        <v>390</v>
      </c>
      <c r="G84" s="96" t="s">
        <v>391</v>
      </c>
      <c r="H84" s="80"/>
    </row>
    <row r="85" spans="5:8" x14ac:dyDescent="0.2">
      <c r="E85" s="74" t="str">
        <f t="shared" si="0"/>
        <v>Endspiele Plätze 9 - 12</v>
      </c>
      <c r="F85" s="97" t="s">
        <v>422</v>
      </c>
      <c r="G85" s="96" t="s">
        <v>412</v>
      </c>
      <c r="H85" s="80"/>
    </row>
    <row r="86" spans="5:8" x14ac:dyDescent="0.2">
      <c r="E86" s="74" t="str">
        <f t="shared" si="0"/>
        <v>Endspiele Plätze 13 - 16</v>
      </c>
      <c r="F86" s="97" t="s">
        <v>423</v>
      </c>
      <c r="G86" s="96" t="s">
        <v>413</v>
      </c>
      <c r="H86" s="80"/>
    </row>
    <row r="87" spans="5:8" x14ac:dyDescent="0.2">
      <c r="E87" s="74" t="str">
        <f t="shared" si="0"/>
        <v>Endspiele Plätze 17 - 20</v>
      </c>
      <c r="F87" s="97" t="s">
        <v>424</v>
      </c>
      <c r="G87" s="96" t="s">
        <v>414</v>
      </c>
      <c r="H87" s="80"/>
    </row>
    <row r="88" spans="5:8" x14ac:dyDescent="0.2">
      <c r="E88" s="74" t="str">
        <f t="shared" si="0"/>
        <v>Endspiele Plätze 21 - 24</v>
      </c>
      <c r="F88" s="97" t="s">
        <v>425</v>
      </c>
      <c r="G88" s="96" t="s">
        <v>415</v>
      </c>
      <c r="H88" s="80"/>
    </row>
    <row r="89" spans="5:8" x14ac:dyDescent="0.2">
      <c r="E89" s="74" t="str">
        <f t="shared" si="0"/>
        <v>5. Platz</v>
      </c>
      <c r="F89" s="97" t="s">
        <v>393</v>
      </c>
      <c r="G89" s="96" t="s">
        <v>392</v>
      </c>
      <c r="H89" s="80"/>
    </row>
    <row r="90" spans="5:8" x14ac:dyDescent="0.2">
      <c r="E90" s="74" t="str">
        <f t="shared" si="0"/>
        <v>7. Platz</v>
      </c>
      <c r="F90" s="97" t="s">
        <v>394</v>
      </c>
      <c r="G90" s="96" t="s">
        <v>395</v>
      </c>
      <c r="H90" s="80"/>
    </row>
    <row r="91" spans="5:8" x14ac:dyDescent="0.2">
      <c r="E91" s="74" t="str">
        <f t="shared" si="0"/>
        <v>9. Platz</v>
      </c>
      <c r="F91" s="97" t="s">
        <v>429</v>
      </c>
      <c r="G91" s="96" t="s">
        <v>437</v>
      </c>
      <c r="H91" s="80"/>
    </row>
    <row r="92" spans="5:8" x14ac:dyDescent="0.2">
      <c r="E92" s="74" t="str">
        <f t="shared" si="0"/>
        <v>11. Platz</v>
      </c>
      <c r="F92" s="97" t="s">
        <v>430</v>
      </c>
      <c r="G92" s="96" t="s">
        <v>438</v>
      </c>
      <c r="H92" s="80"/>
    </row>
    <row r="93" spans="5:8" x14ac:dyDescent="0.2">
      <c r="E93" s="74" t="str">
        <f t="shared" si="0"/>
        <v>13. Platz</v>
      </c>
      <c r="F93" s="97" t="s">
        <v>431</v>
      </c>
      <c r="G93" s="96" t="s">
        <v>439</v>
      </c>
      <c r="H93" s="80"/>
    </row>
    <row r="94" spans="5:8" x14ac:dyDescent="0.2">
      <c r="E94" s="74" t="str">
        <f t="shared" si="0"/>
        <v>15. Platz</v>
      </c>
      <c r="F94" s="97" t="s">
        <v>432</v>
      </c>
      <c r="G94" s="96" t="s">
        <v>440</v>
      </c>
      <c r="H94" s="80"/>
    </row>
    <row r="95" spans="5:8" x14ac:dyDescent="0.2">
      <c r="E95" s="74" t="str">
        <f t="shared" si="0"/>
        <v>17. Platz</v>
      </c>
      <c r="F95" s="97" t="s">
        <v>433</v>
      </c>
      <c r="G95" s="96" t="s">
        <v>441</v>
      </c>
      <c r="H95" s="80"/>
    </row>
    <row r="96" spans="5:8" x14ac:dyDescent="0.2">
      <c r="E96" s="74" t="str">
        <f t="shared" si="0"/>
        <v>19. Platz</v>
      </c>
      <c r="F96" s="97" t="s">
        <v>434</v>
      </c>
      <c r="G96" s="96" t="s">
        <v>442</v>
      </c>
      <c r="H96" s="80"/>
    </row>
    <row r="97" spans="5:8" x14ac:dyDescent="0.2">
      <c r="E97" s="74" t="str">
        <f t="shared" si="0"/>
        <v>21. Platz</v>
      </c>
      <c r="F97" s="97" t="s">
        <v>435</v>
      </c>
      <c r="G97" s="96" t="s">
        <v>443</v>
      </c>
      <c r="H97" s="80"/>
    </row>
    <row r="98" spans="5:8" x14ac:dyDescent="0.2">
      <c r="E98" s="74" t="str">
        <f t="shared" si="0"/>
        <v>23. Platz</v>
      </c>
      <c r="F98" s="97" t="s">
        <v>436</v>
      </c>
      <c r="G98" s="96" t="s">
        <v>444</v>
      </c>
      <c r="H98" s="80"/>
    </row>
    <row r="99" spans="5:8" x14ac:dyDescent="0.2">
      <c r="E99" s="74">
        <f t="shared" si="0"/>
        <v>0</v>
      </c>
      <c r="F99" s="97"/>
      <c r="G99" s="96"/>
      <c r="H99" s="80"/>
    </row>
    <row r="100" spans="5:8" x14ac:dyDescent="0.2">
      <c r="E100" s="74">
        <f t="shared" si="0"/>
        <v>0</v>
      </c>
      <c r="F100" s="97"/>
      <c r="G100" s="96"/>
      <c r="H100" s="80"/>
    </row>
    <row r="101" spans="5:8" x14ac:dyDescent="0.2">
      <c r="E101" s="74" t="str">
        <f t="shared" si="0"/>
        <v>Elfmeter</v>
      </c>
      <c r="F101" s="97" t="s">
        <v>231</v>
      </c>
      <c r="G101" s="96" t="s">
        <v>230</v>
      </c>
      <c r="H101" s="80"/>
    </row>
    <row r="102" spans="5:8" ht="28.5" x14ac:dyDescent="0.45">
      <c r="E102" s="74"/>
      <c r="F102" s="85" t="str">
        <f>$E$37</f>
        <v>Meldungen</v>
      </c>
      <c r="G102" s="86"/>
      <c r="H102" s="87"/>
    </row>
    <row r="103" spans="5:8" ht="79.5" customHeight="1" x14ac:dyDescent="0.2">
      <c r="E103" s="74" t="str">
        <f t="shared" si="0"/>
        <v>Sind zwei oder mehr Mannschaften nicht unterscheidbar und wird eine Entscheidung z.B. durch Elfmeterschießen oder Los getroffen, genügt es, für die bevorzugte Mannschaft einen Bonuspunkt einzutragen.</v>
      </c>
      <c r="F103" s="91" t="s">
        <v>244</v>
      </c>
      <c r="G103" s="92" t="s">
        <v>243</v>
      </c>
      <c r="H103" s="93"/>
    </row>
    <row r="104" spans="5:8" ht="51.75" customHeight="1" x14ac:dyDescent="0.2">
      <c r="E104" s="74" t="str">
        <f t="shared" si="0"/>
        <v>Doppelte Spielpaarungen und Spiele gegen sich selbst
führen in der Gesamttabelle zu falschen Werten!</v>
      </c>
      <c r="F104" s="98" t="s">
        <v>159</v>
      </c>
      <c r="G104" s="140" t="s">
        <v>56</v>
      </c>
      <c r="H104" s="93"/>
    </row>
    <row r="105" spans="5:8" ht="51.75" customHeight="1" x14ac:dyDescent="0.2">
      <c r="E105" s="74" t="str">
        <f t="shared" si="0"/>
        <v>Änderung der Spielpaarungen nur auf dem Blatt 'Planung'!   Hier nur die Ergebnisse eintragen!</v>
      </c>
      <c r="F105" s="98" t="s">
        <v>126</v>
      </c>
      <c r="G105" s="92" t="s">
        <v>125</v>
      </c>
      <c r="H105" s="93"/>
    </row>
    <row r="106" spans="5:8" ht="16.5" customHeight="1" x14ac:dyDescent="0.2">
      <c r="E106" s="74" t="str">
        <f t="shared" si="0"/>
        <v>Kann gelöscht werden   →</v>
      </c>
      <c r="F106" s="104" t="s">
        <v>151</v>
      </c>
      <c r="G106" s="103" t="s">
        <v>148</v>
      </c>
      <c r="H106" s="94"/>
    </row>
    <row r="107" spans="5:8" ht="20.25" customHeight="1" x14ac:dyDescent="0.2">
      <c r="E107" s="74" t="str">
        <f t="shared" si="0"/>
        <v>Hier klicken und Sprache wählen</v>
      </c>
      <c r="F107" s="110" t="s">
        <v>154</v>
      </c>
      <c r="G107" s="108" t="s">
        <v>153</v>
      </c>
      <c r="H107" s="95"/>
    </row>
    <row r="108" spans="5:8" ht="32.25" customHeight="1" x14ac:dyDescent="0.2">
      <c r="E108" s="74" t="str">
        <f t="shared" si="0"/>
        <v>Doppelte Namen führen zu
falschen Tabellenwerten</v>
      </c>
      <c r="F108" s="166" t="s">
        <v>164</v>
      </c>
      <c r="G108" s="165" t="s">
        <v>55</v>
      </c>
      <c r="H108" s="95"/>
    </row>
    <row r="109" spans="5:8" ht="51.75" customHeight="1" x14ac:dyDescent="0.2">
      <c r="E109" s="74" t="str">
        <f t="shared" si="0"/>
        <v>Rote Schrift bedeutet, dass die Rangfolge auch mit dem direkten Vergleich nicht geklärt ist. Fair Play oder Los muss hier entscheiden.</v>
      </c>
      <c r="F109" s="252" t="s">
        <v>158</v>
      </c>
      <c r="G109" s="253" t="s">
        <v>157</v>
      </c>
      <c r="H109" s="94"/>
    </row>
    <row r="110" spans="5:8" ht="17.25" customHeight="1" x14ac:dyDescent="0.2">
      <c r="E110" s="74" t="str">
        <f t="shared" si="0"/>
        <v>Zeitkonflikt</v>
      </c>
      <c r="F110" s="254" t="s">
        <v>169</v>
      </c>
      <c r="G110" s="255" t="s">
        <v>168</v>
      </c>
      <c r="H110" s="256"/>
    </row>
    <row r="111" spans="5:8" ht="16.5" customHeight="1" x14ac:dyDescent="0.2">
      <c r="E111" s="74" t="str">
        <f t="shared" si="0"/>
        <v>:</v>
      </c>
      <c r="F111" s="257" t="s">
        <v>5</v>
      </c>
      <c r="G111" s="274" t="s">
        <v>226</v>
      </c>
      <c r="H111" s="256"/>
    </row>
    <row r="112" spans="5:8" ht="33" customHeight="1" x14ac:dyDescent="0.2">
      <c r="E112" s="74" t="str">
        <f t="shared" si="0"/>
        <v>Direkte Vergleiche bei Gleichstand in Punkten, Tordifferenz und erzielten Toren (FIFA-Modus)</v>
      </c>
      <c r="F112" s="262" t="s">
        <v>194</v>
      </c>
      <c r="G112" s="263" t="s">
        <v>191</v>
      </c>
      <c r="H112" s="259"/>
    </row>
    <row r="113" spans="5:8" ht="32.25" customHeight="1" x14ac:dyDescent="0.2">
      <c r="E113" s="74" t="str">
        <f t="shared" si="0"/>
        <v>Direkte Vergleiche bei Gleichstand in Punkten (UEFA-Modus)</v>
      </c>
      <c r="F113" s="262" t="s">
        <v>192</v>
      </c>
      <c r="G113" s="263" t="s">
        <v>193</v>
      </c>
      <c r="H113" s="259"/>
    </row>
    <row r="114" spans="5:8" ht="18" customHeight="1" x14ac:dyDescent="0.2">
      <c r="E114" s="74" t="str">
        <f t="shared" si="0"/>
        <v>Modus für direkte Vergleiche:</v>
      </c>
      <c r="F114" s="265" t="s">
        <v>196</v>
      </c>
      <c r="G114" s="266" t="s">
        <v>195</v>
      </c>
      <c r="H114" s="267"/>
    </row>
    <row r="115" spans="5:8" ht="18" customHeight="1" x14ac:dyDescent="0.2">
      <c r="E115" s="74" t="str">
        <f t="shared" si="0"/>
        <v>Modus 1</v>
      </c>
      <c r="F115" s="265" t="s">
        <v>199</v>
      </c>
      <c r="G115" s="266" t="s">
        <v>197</v>
      </c>
      <c r="H115" s="267"/>
    </row>
    <row r="116" spans="5:8" ht="20.25" customHeight="1" x14ac:dyDescent="0.2">
      <c r="E116" s="74" t="str">
        <f t="shared" si="0"/>
        <v>Modus 2</v>
      </c>
      <c r="F116" s="265" t="s">
        <v>200</v>
      </c>
      <c r="G116" s="266" t="s">
        <v>198</v>
      </c>
      <c r="H116" s="267"/>
    </row>
    <row r="117" spans="5:8" ht="18" customHeight="1" x14ac:dyDescent="0.2">
      <c r="E117" s="74" t="str">
        <f t="shared" si="0"/>
        <v>Abkürzungen der Mannschaftsnamen:</v>
      </c>
      <c r="F117" s="265" t="s">
        <v>279</v>
      </c>
      <c r="G117" s="266" t="s">
        <v>280</v>
      </c>
      <c r="H117" s="267"/>
    </row>
    <row r="118" spans="5:8" ht="17.25" customHeight="1" x14ac:dyDescent="0.2">
      <c r="E118" s="74" t="str">
        <f t="shared" si="0"/>
        <v>Buchstaben</v>
      </c>
      <c r="F118" s="265" t="s">
        <v>202</v>
      </c>
      <c r="G118" s="266" t="s">
        <v>201</v>
      </c>
      <c r="H118" s="267"/>
    </row>
    <row r="119" spans="5:8" ht="18" customHeight="1" x14ac:dyDescent="0.2">
      <c r="E119" s="74" t="str">
        <f t="shared" si="0"/>
        <v>Rang</v>
      </c>
      <c r="F119" s="265" t="s">
        <v>242</v>
      </c>
      <c r="G119" s="266" t="s">
        <v>241</v>
      </c>
      <c r="H119" s="267"/>
    </row>
    <row r="120" spans="5:8" ht="16.5" customHeight="1" x14ac:dyDescent="0.2">
      <c r="E120" s="74" t="str">
        <f t="shared" si="0"/>
        <v>3. Platz</v>
      </c>
      <c r="F120" s="265" t="s">
        <v>248</v>
      </c>
      <c r="G120" s="266" t="s">
        <v>245</v>
      </c>
      <c r="H120" s="267"/>
    </row>
    <row r="121" spans="5:8" ht="17.25" customHeight="1" x14ac:dyDescent="0.2">
      <c r="E121" s="74" t="str">
        <f t="shared" si="0"/>
        <v>Finale</v>
      </c>
      <c r="F121" s="265" t="s">
        <v>247</v>
      </c>
      <c r="G121" s="266" t="s">
        <v>246</v>
      </c>
      <c r="H121" s="267"/>
    </row>
    <row r="122" spans="5:8" ht="30.75" customHeight="1" x14ac:dyDescent="0.2">
      <c r="E122" s="74" t="str">
        <f t="shared" si="0"/>
        <v xml:space="preserve">Wegen zeitlicher Konflikte kann nur auf maximal </v>
      </c>
      <c r="F122" s="262" t="s">
        <v>276</v>
      </c>
      <c r="G122" s="263" t="s">
        <v>277</v>
      </c>
      <c r="H122" s="267"/>
    </row>
    <row r="123" spans="5:8" ht="17.25" customHeight="1" x14ac:dyDescent="0.2">
      <c r="E123" s="74" t="str">
        <f t="shared" si="0"/>
        <v xml:space="preserve"> Spielplätzen gleichzeitig gespielt werden.</v>
      </c>
      <c r="F123" s="262" t="s">
        <v>324</v>
      </c>
      <c r="G123" s="263" t="s">
        <v>278</v>
      </c>
      <c r="H123" s="267"/>
    </row>
    <row r="124" spans="5:8" ht="17.25" customHeight="1" x14ac:dyDescent="0.2">
      <c r="E124" s="74" t="str">
        <f t="shared" si="0"/>
        <v>Turnierende (Endrunde 1):</v>
      </c>
      <c r="F124" s="265" t="s">
        <v>314</v>
      </c>
      <c r="G124" s="266" t="s">
        <v>312</v>
      </c>
      <c r="H124" s="267"/>
    </row>
    <row r="125" spans="5:8" ht="17.25" customHeight="1" x14ac:dyDescent="0.2">
      <c r="E125" s="74" t="str">
        <f t="shared" si="0"/>
        <v>Turnierende (Endrunde 2):</v>
      </c>
      <c r="F125" s="265" t="s">
        <v>315</v>
      </c>
      <c r="G125" s="266" t="s">
        <v>313</v>
      </c>
      <c r="H125" s="267"/>
    </row>
    <row r="126" spans="5:8" ht="17.25" customHeight="1" x14ac:dyDescent="0.2">
      <c r="E126" s="74" t="str">
        <f t="shared" si="0"/>
        <v>Turnierende (Endrunde 3):</v>
      </c>
      <c r="F126" s="265" t="s">
        <v>383</v>
      </c>
      <c r="G126" s="266" t="s">
        <v>385</v>
      </c>
      <c r="H126" s="267"/>
    </row>
    <row r="127" spans="5:8" ht="17.25" customHeight="1" x14ac:dyDescent="0.2">
      <c r="E127" s="74" t="str">
        <f t="shared" si="0"/>
        <v>Turnierende (Endrunde 4):</v>
      </c>
      <c r="F127" s="265" t="s">
        <v>384</v>
      </c>
      <c r="G127" s="266" t="s">
        <v>386</v>
      </c>
      <c r="H127" s="267"/>
    </row>
    <row r="128" spans="5:8" ht="17.25" customHeight="1" x14ac:dyDescent="0.2">
      <c r="E128" s="74" t="str">
        <f t="shared" si="0"/>
        <v>Turnierende (Endrunde 2a):</v>
      </c>
      <c r="F128" s="265" t="s">
        <v>399</v>
      </c>
      <c r="G128" s="266" t="s">
        <v>401</v>
      </c>
      <c r="H128" s="267"/>
    </row>
    <row r="129" spans="5:8" ht="17.25" customHeight="1" x14ac:dyDescent="0.2">
      <c r="E129" s="74" t="str">
        <f t="shared" si="0"/>
        <v>Turnierende (Endrunde 2b):</v>
      </c>
      <c r="F129" s="265" t="s">
        <v>400</v>
      </c>
      <c r="G129" s="266" t="s">
        <v>402</v>
      </c>
      <c r="H129" s="267"/>
    </row>
    <row r="130" spans="5:8" ht="44.25" customHeight="1" x14ac:dyDescent="0.2">
      <c r="E130" s="74" t="str">
        <f t="shared" si="0"/>
        <v>Eingabe eines Bonus-Punktes
als Tie Breaker auf dem
Tabellenblatt 'Vorrunde'</v>
      </c>
      <c r="F130" s="265" t="s">
        <v>320</v>
      </c>
      <c r="G130" s="266" t="s">
        <v>321</v>
      </c>
      <c r="H130" s="267"/>
    </row>
    <row r="131" spans="5:8" ht="39" customHeight="1" x14ac:dyDescent="0.2">
      <c r="E131" s="74" t="str">
        <f t="shared" si="0"/>
        <v>ZEITKONFLIKT
Zu viele Spielplätze!</v>
      </c>
      <c r="F131" s="265" t="s">
        <v>323</v>
      </c>
      <c r="G131" s="266" t="s">
        <v>322</v>
      </c>
      <c r="H131" s="267"/>
    </row>
    <row r="132" spans="5:8" ht="17.25" customHeight="1" x14ac:dyDescent="0.2">
      <c r="E132" s="74" t="str">
        <f t="shared" si="0"/>
        <v xml:space="preserve">ZEITKONFLIKT für Team </v>
      </c>
      <c r="F132" s="265" t="s">
        <v>363</v>
      </c>
      <c r="G132" s="266" t="s">
        <v>364</v>
      </c>
      <c r="H132" s="267"/>
    </row>
    <row r="133" spans="5:8" ht="17.25" customHeight="1" x14ac:dyDescent="0.2">
      <c r="E133" s="74" t="str">
        <f t="shared" si="0"/>
        <v xml:space="preserve">in den Spielen </v>
      </c>
      <c r="F133" s="265" t="s">
        <v>365</v>
      </c>
      <c r="G133" s="266" t="s">
        <v>366</v>
      </c>
      <c r="H133" s="267"/>
    </row>
    <row r="134" spans="5:8" ht="17.25" customHeight="1" x14ac:dyDescent="0.2">
      <c r="E134" s="74" t="str">
        <f t="shared" si="0"/>
        <v xml:space="preserve"> und </v>
      </c>
      <c r="F134" s="265" t="s">
        <v>367</v>
      </c>
      <c r="G134" s="266" t="s">
        <v>368</v>
      </c>
      <c r="H134" s="267"/>
    </row>
    <row r="135" spans="5:8" ht="17.25" customHeight="1" x14ac:dyDescent="0.2">
      <c r="E135" s="74" t="str">
        <f t="shared" si="0"/>
        <v>(Abkürzung für 'Viertelfinale')</v>
      </c>
      <c r="F135" s="265" t="s">
        <v>371</v>
      </c>
      <c r="G135" s="266" t="s">
        <v>372</v>
      </c>
      <c r="H135" s="267"/>
    </row>
    <row r="136" spans="5:8" ht="17.25" customHeight="1" x14ac:dyDescent="0.2">
      <c r="E136" s="74" t="str">
        <f t="shared" si="0"/>
        <v>(Abkürzung für 'Halbfinale')</v>
      </c>
      <c r="F136" s="265" t="s">
        <v>376</v>
      </c>
      <c r="G136" s="266" t="s">
        <v>375</v>
      </c>
      <c r="H136" s="267"/>
    </row>
    <row r="137" spans="5:8" ht="17.25" customHeight="1" x14ac:dyDescent="0.2">
      <c r="E137" s="74">
        <f t="shared" si="0"/>
        <v>0</v>
      </c>
      <c r="F137" s="265"/>
      <c r="G137" s="266"/>
      <c r="H137" s="267"/>
    </row>
    <row r="138" spans="5:8" ht="17.25" customHeight="1" x14ac:dyDescent="0.2">
      <c r="E138" s="74">
        <f t="shared" si="0"/>
        <v>0</v>
      </c>
      <c r="F138" s="265"/>
      <c r="G138" s="266"/>
      <c r="H138" s="267"/>
    </row>
    <row r="139" spans="5:8" ht="17.25" customHeight="1" x14ac:dyDescent="0.2">
      <c r="E139" s="74">
        <f t="shared" si="0"/>
        <v>0</v>
      </c>
      <c r="F139" s="265"/>
      <c r="G139" s="266"/>
      <c r="H139" s="267"/>
    </row>
    <row r="140" spans="5:8" ht="18.75" customHeight="1" thickBot="1" x14ac:dyDescent="0.25">
      <c r="E140" s="74">
        <f t="shared" si="0"/>
        <v>0</v>
      </c>
      <c r="F140" s="260"/>
      <c r="G140" s="258"/>
      <c r="H140" s="261"/>
    </row>
    <row r="141" spans="5:8" ht="13.5" thickTop="1" x14ac:dyDescent="0.2"/>
    <row r="142" spans="5:8" x14ac:dyDescent="0.2"/>
    <row r="143" spans="5:8" x14ac:dyDescent="0.2"/>
    <row r="144" spans="5:8" x14ac:dyDescent="0.2"/>
    <row r="145" spans="9:9" hidden="1" x14ac:dyDescent="0.2">
      <c r="I145" s="105"/>
    </row>
  </sheetData>
  <sheetProtection sheet="1" selectLockedCells="1"/>
  <mergeCells count="7">
    <mergeCell ref="F1:H1"/>
    <mergeCell ref="H3:H4"/>
    <mergeCell ref="F2:G2"/>
    <mergeCell ref="D3:D4"/>
    <mergeCell ref="E3:E4"/>
    <mergeCell ref="F3:F4"/>
    <mergeCell ref="G3:G4"/>
  </mergeCells>
  <conditionalFormatting sqref="F3:F4">
    <cfRule type="expression" dxfId="2" priority="7">
      <formula>C3</formula>
    </cfRule>
  </conditionalFormatting>
  <conditionalFormatting sqref="G3:G4">
    <cfRule type="expression" dxfId="1" priority="3">
      <formula>C4</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68" customWidth="1"/>
    <col min="2" max="2" width="37.140625" customWidth="1"/>
    <col min="3" max="3" width="7.28515625" customWidth="1"/>
    <col min="4" max="4" width="15" customWidth="1"/>
    <col min="5" max="5" width="11.42578125" customWidth="1"/>
    <col min="6" max="16384" width="11.42578125" hidden="1"/>
  </cols>
  <sheetData>
    <row r="1" spans="1:4" ht="26.25" x14ac:dyDescent="0.4">
      <c r="B1" s="239" t="str">
        <f>Sprache!$E$51</f>
        <v>Einstellungen</v>
      </c>
    </row>
    <row r="2" spans="1:4" x14ac:dyDescent="0.2"/>
    <row r="3" spans="1:4" x14ac:dyDescent="0.2"/>
    <row r="4" spans="1:4" x14ac:dyDescent="0.2">
      <c r="A4" s="272" t="s">
        <v>7</v>
      </c>
      <c r="B4" s="270" t="str">
        <f>Sprache!$E$52</f>
        <v>Anzahl der Punkte für einen Sieg:</v>
      </c>
      <c r="C4" s="240">
        <v>3</v>
      </c>
    </row>
    <row r="5" spans="1:4" x14ac:dyDescent="0.2"/>
    <row r="6" spans="1:4" x14ac:dyDescent="0.2"/>
    <row r="7" spans="1:4" x14ac:dyDescent="0.2">
      <c r="A7" s="272" t="s">
        <v>8</v>
      </c>
      <c r="B7" s="271" t="str">
        <f>Sprache!E114</f>
        <v>Modus für direkte Vergleiche:</v>
      </c>
      <c r="C7" s="264"/>
    </row>
    <row r="8" spans="1:4" x14ac:dyDescent="0.2">
      <c r="B8" s="264"/>
      <c r="C8" s="264"/>
    </row>
    <row r="9" spans="1:4" ht="21.75" customHeight="1" x14ac:dyDescent="0.2">
      <c r="B9" s="269" t="s">
        <v>197</v>
      </c>
      <c r="C9" s="264"/>
    </row>
    <row r="10" spans="1:4" x14ac:dyDescent="0.2"/>
    <row r="11" spans="1:4" x14ac:dyDescent="0.2">
      <c r="B11" s="273" t="str">
        <f>Sprache!E115</f>
        <v>Modus 1</v>
      </c>
    </row>
    <row r="12" spans="1:4" ht="27.75" customHeight="1" x14ac:dyDescent="0.2">
      <c r="B12" s="918" t="str">
        <f>Sprache!E112</f>
        <v>Direkte Vergleiche bei Gleichstand in Punkten, Tordifferenz und erzielten Toren (FIFA-Modus)</v>
      </c>
      <c r="C12" s="918"/>
      <c r="D12" s="918"/>
    </row>
    <row r="13" spans="1:4" x14ac:dyDescent="0.2"/>
    <row r="14" spans="1:4" x14ac:dyDescent="0.2">
      <c r="B14" s="273" t="str">
        <f>Sprache!E116</f>
        <v>Modus 2</v>
      </c>
    </row>
    <row r="15" spans="1:4" ht="28.5" customHeight="1" x14ac:dyDescent="0.2">
      <c r="B15" s="918" t="str">
        <f>Sprache!E113</f>
        <v>Direkte Vergleiche bei Gleichstand in Punkten (UEFA-Modus)</v>
      </c>
      <c r="C15" s="918"/>
      <c r="D15" s="918"/>
    </row>
    <row r="16" spans="1:4" x14ac:dyDescent="0.2"/>
    <row r="17" spans="1:4" x14ac:dyDescent="0.2">
      <c r="A17" s="272" t="s">
        <v>9</v>
      </c>
      <c r="B17" s="270" t="str">
        <f>Sprache!$E$117</f>
        <v>Abkürzungen der Mannschaftsnamen:</v>
      </c>
      <c r="C17" s="240">
        <v>7</v>
      </c>
      <c r="D17" t="str">
        <f>" "&amp;Sprache!$E$118</f>
        <v xml:space="preserve"> Buchstaben</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Sprache!$E$115:$E$116</xm:f>
          </x14:formula1>
          <xm:sqref>B9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dimension ref="A1:W111"/>
  <sheetViews>
    <sheetView showGridLines="0" showRowColHeaders="0" workbookViewId="0"/>
  </sheetViews>
  <sheetFormatPr baseColWidth="10" defaultColWidth="0" defaultRowHeight="12.75" zeroHeight="1" x14ac:dyDescent="0.2"/>
  <cols>
    <col min="1" max="11" width="11.42578125" customWidth="1"/>
    <col min="12" max="12" width="5.85546875" customWidth="1"/>
    <col min="13" max="23" width="11.42578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8" x14ac:dyDescent="0.2"/>
    <row r="82" spans="2:8" x14ac:dyDescent="0.2"/>
    <row r="83" spans="2:8" x14ac:dyDescent="0.2"/>
    <row r="84" spans="2:8" x14ac:dyDescent="0.2"/>
    <row r="85" spans="2:8" x14ac:dyDescent="0.2"/>
    <row r="86" spans="2:8" x14ac:dyDescent="0.2"/>
    <row r="87" spans="2:8" x14ac:dyDescent="0.2"/>
    <row r="88" spans="2:8" x14ac:dyDescent="0.2">
      <c r="B88" s="387"/>
      <c r="C88" s="387"/>
    </row>
    <row r="89" spans="2:8" x14ac:dyDescent="0.2">
      <c r="B89" s="388"/>
      <c r="C89" s="389"/>
    </row>
    <row r="90" spans="2:8" x14ac:dyDescent="0.2">
      <c r="B90" s="632"/>
      <c r="C90" s="632"/>
    </row>
    <row r="91" spans="2:8" x14ac:dyDescent="0.2">
      <c r="B91" s="387"/>
      <c r="C91" s="387"/>
      <c r="D91" s="387"/>
      <c r="E91" s="387"/>
      <c r="F91" s="387"/>
      <c r="G91" s="387"/>
      <c r="H91" s="387"/>
    </row>
    <row r="92" spans="2:8" x14ac:dyDescent="0.2"/>
    <row r="93" spans="2:8" x14ac:dyDescent="0.2"/>
    <row r="94" spans="2:8" ht="56.25" customHeight="1" x14ac:dyDescent="0.2"/>
    <row r="95" spans="2:8" x14ac:dyDescent="0.2"/>
    <row r="96" spans="2:8" x14ac:dyDescent="0.2"/>
    <row r="97" spans="4:20" x14ac:dyDescent="0.2"/>
    <row r="98" spans="4:20" x14ac:dyDescent="0.2"/>
    <row r="99" spans="4:20" x14ac:dyDescent="0.2"/>
    <row r="100" spans="4:20" x14ac:dyDescent="0.2"/>
    <row r="101" spans="4:20" x14ac:dyDescent="0.2"/>
    <row r="102" spans="4:20" x14ac:dyDescent="0.2"/>
    <row r="103" spans="4:20" x14ac:dyDescent="0.2"/>
    <row r="104" spans="4:20" x14ac:dyDescent="0.2"/>
    <row r="105" spans="4:20" x14ac:dyDescent="0.2"/>
    <row r="106" spans="4:20" x14ac:dyDescent="0.2">
      <c r="D106" s="919"/>
      <c r="E106" s="920"/>
      <c r="F106" s="920"/>
      <c r="G106" s="920"/>
      <c r="H106" s="920"/>
      <c r="I106" s="921"/>
      <c r="O106" s="919"/>
      <c r="P106" s="920"/>
      <c r="Q106" s="920"/>
      <c r="R106" s="920"/>
      <c r="S106" s="920"/>
      <c r="T106" s="921"/>
    </row>
    <row r="107" spans="4:20" x14ac:dyDescent="0.2">
      <c r="D107" s="922" t="s">
        <v>141</v>
      </c>
      <c r="E107" s="923"/>
      <c r="F107" s="923"/>
      <c r="G107" s="923"/>
      <c r="H107" s="923"/>
      <c r="I107" s="924"/>
      <c r="O107" s="922" t="s">
        <v>58</v>
      </c>
      <c r="P107" s="923"/>
      <c r="Q107" s="923"/>
      <c r="R107" s="923"/>
      <c r="S107" s="923"/>
      <c r="T107" s="924"/>
    </row>
    <row r="108" spans="4:20" x14ac:dyDescent="0.2">
      <c r="D108" s="925" t="s">
        <v>57</v>
      </c>
      <c r="E108" s="926"/>
      <c r="F108" s="926"/>
      <c r="G108" s="926"/>
      <c r="H108" s="926"/>
      <c r="I108" s="927"/>
      <c r="O108" s="925" t="s">
        <v>57</v>
      </c>
      <c r="P108" s="926"/>
      <c r="Q108" s="926"/>
      <c r="R108" s="926"/>
      <c r="S108" s="926"/>
      <c r="T108" s="927"/>
    </row>
    <row r="109" spans="4:20" x14ac:dyDescent="0.2">
      <c r="D109" s="928"/>
      <c r="E109" s="929"/>
      <c r="F109" s="929"/>
      <c r="G109" s="929"/>
      <c r="H109" s="929"/>
      <c r="I109" s="930"/>
      <c r="O109" s="928"/>
      <c r="P109" s="929"/>
      <c r="Q109" s="929"/>
      <c r="R109" s="929"/>
      <c r="S109" s="929"/>
      <c r="T109" s="930"/>
    </row>
    <row r="110" spans="4:20" x14ac:dyDescent="0.2"/>
    <row r="111" spans="4:20" x14ac:dyDescent="0.2"/>
  </sheetData>
  <sheetProtection sheet="1" selectLockedCells="1"/>
  <mergeCells count="8">
    <mergeCell ref="D106:I106"/>
    <mergeCell ref="D107:I107"/>
    <mergeCell ref="D108:I108"/>
    <mergeCell ref="D109:I109"/>
    <mergeCell ref="O106:T106"/>
    <mergeCell ref="O107:T107"/>
    <mergeCell ref="O108:T108"/>
    <mergeCell ref="O109:T109"/>
  </mergeCells>
  <hyperlinks>
    <hyperlink ref="O108" r:id="rId1" xr:uid="{1894EF0F-8820-4282-9C88-BB1689CEEEE1}"/>
    <hyperlink ref="D108" r:id="rId2" xr:uid="{45E865A1-33AF-4597-AC24-0425812DEE03}"/>
  </hyperlinks>
  <pageMargins left="0.7" right="0.7" top="0.78740157499999996" bottom="0.78740157499999996" header="0.3" footer="0.3"/>
  <pageSetup paperSize="9" orientation="portrait" horizontalDpi="4294967293" verticalDpi="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3</v>
      </c>
      <c r="D4" s="3">
        <f ca="1">E4+ROW()/1000+(F4="")*10</f>
        <v>3.004</v>
      </c>
      <c r="E4" s="251">
        <f ca="1">IF($AI$15,RANK(AH17,AH$17:AH$25,1),RANK(X17,X$17:X$25,1))</f>
        <v>3</v>
      </c>
      <c r="F4" s="1" t="str">
        <f>$Q64</f>
        <v>1. FC Riedwald</v>
      </c>
      <c r="G4" s="1">
        <f t="shared" ref="G4:G12" ca="1" si="1">SUMIFS($X$64:$X$135,$V$64:$V$135,$F4)+SUMIFS($Y$64:$Y$135,$W$64:$W$135,$F4)</f>
        <v>10</v>
      </c>
      <c r="H4" s="1">
        <f t="shared" ref="H4:H12" ca="1" si="2">SUMIFS($Y$64:$Y$135,$V$64:$V$135,$F4)+SUMIFS($X$64:$X$135,$W$64:$W$135,$F4)</f>
        <v>15</v>
      </c>
      <c r="I4" s="3">
        <f t="shared" ref="I4:I12" ca="1" si="3">G4-H4</f>
        <v>-5</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1.0604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1.0604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1.0604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1.0604</v>
      </c>
      <c r="AP4" s="644">
        <f ca="1">RANK($AO4,$AO$4:$AO$12,1)</f>
        <v>1</v>
      </c>
    </row>
    <row r="5" spans="1:42" s="2" customFormat="1" x14ac:dyDescent="0.2">
      <c r="A5" s="238"/>
      <c r="B5" s="1">
        <v>2</v>
      </c>
      <c r="C5" s="22">
        <f t="shared" ref="C5:C12" ca="1" si="11">RANK(D5,$D$4:$D$12,1)</f>
        <v>1</v>
      </c>
      <c r="D5" s="13">
        <f t="shared" ref="D5:D12" ca="1" si="12">E5+ROW()/1000+(F5="")*10</f>
        <v>1.0049999999999999</v>
      </c>
      <c r="E5" s="251">
        <f t="shared" ref="E5:E12" ca="1" si="13">IF($AI$15,RANK(AH18,AH$17:AH$25,1),RANK(X18,X$17:X$25,1))</f>
        <v>1</v>
      </c>
      <c r="F5" s="1" t="str">
        <f t="shared" ref="F5:F12" si="14">$Q65</f>
        <v>FC Barcelona</v>
      </c>
      <c r="G5" s="1">
        <f t="shared" ca="1" si="1"/>
        <v>17</v>
      </c>
      <c r="H5" s="1">
        <f t="shared" ca="1" si="2"/>
        <v>4</v>
      </c>
      <c r="I5" s="3">
        <f t="shared" ca="1" si="3"/>
        <v>13</v>
      </c>
      <c r="J5" s="1">
        <f t="shared" ref="J5:J12" ca="1" si="15">SUMIF($V$64:$V$135,F5,$AE$64:$AE$135)+SUMIF($W$64:$W$135,F5,$AF$64:$AF$135)</f>
        <v>12</v>
      </c>
      <c r="K5" s="1">
        <f t="shared" ca="1" si="4"/>
        <v>4</v>
      </c>
      <c r="L5" s="1">
        <f t="shared" ca="1" si="5"/>
        <v>4</v>
      </c>
      <c r="M5" s="1">
        <f t="shared" ca="1" si="6"/>
        <v>0</v>
      </c>
      <c r="N5" s="1">
        <f t="shared" ca="1" si="7"/>
        <v>0</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1.0605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1.0605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1.0605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1.0605</v>
      </c>
      <c r="AP5" s="644">
        <f t="shared" ref="AP5:AP12" ca="1" si="28">RANK($AO5,$AO$4:$AO$12,1)</f>
        <v>2</v>
      </c>
    </row>
    <row r="6" spans="1:42" s="2" customFormat="1" x14ac:dyDescent="0.2">
      <c r="A6" s="238"/>
      <c r="B6" s="1">
        <v>3</v>
      </c>
      <c r="C6" s="22">
        <f t="shared" ca="1" si="11"/>
        <v>2</v>
      </c>
      <c r="D6" s="13">
        <f t="shared" ca="1" si="12"/>
        <v>2.0059999999999998</v>
      </c>
      <c r="E6" s="251">
        <f t="shared" ca="1" si="13"/>
        <v>2</v>
      </c>
      <c r="F6" s="1" t="str">
        <f t="shared" si="14"/>
        <v>Eintracht Frankfurt</v>
      </c>
      <c r="G6" s="1">
        <f t="shared" ca="1" si="1"/>
        <v>12</v>
      </c>
      <c r="H6" s="1">
        <f t="shared" ca="1" si="2"/>
        <v>8</v>
      </c>
      <c r="I6" s="3">
        <f t="shared" ca="1" si="3"/>
        <v>4</v>
      </c>
      <c r="J6" s="1">
        <f t="shared" ca="1" si="15"/>
        <v>9</v>
      </c>
      <c r="K6" s="1">
        <f t="shared" ca="1" si="4"/>
        <v>4</v>
      </c>
      <c r="L6" s="1">
        <f t="shared" ca="1" si="5"/>
        <v>3</v>
      </c>
      <c r="M6" s="1">
        <f t="shared" ca="1" si="6"/>
        <v>0</v>
      </c>
      <c r="N6" s="1">
        <f t="shared" ca="1" si="7"/>
        <v>1</v>
      </c>
      <c r="O6" s="24"/>
      <c r="P6" s="25"/>
      <c r="V6" s="1"/>
      <c r="W6" s="641" t="str">
        <f t="shared" ca="1" si="16"/>
        <v/>
      </c>
      <c r="X6" s="642" t="str">
        <f t="shared" ca="1" si="17"/>
        <v/>
      </c>
      <c r="Y6" s="639">
        <f t="shared" ca="1" si="18"/>
        <v>99999</v>
      </c>
      <c r="Z6" s="639">
        <f ca="1">RANK(Y6,Y$4:Y$12,1)+INDEX($E$4:$E$12,MATCH(W6,$F$4:$F$12,0))/100+ROW()/10000</f>
        <v>1.0606</v>
      </c>
      <c r="AA6" s="644">
        <f t="shared" ca="1" si="19"/>
        <v>3</v>
      </c>
      <c r="AB6" s="641" t="str">
        <f t="shared" ca="1" si="8"/>
        <v/>
      </c>
      <c r="AC6" s="642" t="str">
        <f t="shared" ca="1" si="20"/>
        <v/>
      </c>
      <c r="AD6" s="643">
        <f t="shared" ca="1" si="21"/>
        <v>99999</v>
      </c>
      <c r="AE6" s="639">
        <f ca="1">RANK(AD6,AD$4:AD$12,1)+INDEX($E$4:$E$12,MATCH(AB6,$F$4:$F$12,0))/100+ROW()/10000</f>
        <v>1.0606</v>
      </c>
      <c r="AF6" s="639">
        <f t="shared" ca="1" si="22"/>
        <v>3</v>
      </c>
      <c r="AG6" s="641" t="str">
        <f t="shared" ca="1" si="9"/>
        <v/>
      </c>
      <c r="AH6" s="642" t="str">
        <f t="shared" ca="1" si="23"/>
        <v/>
      </c>
      <c r="AI6" s="643">
        <f t="shared" ca="1" si="24"/>
        <v>99999</v>
      </c>
      <c r="AJ6" s="639">
        <f ca="1">RANK(AI6,AI$4:AI$12,1)+INDEX($E$4:$E$12,MATCH(AG6,$F$4:$F$12,0))/100+ROW()/10000</f>
        <v>1.0606</v>
      </c>
      <c r="AK6" s="644">
        <f t="shared" ca="1" si="25"/>
        <v>3</v>
      </c>
      <c r="AL6" s="642" t="str">
        <f t="shared" ca="1" si="10"/>
        <v/>
      </c>
      <c r="AM6" s="642" t="str">
        <f t="shared" ca="1" si="26"/>
        <v/>
      </c>
      <c r="AN6" s="643">
        <f t="shared" ca="1" si="27"/>
        <v>99999</v>
      </c>
      <c r="AO6" s="639">
        <f ca="1">RANK(AN6,AN$4:AN$12,1)+INDEX($E$4:$E$12,MATCH(AL6,$F$4:$F$12,0))/100+ROW()/10000</f>
        <v>1.0606</v>
      </c>
      <c r="AP6" s="644">
        <f t="shared" ca="1" si="28"/>
        <v>3</v>
      </c>
    </row>
    <row r="7" spans="1:42" s="2" customFormat="1" x14ac:dyDescent="0.2">
      <c r="A7" s="238"/>
      <c r="B7" s="1">
        <v>4</v>
      </c>
      <c r="C7" s="22">
        <f t="shared" ca="1" si="11"/>
        <v>5</v>
      </c>
      <c r="D7" s="13">
        <f t="shared" ca="1" si="12"/>
        <v>5.0069999999999997</v>
      </c>
      <c r="E7" s="251">
        <f t="shared" ca="1" si="13"/>
        <v>5</v>
      </c>
      <c r="F7" s="1" t="str">
        <f t="shared" si="14"/>
        <v>Maibach 1822 eV</v>
      </c>
      <c r="G7" s="1">
        <f t="shared" ca="1" si="1"/>
        <v>8</v>
      </c>
      <c r="H7" s="1">
        <f t="shared" ca="1" si="2"/>
        <v>13</v>
      </c>
      <c r="I7" s="3">
        <f t="shared" ca="1" si="3"/>
        <v>-5</v>
      </c>
      <c r="J7" s="1">
        <f t="shared" ca="1" si="15"/>
        <v>1</v>
      </c>
      <c r="K7" s="1">
        <f t="shared" ca="1" si="4"/>
        <v>4</v>
      </c>
      <c r="L7" s="1">
        <f t="shared" ca="1" si="5"/>
        <v>0</v>
      </c>
      <c r="M7" s="1">
        <f t="shared" ca="1" si="6"/>
        <v>1</v>
      </c>
      <c r="N7" s="1">
        <f t="shared" ca="1" si="7"/>
        <v>3</v>
      </c>
      <c r="O7" s="24"/>
      <c r="P7" s="25"/>
      <c r="V7" s="1"/>
      <c r="W7" s="641" t="str">
        <f t="shared" ca="1" si="16"/>
        <v/>
      </c>
      <c r="X7" s="642" t="str">
        <f t="shared" ca="1" si="17"/>
        <v/>
      </c>
      <c r="Y7" s="639">
        <f t="shared" ca="1" si="18"/>
        <v>99999</v>
      </c>
      <c r="Z7" s="639">
        <f ca="1">RANK(Y7,Y$4:Y$12,1)+INDEX($E$4:$E$12,MATCH(W7,$F$4:$F$12,0))/100+ROW()/10000</f>
        <v>1.0607</v>
      </c>
      <c r="AA7" s="644">
        <f t="shared" ca="1" si="19"/>
        <v>4</v>
      </c>
      <c r="AB7" s="641" t="str">
        <f t="shared" ca="1" si="8"/>
        <v/>
      </c>
      <c r="AC7" s="642" t="str">
        <f t="shared" ca="1" si="20"/>
        <v/>
      </c>
      <c r="AD7" s="643">
        <f t="shared" ca="1" si="21"/>
        <v>99999</v>
      </c>
      <c r="AE7" s="639">
        <f ca="1">RANK(AD7,AD$4:AD$12,1)+INDEX($E$4:$E$12,MATCH(AB7,$F$4:$F$12,0))/100+ROW()/10000</f>
        <v>1.0607</v>
      </c>
      <c r="AF7" s="639">
        <f t="shared" ca="1" si="22"/>
        <v>4</v>
      </c>
      <c r="AG7" s="641" t="str">
        <f t="shared" ca="1" si="9"/>
        <v/>
      </c>
      <c r="AH7" s="642" t="str">
        <f t="shared" ca="1" si="23"/>
        <v/>
      </c>
      <c r="AI7" s="643">
        <f t="shared" ca="1" si="24"/>
        <v>99999</v>
      </c>
      <c r="AJ7" s="639">
        <f ca="1">RANK(AI7,AI$4:AI$12,1)+INDEX($E$4:$E$12,MATCH(AG7,$F$4:$F$12,0))/100+ROW()/10000</f>
        <v>1.0607</v>
      </c>
      <c r="AK7" s="644">
        <f t="shared" ca="1" si="25"/>
        <v>4</v>
      </c>
      <c r="AL7" s="642" t="str">
        <f t="shared" ca="1" si="10"/>
        <v/>
      </c>
      <c r="AM7" s="642" t="str">
        <f t="shared" ca="1" si="26"/>
        <v/>
      </c>
      <c r="AN7" s="643">
        <f t="shared" ca="1" si="27"/>
        <v>99999</v>
      </c>
      <c r="AO7" s="639">
        <f ca="1">RANK(AN7,AN$4:AN$12,1)+INDEX($E$4:$E$12,MATCH(AL7,$F$4:$F$12,0))/100+ROW()/10000</f>
        <v>1.0607</v>
      </c>
      <c r="AP7" s="644">
        <f t="shared" ca="1" si="28"/>
        <v>4</v>
      </c>
    </row>
    <row r="8" spans="1:42" s="2" customFormat="1" x14ac:dyDescent="0.2">
      <c r="A8" s="238"/>
      <c r="B8" s="1">
        <v>5</v>
      </c>
      <c r="C8" s="22">
        <f t="shared" ca="1" si="11"/>
        <v>4</v>
      </c>
      <c r="D8" s="13">
        <f t="shared" ca="1" si="12"/>
        <v>4.008</v>
      </c>
      <c r="E8" s="251">
        <f t="shared" ca="1" si="13"/>
        <v>4</v>
      </c>
      <c r="F8" s="1" t="str">
        <f t="shared" si="14"/>
        <v>VFB Essenheim</v>
      </c>
      <c r="G8" s="1">
        <f t="shared" ca="1" si="1"/>
        <v>10</v>
      </c>
      <c r="H8" s="1">
        <f t="shared" ca="1" si="2"/>
        <v>17</v>
      </c>
      <c r="I8" s="3">
        <f t="shared" ca="1" si="3"/>
        <v>-7</v>
      </c>
      <c r="J8" s="1">
        <f t="shared" ca="1" si="15"/>
        <v>3</v>
      </c>
      <c r="K8" s="1">
        <f t="shared" ca="1" si="4"/>
        <v>4</v>
      </c>
      <c r="L8" s="1">
        <f t="shared" ca="1" si="5"/>
        <v>1</v>
      </c>
      <c r="M8" s="1">
        <f t="shared" ca="1" si="6"/>
        <v>0</v>
      </c>
      <c r="N8" s="1">
        <f t="shared" ca="1" si="7"/>
        <v>3</v>
      </c>
      <c r="P8" s="25"/>
      <c r="W8" s="641" t="str">
        <f t="shared" ca="1" si="16"/>
        <v/>
      </c>
      <c r="X8" s="642" t="str">
        <f t="shared" ca="1" si="17"/>
        <v/>
      </c>
      <c r="Y8" s="639">
        <f t="shared" ca="1" si="18"/>
        <v>99999</v>
      </c>
      <c r="Z8" s="639">
        <f t="shared" ref="Z8:Z12" ca="1" si="29">RANK(Y8,Y$4:Y$12,1)+INDEX($E$4:$E$12,MATCH(W8,$F$4:$F$12,0))/100+ROW()/10000</f>
        <v>1.0608</v>
      </c>
      <c r="AA8" s="644">
        <f t="shared" ca="1" si="19"/>
        <v>5</v>
      </c>
      <c r="AB8" s="641" t="str">
        <f t="shared" ca="1" si="8"/>
        <v/>
      </c>
      <c r="AC8" s="642" t="str">
        <f t="shared" ca="1" si="20"/>
        <v/>
      </c>
      <c r="AD8" s="643">
        <f t="shared" ca="1" si="21"/>
        <v>99999</v>
      </c>
      <c r="AE8" s="639">
        <f t="shared" ref="AE8:AE12" ca="1" si="30">RANK(AD8,AD$4:AD$12,1)+INDEX($E$4:$E$12,MATCH(AB8,$F$4:$F$12,0))/100+ROW()/10000</f>
        <v>1.0608</v>
      </c>
      <c r="AF8" s="639">
        <f t="shared" ca="1" si="22"/>
        <v>5</v>
      </c>
      <c r="AG8" s="641" t="str">
        <f t="shared" ca="1" si="9"/>
        <v/>
      </c>
      <c r="AH8" s="642" t="str">
        <f t="shared" ca="1" si="23"/>
        <v/>
      </c>
      <c r="AI8" s="643">
        <f t="shared" ca="1" si="24"/>
        <v>99999</v>
      </c>
      <c r="AJ8" s="639">
        <f t="shared" ref="AJ8:AJ12" ca="1" si="31">RANK(AI8,AI$4:AI$12,1)+INDEX($E$4:$E$12,MATCH(AG8,$F$4:$F$12,0))/100+ROW()/10000</f>
        <v>1.0608</v>
      </c>
      <c r="AK8" s="644">
        <f t="shared" ca="1" si="25"/>
        <v>5</v>
      </c>
      <c r="AL8" s="642" t="str">
        <f t="shared" ca="1" si="10"/>
        <v/>
      </c>
      <c r="AM8" s="642" t="str">
        <f t="shared" ca="1" si="26"/>
        <v/>
      </c>
      <c r="AN8" s="643">
        <f t="shared" ca="1" si="27"/>
        <v>99999</v>
      </c>
      <c r="AO8" s="639">
        <f t="shared" ref="AO8:AO12" ca="1" si="32">RANK(AN8,AN$4:AN$12,1)+INDEX($E$4:$E$12,MATCH(AL8,$F$4:$F$12,0))/100+ROW()/10000</f>
        <v>1.0608</v>
      </c>
      <c r="AP8" s="644">
        <f t="shared" ca="1" si="28"/>
        <v>5</v>
      </c>
    </row>
    <row r="9" spans="1:42" s="2" customFormat="1" x14ac:dyDescent="0.2">
      <c r="A9" s="238"/>
      <c r="B9" s="1">
        <v>6</v>
      </c>
      <c r="C9" s="22">
        <f t="shared" ca="1" si="11"/>
        <v>6</v>
      </c>
      <c r="D9" s="13">
        <f t="shared" ca="1" si="12"/>
        <v>16.009</v>
      </c>
      <c r="E9" s="251">
        <f t="shared" ca="1" si="13"/>
        <v>6</v>
      </c>
      <c r="F9" s="1" t="str">
        <f t="shared" si="14"/>
        <v/>
      </c>
      <c r="G9" s="1">
        <f t="shared" ca="1" si="1"/>
        <v>0</v>
      </c>
      <c r="H9" s="1">
        <f t="shared" ca="1" si="2"/>
        <v>0</v>
      </c>
      <c r="I9" s="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1.0609</v>
      </c>
      <c r="AA9" s="644">
        <f t="shared" ca="1" si="19"/>
        <v>6</v>
      </c>
      <c r="AB9" s="641" t="str">
        <f t="shared" ca="1" si="8"/>
        <v/>
      </c>
      <c r="AC9" s="642" t="str">
        <f t="shared" ca="1" si="20"/>
        <v/>
      </c>
      <c r="AD9" s="643">
        <f t="shared" ca="1" si="21"/>
        <v>99999</v>
      </c>
      <c r="AE9" s="639">
        <f t="shared" ca="1" si="30"/>
        <v>1.0609</v>
      </c>
      <c r="AF9" s="639">
        <f t="shared" ca="1" si="22"/>
        <v>6</v>
      </c>
      <c r="AG9" s="641" t="str">
        <f t="shared" ca="1" si="9"/>
        <v/>
      </c>
      <c r="AH9" s="642" t="str">
        <f t="shared" ca="1" si="23"/>
        <v/>
      </c>
      <c r="AI9" s="643">
        <f t="shared" ca="1" si="24"/>
        <v>99999</v>
      </c>
      <c r="AJ9" s="639">
        <f t="shared" ca="1" si="31"/>
        <v>1.0609</v>
      </c>
      <c r="AK9" s="644">
        <f t="shared" ca="1" si="25"/>
        <v>6</v>
      </c>
      <c r="AL9" s="642" t="str">
        <f t="shared" ca="1" si="10"/>
        <v/>
      </c>
      <c r="AM9" s="642" t="str">
        <f t="shared" ca="1" si="26"/>
        <v/>
      </c>
      <c r="AN9" s="643">
        <f t="shared" ca="1" si="27"/>
        <v>99999</v>
      </c>
      <c r="AO9" s="639">
        <f t="shared" ca="1" si="32"/>
        <v>1.0609</v>
      </c>
      <c r="AP9" s="644">
        <f t="shared" ca="1" si="28"/>
        <v>6</v>
      </c>
    </row>
    <row r="10" spans="1:42" s="2" customFormat="1" x14ac:dyDescent="0.2">
      <c r="A10" s="238"/>
      <c r="B10" s="1">
        <v>7</v>
      </c>
      <c r="C10" s="22">
        <f t="shared" ca="1" si="11"/>
        <v>7</v>
      </c>
      <c r="D10" s="13">
        <f t="shared" ca="1" si="12"/>
        <v>17.009999999999998</v>
      </c>
      <c r="E10" s="251">
        <f t="shared" ca="1" si="13"/>
        <v>7</v>
      </c>
      <c r="F10" s="1" t="str">
        <f t="shared" si="14"/>
        <v/>
      </c>
      <c r="G10" s="1">
        <f t="shared" ca="1" si="1"/>
        <v>0</v>
      </c>
      <c r="H10" s="1">
        <f t="shared" ca="1" si="2"/>
        <v>0</v>
      </c>
      <c r="I10" s="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1.0609999999999999</v>
      </c>
      <c r="AA10" s="644">
        <f t="shared" ca="1" si="19"/>
        <v>7</v>
      </c>
      <c r="AB10" s="641" t="str">
        <f t="shared" ca="1" si="8"/>
        <v/>
      </c>
      <c r="AC10" s="642" t="str">
        <f t="shared" ca="1" si="20"/>
        <v/>
      </c>
      <c r="AD10" s="643">
        <f t="shared" ca="1" si="21"/>
        <v>99999</v>
      </c>
      <c r="AE10" s="639">
        <f t="shared" ca="1" si="30"/>
        <v>1.0609999999999999</v>
      </c>
      <c r="AF10" s="639">
        <f t="shared" ca="1" si="22"/>
        <v>7</v>
      </c>
      <c r="AG10" s="641" t="str">
        <f t="shared" ca="1" si="9"/>
        <v/>
      </c>
      <c r="AH10" s="642" t="str">
        <f t="shared" ca="1" si="23"/>
        <v/>
      </c>
      <c r="AI10" s="643">
        <f t="shared" ca="1" si="24"/>
        <v>99999</v>
      </c>
      <c r="AJ10" s="639">
        <f t="shared" ca="1" si="31"/>
        <v>1.0609999999999999</v>
      </c>
      <c r="AK10" s="644">
        <f t="shared" ca="1" si="25"/>
        <v>7</v>
      </c>
      <c r="AL10" s="642" t="str">
        <f t="shared" ca="1" si="10"/>
        <v/>
      </c>
      <c r="AM10" s="642" t="str">
        <f t="shared" ca="1" si="26"/>
        <v/>
      </c>
      <c r="AN10" s="643">
        <f t="shared" ca="1" si="27"/>
        <v>99999</v>
      </c>
      <c r="AO10" s="639">
        <f t="shared" ca="1" si="32"/>
        <v>1.0609999999999999</v>
      </c>
      <c r="AP10" s="644">
        <f t="shared" ca="1" si="28"/>
        <v>7</v>
      </c>
    </row>
    <row r="11" spans="1:42" s="2" customFormat="1" x14ac:dyDescent="0.2">
      <c r="A11" s="238"/>
      <c r="B11" s="1">
        <v>8</v>
      </c>
      <c r="C11" s="22">
        <f t="shared" ca="1" si="11"/>
        <v>8</v>
      </c>
      <c r="D11" s="13">
        <f t="shared" ca="1" si="12"/>
        <v>17.010999999999999</v>
      </c>
      <c r="E11" s="251">
        <f t="shared" ca="1" si="13"/>
        <v>7</v>
      </c>
      <c r="F11" s="1" t="str">
        <f t="shared" si="14"/>
        <v/>
      </c>
      <c r="G11" s="1">
        <f t="shared" ca="1" si="1"/>
        <v>0</v>
      </c>
      <c r="H11" s="1">
        <f t="shared" ca="1" si="2"/>
        <v>0</v>
      </c>
      <c r="I11" s="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1.0611000000000002</v>
      </c>
      <c r="AA11" s="644">
        <f t="shared" ca="1" si="19"/>
        <v>8</v>
      </c>
      <c r="AB11" s="641" t="str">
        <f t="shared" ca="1" si="8"/>
        <v/>
      </c>
      <c r="AC11" s="642" t="str">
        <f t="shared" ca="1" si="20"/>
        <v/>
      </c>
      <c r="AD11" s="643">
        <f t="shared" ca="1" si="21"/>
        <v>99999</v>
      </c>
      <c r="AE11" s="639">
        <f t="shared" ca="1" si="30"/>
        <v>1.0611000000000002</v>
      </c>
      <c r="AF11" s="639">
        <f t="shared" ca="1" si="22"/>
        <v>8</v>
      </c>
      <c r="AG11" s="641" t="str">
        <f t="shared" ca="1" si="9"/>
        <v/>
      </c>
      <c r="AH11" s="642" t="str">
        <f t="shared" ca="1" si="23"/>
        <v/>
      </c>
      <c r="AI11" s="643">
        <f t="shared" ca="1" si="24"/>
        <v>99999</v>
      </c>
      <c r="AJ11" s="639">
        <f t="shared" ca="1" si="31"/>
        <v>1.0611000000000002</v>
      </c>
      <c r="AK11" s="644">
        <f t="shared" ca="1" si="25"/>
        <v>8</v>
      </c>
      <c r="AL11" s="642" t="str">
        <f t="shared" ca="1" si="10"/>
        <v/>
      </c>
      <c r="AM11" s="642" t="str">
        <f t="shared" ca="1" si="26"/>
        <v/>
      </c>
      <c r="AN11" s="643">
        <f t="shared" ca="1" si="27"/>
        <v>99999</v>
      </c>
      <c r="AO11" s="639">
        <f t="shared" ca="1" si="32"/>
        <v>1.0611000000000002</v>
      </c>
      <c r="AP11" s="644">
        <f t="shared" ca="1" si="28"/>
        <v>8</v>
      </c>
    </row>
    <row r="12" spans="1:42" s="2" customFormat="1" ht="12.75" thickBot="1" x14ac:dyDescent="0.25">
      <c r="A12" s="238"/>
      <c r="B12" s="1">
        <v>9</v>
      </c>
      <c r="C12" s="23">
        <f t="shared" ca="1" si="11"/>
        <v>9</v>
      </c>
      <c r="D12" s="13">
        <f t="shared" ca="1" si="12"/>
        <v>17.012</v>
      </c>
      <c r="E12" s="251">
        <f t="shared" ca="1" si="13"/>
        <v>7</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1.0612000000000001</v>
      </c>
      <c r="AA12" s="648">
        <f t="shared" ca="1" si="19"/>
        <v>9</v>
      </c>
      <c r="AB12" s="645" t="str">
        <f t="shared" ca="1" si="8"/>
        <v/>
      </c>
      <c r="AC12" s="646" t="str">
        <f t="shared" ca="1" si="20"/>
        <v/>
      </c>
      <c r="AD12" s="649">
        <f t="shared" ca="1" si="21"/>
        <v>99999</v>
      </c>
      <c r="AE12" s="647">
        <f t="shared" ca="1" si="30"/>
        <v>1.0612000000000001</v>
      </c>
      <c r="AF12" s="647">
        <f t="shared" ca="1" si="22"/>
        <v>9</v>
      </c>
      <c r="AG12" s="645" t="str">
        <f t="shared" ca="1" si="9"/>
        <v/>
      </c>
      <c r="AH12" s="646" t="str">
        <f t="shared" ca="1" si="23"/>
        <v/>
      </c>
      <c r="AI12" s="649">
        <f t="shared" ca="1" si="24"/>
        <v>99999</v>
      </c>
      <c r="AJ12" s="647">
        <f t="shared" ca="1" si="31"/>
        <v>1.0612000000000001</v>
      </c>
      <c r="AK12" s="648">
        <f t="shared" ca="1" si="25"/>
        <v>9</v>
      </c>
      <c r="AL12" s="646" t="str">
        <f t="shared" ca="1" si="10"/>
        <v/>
      </c>
      <c r="AM12" s="646" t="str">
        <f t="shared" ca="1" si="26"/>
        <v/>
      </c>
      <c r="AN12" s="649">
        <f t="shared" ca="1" si="27"/>
        <v>99999</v>
      </c>
      <c r="AO12" s="647">
        <f t="shared" ca="1" si="32"/>
        <v>1.0612000000000001</v>
      </c>
      <c r="AP12" s="648">
        <f t="shared" ca="1" si="28"/>
        <v>9</v>
      </c>
    </row>
    <row r="13" spans="1:42"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42" s="2" customFormat="1" x14ac:dyDescent="0.2">
      <c r="B14" s="14">
        <f>MAX($B$13,Calc2!$B$13,Calc3!$B$13,Calc4!$B$13)/2*4</f>
        <v>40</v>
      </c>
      <c r="D14" s="1" t="s">
        <v>336</v>
      </c>
      <c r="F14" s="14">
        <f>MAX($F$13,Calc2!$F$13,Calc3!$F$13,Calc4!$F$13)</f>
        <v>5</v>
      </c>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1. FC Riedwald</v>
      </c>
      <c r="D17" s="1">
        <f t="shared" ref="D17:D25" ca="1" si="33">K4</f>
        <v>4</v>
      </c>
      <c r="E17" s="1">
        <f t="shared" ref="E17:E25" ca="1" si="34">L4</f>
        <v>1</v>
      </c>
      <c r="F17" s="1">
        <f t="shared" ref="F17:F25" ca="1" si="35">M4</f>
        <v>1</v>
      </c>
      <c r="G17" s="1">
        <f t="shared" ref="G17:G25" ca="1" si="36">N4</f>
        <v>2</v>
      </c>
      <c r="H17" s="1">
        <f t="shared" ref="H17:J23" ca="1" si="37">G4</f>
        <v>10</v>
      </c>
      <c r="I17" s="1">
        <f t="shared" ca="1" si="37"/>
        <v>15</v>
      </c>
      <c r="J17" s="13">
        <f t="shared" ca="1" si="37"/>
        <v>-5</v>
      </c>
      <c r="K17" s="1">
        <f t="shared" ref="K17:K25" ca="1" si="38">J4</f>
        <v>4</v>
      </c>
      <c r="L17" s="30">
        <f t="shared" ref="L17:L25" ca="1" si="39">K17*$F$64+(J17+$H$65)*$F$65+H17*$F$66</f>
        <v>4495010</v>
      </c>
      <c r="M17" s="14">
        <f ca="1">IF($AI$15,COUNTIF($K$17:$K$25,K17),COUNTIF($L$17:$L$25,L17))</f>
        <v>1</v>
      </c>
      <c r="N17" s="14">
        <f t="array" aca="1" ref="N17" ca="1">IF($AI$15,SUM(($K$17:$K$25&gt;=K17)/COUNTIF($K$17:$K$25,$K$17:$K$25)),SUM(($L$17:$L$25&gt;=L17)/COUNTIF($L$17:$L$25,$L$17:$L$25)))</f>
        <v>3</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2" ca="1" si="48">AA17*$F$64+(AB17+$H$65)*$F$65+AC17*$F$66</f>
        <v>500000</v>
      </c>
      <c r="X17" s="21">
        <f ca="1">RANK($L17,$L$17:$L$25)+RANK($W17,$W$17:$W$25)/100+(9-$Y17)/10000</f>
        <v>3.0108999999999999</v>
      </c>
      <c r="Y17" s="13">
        <f>Vorrunde!$AI12</f>
        <v>0</v>
      </c>
      <c r="Z17" s="1">
        <f ca="1">RANK($W17,$W$17:$W$25)+(9-$Y17)/10</f>
        <v>1.9</v>
      </c>
      <c r="AA17" s="1">
        <f ca="1">SUM(E30:BP30)</f>
        <v>0</v>
      </c>
      <c r="AB17" s="1">
        <f ca="1">SUM(E41:BP41)</f>
        <v>0</v>
      </c>
      <c r="AC17" s="1">
        <f ca="1">SUM(E52:BP52)</f>
        <v>0</v>
      </c>
      <c r="AD17" s="245">
        <f ca="1">RANK($K17,$K$17:$K$25)</f>
        <v>3</v>
      </c>
      <c r="AE17" s="30">
        <f t="shared" ref="AE17:AE22" ca="1" si="49">(J17+$H$65)*$F$65+H17*$F$66</f>
        <v>495010</v>
      </c>
      <c r="AF17" s="1">
        <f ca="1">RANK($AE17,$AE$17:$AE$25)</f>
        <v>4</v>
      </c>
      <c r="AG17" s="1">
        <f ca="1">RANK($W17,$W$17:$W$25)</f>
        <v>1</v>
      </c>
      <c r="AH17" s="247">
        <f ca="1">AD17+AG17/100+AF17/10000+(10-Y17)/1000000</f>
        <v>3.0104099999999998</v>
      </c>
      <c r="AI17" s="1"/>
    </row>
    <row r="18" spans="2:80" s="2" customFormat="1" x14ac:dyDescent="0.2">
      <c r="C18" s="2" t="str">
        <f t="shared" ref="C18:C25" si="50">$Q65</f>
        <v>FC Barcelona</v>
      </c>
      <c r="D18" s="1">
        <f t="shared" ca="1" si="33"/>
        <v>4</v>
      </c>
      <c r="E18" s="1">
        <f t="shared" ca="1" si="34"/>
        <v>4</v>
      </c>
      <c r="F18" s="1">
        <f t="shared" ca="1" si="35"/>
        <v>0</v>
      </c>
      <c r="G18" s="1">
        <f t="shared" ca="1" si="36"/>
        <v>0</v>
      </c>
      <c r="H18" s="1">
        <f t="shared" ca="1" si="37"/>
        <v>17</v>
      </c>
      <c r="I18" s="1">
        <f t="shared" ca="1" si="37"/>
        <v>4</v>
      </c>
      <c r="J18" s="13">
        <f t="shared" ca="1" si="37"/>
        <v>13</v>
      </c>
      <c r="K18" s="1">
        <f t="shared" ca="1" si="38"/>
        <v>12</v>
      </c>
      <c r="L18" s="30">
        <f t="shared" ca="1" si="39"/>
        <v>12513017</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t="shared" ref="X18:X25" ca="1" si="52">RANK($L18,$L$17:$L$25)+RANK($W18,$W$17:$W$25)/100+(9-$Y18)/10000</f>
        <v>1.0108999999999999</v>
      </c>
      <c r="Y18" s="13">
        <f>Vorrunde!$AI13</f>
        <v>0</v>
      </c>
      <c r="Z18" s="1">
        <f t="shared" ref="Z18:Z25" ca="1" si="53">RANK($W18,$W$17:$W$25)+(9-$Y18)/10</f>
        <v>1.9</v>
      </c>
      <c r="AA18" s="1">
        <f t="shared" ref="AA18:AA25" ca="1" si="54">SUM(E31:BP31)</f>
        <v>0</v>
      </c>
      <c r="AB18" s="1">
        <f t="shared" ref="AB18:AB25" ca="1" si="55">SUM(E42:BP42)</f>
        <v>0</v>
      </c>
      <c r="AC18" s="1">
        <f t="shared" ref="AC18:AC25" ca="1" si="56">SUM(E53:BP53)</f>
        <v>0</v>
      </c>
      <c r="AD18" s="245">
        <f t="shared" ref="AD18:AD25" ca="1" si="57">RANK($K18,$K$17:$K$25)</f>
        <v>1</v>
      </c>
      <c r="AE18" s="30">
        <f t="shared" ca="1" si="49"/>
        <v>513017</v>
      </c>
      <c r="AF18" s="1">
        <f t="shared" ref="AF18:AF25" ca="1" si="58">RANK($AE18,$AE$17:$AE$25)</f>
        <v>1</v>
      </c>
      <c r="AG18" s="1">
        <f t="shared" ref="AG18:AG25" ca="1" si="59">RANK($W18,$W$17:$W$25)</f>
        <v>1</v>
      </c>
      <c r="AH18" s="248">
        <f t="shared" ref="AH18:AH25" ca="1" si="60">AD18+AG18/100+AF18/10000+(10-Y18)/1000000</f>
        <v>1.0101100000000001</v>
      </c>
      <c r="AI18" s="1"/>
    </row>
    <row r="19" spans="2:80" s="2" customFormat="1" x14ac:dyDescent="0.2">
      <c r="C19" s="2" t="str">
        <f t="shared" si="50"/>
        <v>Eintracht Frankfurt</v>
      </c>
      <c r="D19" s="1">
        <f t="shared" ca="1" si="33"/>
        <v>4</v>
      </c>
      <c r="E19" s="1">
        <f t="shared" ca="1" si="34"/>
        <v>3</v>
      </c>
      <c r="F19" s="1">
        <f t="shared" ca="1" si="35"/>
        <v>0</v>
      </c>
      <c r="G19" s="1">
        <f t="shared" ca="1" si="36"/>
        <v>1</v>
      </c>
      <c r="H19" s="1">
        <f t="shared" ca="1" si="37"/>
        <v>12</v>
      </c>
      <c r="I19" s="1">
        <f t="shared" ca="1" si="37"/>
        <v>8</v>
      </c>
      <c r="J19" s="13">
        <f t="shared" ca="1" si="37"/>
        <v>4</v>
      </c>
      <c r="K19" s="1">
        <f t="shared" ca="1" si="38"/>
        <v>9</v>
      </c>
      <c r="L19" s="30">
        <f t="shared" ca="1" si="39"/>
        <v>9504012</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ca="1" si="52"/>
        <v>2.0108999999999999</v>
      </c>
      <c r="Y19" s="13">
        <f>Vorrunde!$AI14</f>
        <v>0</v>
      </c>
      <c r="Z19" s="1">
        <f t="shared" ca="1" si="53"/>
        <v>1.9</v>
      </c>
      <c r="AA19" s="1">
        <f t="shared" ca="1" si="54"/>
        <v>0</v>
      </c>
      <c r="AB19" s="1">
        <f t="shared" ca="1" si="55"/>
        <v>0</v>
      </c>
      <c r="AC19" s="1">
        <f t="shared" ca="1" si="56"/>
        <v>0</v>
      </c>
      <c r="AD19" s="245">
        <f t="shared" ca="1" si="57"/>
        <v>2</v>
      </c>
      <c r="AE19" s="30">
        <f t="shared" ca="1" si="49"/>
        <v>504012</v>
      </c>
      <c r="AF19" s="1">
        <f t="shared" ca="1" si="58"/>
        <v>2</v>
      </c>
      <c r="AG19" s="1">
        <f t="shared" ca="1" si="59"/>
        <v>1</v>
      </c>
      <c r="AH19" s="248">
        <f t="shared" ca="1" si="60"/>
        <v>2.0102099999999998</v>
      </c>
      <c r="AI19" s="1"/>
    </row>
    <row r="20" spans="2:80" s="2" customFormat="1" x14ac:dyDescent="0.2">
      <c r="C20" s="2" t="str">
        <f t="shared" si="50"/>
        <v>Maibach 1822 eV</v>
      </c>
      <c r="D20" s="1">
        <f t="shared" ca="1" si="33"/>
        <v>4</v>
      </c>
      <c r="E20" s="1">
        <f t="shared" ca="1" si="34"/>
        <v>0</v>
      </c>
      <c r="F20" s="1">
        <f t="shared" ca="1" si="35"/>
        <v>1</v>
      </c>
      <c r="G20" s="1">
        <f t="shared" ca="1" si="36"/>
        <v>3</v>
      </c>
      <c r="H20" s="1">
        <f t="shared" ca="1" si="37"/>
        <v>8</v>
      </c>
      <c r="I20" s="1">
        <f t="shared" ca="1" si="37"/>
        <v>13</v>
      </c>
      <c r="J20" s="13">
        <f t="shared" ca="1" si="37"/>
        <v>-5</v>
      </c>
      <c r="K20" s="1">
        <f t="shared" ca="1" si="38"/>
        <v>1</v>
      </c>
      <c r="L20" s="30">
        <f t="shared" ca="1" si="39"/>
        <v>1495008</v>
      </c>
      <c r="M20" s="14">
        <f t="shared" ca="1" si="51"/>
        <v>1</v>
      </c>
      <c r="N20" s="14">
        <f t="array" aca="1" ref="N20" ca="1">IF($AI$15,SUM(($K$17:$K$25&gt;=K20)/COUNTIF($K$17:$K$25,$K$17:$K$25)),SUM(($L$17:$L$25&gt;=L20)/COUNTIF($L$17:$L$25,$L$17:$L$25)))</f>
        <v>5</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2"/>
        <v>5.0108999999999995</v>
      </c>
      <c r="Y20" s="13">
        <f>Vorrunde!$AI15</f>
        <v>0</v>
      </c>
      <c r="Z20" s="1">
        <f t="shared" ca="1" si="53"/>
        <v>1.9</v>
      </c>
      <c r="AA20" s="1">
        <f t="shared" ca="1" si="54"/>
        <v>0</v>
      </c>
      <c r="AB20" s="1">
        <f t="shared" ca="1" si="55"/>
        <v>0</v>
      </c>
      <c r="AC20" s="1">
        <f t="shared" ca="1" si="56"/>
        <v>0</v>
      </c>
      <c r="AD20" s="245">
        <f t="shared" ca="1" si="57"/>
        <v>5</v>
      </c>
      <c r="AE20" s="30">
        <f t="shared" ca="1" si="49"/>
        <v>495008</v>
      </c>
      <c r="AF20" s="1">
        <f t="shared" ca="1" si="58"/>
        <v>5</v>
      </c>
      <c r="AG20" s="1">
        <f t="shared" ca="1" si="59"/>
        <v>1</v>
      </c>
      <c r="AH20" s="248">
        <f t="shared" ca="1" si="60"/>
        <v>5.0105099999999991</v>
      </c>
      <c r="AI20" s="1"/>
    </row>
    <row r="21" spans="2:80" s="2" customFormat="1" x14ac:dyDescent="0.2">
      <c r="C21" s="2" t="str">
        <f t="shared" si="50"/>
        <v>VFB Essenheim</v>
      </c>
      <c r="D21" s="1">
        <f t="shared" ca="1" si="33"/>
        <v>4</v>
      </c>
      <c r="E21" s="1">
        <f t="shared" ca="1" si="34"/>
        <v>1</v>
      </c>
      <c r="F21" s="1">
        <f t="shared" ca="1" si="35"/>
        <v>0</v>
      </c>
      <c r="G21" s="1">
        <f t="shared" ca="1" si="36"/>
        <v>3</v>
      </c>
      <c r="H21" s="1">
        <f t="shared" ca="1" si="37"/>
        <v>10</v>
      </c>
      <c r="I21" s="1">
        <f t="shared" ca="1" si="37"/>
        <v>17</v>
      </c>
      <c r="J21" s="13">
        <f t="shared" ca="1" si="37"/>
        <v>-7</v>
      </c>
      <c r="K21" s="1">
        <f t="shared" ca="1" si="38"/>
        <v>3</v>
      </c>
      <c r="L21" s="30">
        <f t="shared" ca="1" si="39"/>
        <v>3493010</v>
      </c>
      <c r="M21" s="14">
        <f t="shared" ca="1" si="51"/>
        <v>1</v>
      </c>
      <c r="N21" s="14">
        <f t="array" aca="1" ref="N21" ca="1">IF($AI$15,SUM(($K$17:$K$25&gt;=K21)/COUNTIF($K$17:$K$25,$K$17:$K$25)),SUM(($L$17:$L$25&gt;=L21)/COUNTIF($L$17:$L$25,$L$17:$L$25)))</f>
        <v>4</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2"/>
        <v>4.0108999999999995</v>
      </c>
      <c r="Y21" s="13">
        <f>Vorrunde!$AI16</f>
        <v>0</v>
      </c>
      <c r="Z21" s="1">
        <f t="shared" ca="1" si="53"/>
        <v>1.9</v>
      </c>
      <c r="AA21" s="1">
        <f t="shared" ca="1" si="54"/>
        <v>0</v>
      </c>
      <c r="AB21" s="1">
        <f t="shared" ca="1" si="55"/>
        <v>0</v>
      </c>
      <c r="AC21" s="1">
        <f t="shared" ca="1" si="56"/>
        <v>0</v>
      </c>
      <c r="AD21" s="245">
        <f t="shared" ca="1" si="57"/>
        <v>4</v>
      </c>
      <c r="AE21" s="30">
        <f t="shared" ca="1" si="49"/>
        <v>493010</v>
      </c>
      <c r="AF21" s="1">
        <f t="shared" ca="1" si="58"/>
        <v>6</v>
      </c>
      <c r="AG21" s="1">
        <f t="shared" ca="1" si="59"/>
        <v>1</v>
      </c>
      <c r="AH21" s="248">
        <f t="shared" ca="1" si="60"/>
        <v>4.0106099999999998</v>
      </c>
      <c r="AI21" s="1"/>
    </row>
    <row r="22" spans="2:80" s="2" customFormat="1" x14ac:dyDescent="0.2">
      <c r="C22" s="2" t="str">
        <f t="shared" si="50"/>
        <v/>
      </c>
      <c r="D22" s="1">
        <f t="shared" ca="1" si="33"/>
        <v>0</v>
      </c>
      <c r="E22" s="1">
        <f t="shared" ca="1" si="34"/>
        <v>0</v>
      </c>
      <c r="F22" s="1">
        <f t="shared" ca="1" si="35"/>
        <v>0</v>
      </c>
      <c r="G22" s="1">
        <f t="shared" ca="1" si="36"/>
        <v>0</v>
      </c>
      <c r="H22" s="1">
        <f t="shared" ca="1" si="37"/>
        <v>0</v>
      </c>
      <c r="I22" s="1">
        <f t="shared" ca="1" si="37"/>
        <v>0</v>
      </c>
      <c r="J22" s="13">
        <f t="shared" ca="1" si="37"/>
        <v>0</v>
      </c>
      <c r="K22" s="1">
        <f t="shared" ca="1" si="38"/>
        <v>0</v>
      </c>
      <c r="L22" s="30">
        <f t="shared" ca="1" si="39"/>
        <v>500000</v>
      </c>
      <c r="M22" s="14">
        <f t="shared" ca="1" si="51"/>
        <v>4</v>
      </c>
      <c r="N22" s="14">
        <f t="array" aca="1" ref="N22" ca="1">IF($AI$15,SUM(($K$17:$K$25&gt;=K22)/COUNTIF($K$17:$K$25,$K$17:$K$25)),SUM(($L$17:$L$25&gt;=L22)/COUNTIF($L$17:$L$25,$L$17:$L$25)))</f>
        <v>6</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2"/>
        <v>6.0108999999999995</v>
      </c>
      <c r="Y22" s="13">
        <f>Vorrunde!$AI17</f>
        <v>0</v>
      </c>
      <c r="Z22" s="1">
        <f t="shared" ca="1" si="53"/>
        <v>1.9</v>
      </c>
      <c r="AA22" s="1">
        <f t="shared" ca="1" si="54"/>
        <v>0</v>
      </c>
      <c r="AB22" s="1">
        <f t="shared" ca="1" si="55"/>
        <v>0</v>
      </c>
      <c r="AC22" s="1">
        <f t="shared" ca="1" si="56"/>
        <v>0</v>
      </c>
      <c r="AD22" s="245">
        <f t="shared" ca="1" si="57"/>
        <v>6</v>
      </c>
      <c r="AE22" s="30">
        <f t="shared" ca="1" si="49"/>
        <v>500000</v>
      </c>
      <c r="AF22" s="1">
        <f t="shared" ca="1" si="58"/>
        <v>3</v>
      </c>
      <c r="AG22" s="1">
        <f t="shared" ca="1" si="59"/>
        <v>1</v>
      </c>
      <c r="AH22" s="248">
        <f t="shared" ca="1" si="60"/>
        <v>6.0103099999999996</v>
      </c>
      <c r="AI22" s="1"/>
    </row>
    <row r="23" spans="2:80" s="2" customFormat="1" x14ac:dyDescent="0.2">
      <c r="C23" s="2" t="str">
        <f t="shared" si="50"/>
        <v/>
      </c>
      <c r="D23" s="1">
        <f t="shared" ca="1" si="33"/>
        <v>0</v>
      </c>
      <c r="E23" s="1">
        <f t="shared" ca="1" si="34"/>
        <v>0</v>
      </c>
      <c r="F23" s="1">
        <f t="shared" ca="1" si="35"/>
        <v>0</v>
      </c>
      <c r="G23" s="1">
        <f t="shared" ca="1" si="36"/>
        <v>0</v>
      </c>
      <c r="H23" s="1">
        <f t="shared" ca="1" si="37"/>
        <v>0</v>
      </c>
      <c r="I23" s="1">
        <f t="shared" ca="1" si="37"/>
        <v>0</v>
      </c>
      <c r="J23" s="13">
        <f t="shared" ca="1" si="37"/>
        <v>0</v>
      </c>
      <c r="K23" s="1">
        <f t="shared" ca="1" si="38"/>
        <v>0</v>
      </c>
      <c r="L23" s="30">
        <f t="shared" ca="1" si="39"/>
        <v>500000</v>
      </c>
      <c r="M23" s="14">
        <f t="shared" ca="1" si="51"/>
        <v>4</v>
      </c>
      <c r="N23" s="14">
        <f t="array" aca="1" ref="N23" ca="1">IF($AI$15,SUM(($K$17:$K$25&gt;=K23)/COUNTIF($K$17:$K$25,$K$17:$K$25)),SUM(($L$17:$L$25&gt;=L23)/COUNTIF($L$17:$L$25,$L$17:$L$25)))</f>
        <v>6</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v>0</v>
      </c>
      <c r="X23" s="22">
        <f t="shared" ca="1" si="52"/>
        <v>6.0709</v>
      </c>
      <c r="Y23" s="13">
        <v>0</v>
      </c>
      <c r="Z23" s="1">
        <f t="shared" ca="1" si="53"/>
        <v>7.9</v>
      </c>
      <c r="AA23" s="1">
        <f t="shared" ca="1" si="54"/>
        <v>0</v>
      </c>
      <c r="AB23" s="1">
        <f t="shared" ca="1" si="55"/>
        <v>0</v>
      </c>
      <c r="AC23" s="1">
        <f t="shared" ca="1" si="56"/>
        <v>0</v>
      </c>
      <c r="AD23" s="245">
        <f t="shared" ca="1" si="57"/>
        <v>6</v>
      </c>
      <c r="AE23" s="30">
        <v>0</v>
      </c>
      <c r="AF23" s="1">
        <f t="shared" ca="1" si="58"/>
        <v>7</v>
      </c>
      <c r="AG23" s="1">
        <f t="shared" ca="1" si="59"/>
        <v>7</v>
      </c>
      <c r="AH23" s="248">
        <f t="shared" ca="1" si="60"/>
        <v>6.0707100000000001</v>
      </c>
      <c r="AI23" s="1"/>
    </row>
    <row r="24" spans="2:80" s="2" customFormat="1" x14ac:dyDescent="0.2">
      <c r="C24" s="2" t="str">
        <f t="shared" si="50"/>
        <v/>
      </c>
      <c r="D24" s="1">
        <f t="shared" ca="1" si="33"/>
        <v>0</v>
      </c>
      <c r="E24" s="1">
        <f t="shared" ca="1" si="34"/>
        <v>0</v>
      </c>
      <c r="F24" s="1">
        <f t="shared" ca="1" si="35"/>
        <v>0</v>
      </c>
      <c r="G24" s="1">
        <f t="shared" ca="1" si="36"/>
        <v>0</v>
      </c>
      <c r="H24" s="1">
        <f t="shared" ref="H24:J24" ca="1" si="61">G11</f>
        <v>0</v>
      </c>
      <c r="I24" s="1">
        <f t="shared" ca="1" si="61"/>
        <v>0</v>
      </c>
      <c r="J24" s="13">
        <f t="shared" ca="1" si="61"/>
        <v>0</v>
      </c>
      <c r="K24" s="1">
        <f t="shared" ca="1" si="38"/>
        <v>0</v>
      </c>
      <c r="L24" s="30">
        <f t="shared" ca="1" si="39"/>
        <v>500000</v>
      </c>
      <c r="M24" s="14">
        <f t="shared" ca="1" si="51"/>
        <v>4</v>
      </c>
      <c r="N24" s="14">
        <f t="array" aca="1" ref="N24" ca="1">IF($AI$15,SUM(($K$17:$K$25&gt;=K24)/COUNTIF($K$17:$K$25,$K$17:$K$25)),SUM(($L$17:$L$25&gt;=L24)/COUNTIF($L$17:$L$25,$L$17:$L$25)))</f>
        <v>6</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v>0</v>
      </c>
      <c r="X24" s="22">
        <f t="shared" ca="1" si="52"/>
        <v>6.0709</v>
      </c>
      <c r="Y24" s="13">
        <v>0</v>
      </c>
      <c r="Z24" s="1">
        <f t="shared" ca="1" si="53"/>
        <v>7.9</v>
      </c>
      <c r="AA24" s="1">
        <f t="shared" ca="1" si="54"/>
        <v>0</v>
      </c>
      <c r="AB24" s="1">
        <f t="shared" ca="1" si="55"/>
        <v>0</v>
      </c>
      <c r="AC24" s="1">
        <f t="shared" ca="1" si="56"/>
        <v>0</v>
      </c>
      <c r="AD24" s="245">
        <f t="shared" ca="1" si="57"/>
        <v>6</v>
      </c>
      <c r="AE24" s="30">
        <v>0</v>
      </c>
      <c r="AF24" s="1">
        <f t="shared" ca="1" si="58"/>
        <v>7</v>
      </c>
      <c r="AG24" s="1">
        <f t="shared" ca="1" si="59"/>
        <v>7</v>
      </c>
      <c r="AH24" s="248">
        <f t="shared" ca="1" si="60"/>
        <v>6.0707100000000001</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4</v>
      </c>
      <c r="N25" s="14">
        <f t="array" aca="1" ref="N25" ca="1">IF($AI$15,SUM(($K$17:$K$25&gt;=K25)/COUNTIF($K$17:$K$25,$K$17:$K$25)),SUM(($L$17:$L$25&gt;=L25)/COUNTIF($L$17:$L$25,$L$17:$L$25)))</f>
        <v>6</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v>0</v>
      </c>
      <c r="X25" s="23">
        <f t="shared" ca="1" si="52"/>
        <v>6.0709</v>
      </c>
      <c r="Y25" s="13">
        <v>0</v>
      </c>
      <c r="Z25" s="1">
        <f t="shared" ca="1" si="53"/>
        <v>7.9</v>
      </c>
      <c r="AA25" s="1">
        <f t="shared" ca="1" si="54"/>
        <v>0</v>
      </c>
      <c r="AB25" s="1">
        <f t="shared" ca="1" si="55"/>
        <v>0</v>
      </c>
      <c r="AC25" s="1">
        <f t="shared" ca="1" si="56"/>
        <v>0</v>
      </c>
      <c r="AD25" s="245">
        <f t="shared" ca="1" si="57"/>
        <v>6</v>
      </c>
      <c r="AE25" s="30">
        <v>0</v>
      </c>
      <c r="AF25" s="1">
        <f t="shared" ca="1" si="58"/>
        <v>7</v>
      </c>
      <c r="AG25" s="1">
        <f t="shared" ca="1" si="59"/>
        <v>7</v>
      </c>
      <c r="AH25" s="249">
        <f t="shared" ca="1" si="60"/>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1</v>
      </c>
      <c r="BU30" s="8">
        <f t="shared" ca="1" si="64"/>
        <v>2</v>
      </c>
      <c r="BV30" s="8">
        <f t="shared" ca="1" si="64"/>
        <v>2</v>
      </c>
      <c r="BW30" s="8">
        <f t="shared" ca="1" si="64"/>
        <v>5</v>
      </c>
      <c r="BX30" s="8">
        <f t="shared" ca="1" si="64"/>
        <v>0</v>
      </c>
      <c r="BY30" s="8">
        <f t="shared" ca="1" si="64"/>
        <v>0</v>
      </c>
      <c r="BZ30" s="8">
        <f t="shared" ca="1" si="64"/>
        <v>0</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6</v>
      </c>
      <c r="BT31" s="7"/>
      <c r="BU31" s="8">
        <f t="shared" ref="BU31:CA31" ca="1" si="67">SUMIFS($X$64:$X$135,$V$64:$V$135,$BR31,$W$64:$W$135,BU$29)+SUMIFS($Y$64:$Y$135,$W$64:$W$135,$BR31,$V$64:$V$135,BU$29)</f>
        <v>2</v>
      </c>
      <c r="BV31" s="8">
        <f t="shared" ca="1" si="67"/>
        <v>3</v>
      </c>
      <c r="BW31" s="8">
        <f t="shared" ca="1" si="67"/>
        <v>6</v>
      </c>
      <c r="BX31" s="8">
        <f t="shared" ca="1" si="67"/>
        <v>0</v>
      </c>
      <c r="BY31" s="8">
        <f t="shared" ca="1" si="67"/>
        <v>0</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6</v>
      </c>
      <c r="BT32" s="9">
        <f t="shared" ref="BT32:BT38" ca="1" si="68">SUMIFS($X$64:$X$135,$V$64:$V$135,$BR32,$W$64:$W$135,BT$29)+SUMIFS($Y$64:$Y$135,$W$64:$W$135,$BR32,$V$64:$V$135,BT$29)</f>
        <v>0</v>
      </c>
      <c r="BU32" s="7"/>
      <c r="BV32" s="8">
        <f t="shared" ref="BV32:CA32" ca="1" si="69">SUMIFS($X$64:$X$135,$V$64:$V$135,$BR32,$W$64:$W$135,BV$29)+SUMIFS($Y$64:$Y$135,$W$64:$W$135,$BR32,$V$64:$V$135,BV$29)</f>
        <v>3</v>
      </c>
      <c r="BW32" s="8">
        <f t="shared" ca="1" si="69"/>
        <v>3</v>
      </c>
      <c r="BX32" s="8">
        <f t="shared" ca="1" si="69"/>
        <v>0</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2</v>
      </c>
      <c r="BT33" s="9">
        <f t="shared" ca="1" si="68"/>
        <v>1</v>
      </c>
      <c r="BU33" s="9">
        <f t="shared" ref="BU33:BU38" ca="1" si="70">SUMIFS($X$64:$X$135,$V$64:$V$135,$BR33,$W$64:$W$135,BU$29)+SUMIFS($Y$64:$Y$135,$W$64:$W$135,$BR33,$V$64:$V$135,BU$29)</f>
        <v>2</v>
      </c>
      <c r="BV33" s="7"/>
      <c r="BW33" s="8">
        <f ca="1">SUMIFS($X$64:$X$135,$V$64:$V$135,$BR33,$W$64:$W$135,BW$29)+SUMIFS($Y$64:$Y$135,$W$64:$W$135,$BR33,$V$64:$V$135,BW$29)</f>
        <v>3</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1</v>
      </c>
      <c r="BT34" s="9">
        <f t="shared" ca="1" si="68"/>
        <v>2</v>
      </c>
      <c r="BU34" s="9">
        <f t="shared" ca="1" si="70"/>
        <v>2</v>
      </c>
      <c r="BV34" s="9">
        <f ca="1">SUMIFS($X$64:$X$135,$V$64:$V$135,$BR34,$W$64:$W$135,BV$29)+SUMIFS($Y$64:$Y$135,$W$64:$W$135,$BR34,$V$64:$V$135,BV$29)</f>
        <v>5</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
      </c>
      <c r="BS35" s="9">
        <f t="shared" ca="1" si="66"/>
        <v>0</v>
      </c>
      <c r="BT35" s="9">
        <f t="shared" ca="1" si="68"/>
        <v>0</v>
      </c>
      <c r="BU35" s="9">
        <f t="shared" ca="1" si="7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6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
      </c>
      <c r="BS36" s="9">
        <f t="shared" ca="1" si="66"/>
        <v>0</v>
      </c>
      <c r="BT36" s="9">
        <f t="shared" ca="1" si="68"/>
        <v>0</v>
      </c>
      <c r="BU36" s="9">
        <f t="shared" ca="1" si="7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
      </c>
      <c r="BS37" s="9">
        <f t="shared" ca="1" si="66"/>
        <v>0</v>
      </c>
      <c r="BT37" s="9">
        <f t="shared" ca="1" si="68"/>
        <v>0</v>
      </c>
      <c r="BU37" s="9">
        <f t="shared" ca="1" si="7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-5</v>
      </c>
      <c r="BU41" s="8">
        <f ca="1">BU30-BS32</f>
        <v>-4</v>
      </c>
      <c r="BV41" s="8">
        <f ca="1">BV30-BS33</f>
        <v>0</v>
      </c>
      <c r="BW41" s="8">
        <f ca="1">BW30-BS34</f>
        <v>4</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5</v>
      </c>
      <c r="BT42" s="7"/>
      <c r="BU42" s="8">
        <f ca="1">BU31-BT32</f>
        <v>2</v>
      </c>
      <c r="BV42" s="8">
        <f ca="1">BV31-BT33</f>
        <v>2</v>
      </c>
      <c r="BW42" s="8">
        <f ca="1">BW31-BT34</f>
        <v>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4</v>
      </c>
      <c r="BT43" s="9">
        <f ca="1">IF(BU42="","",-1*BU42)</f>
        <v>-2</v>
      </c>
      <c r="BU43" s="7"/>
      <c r="BV43" s="8">
        <f ca="1">BV32-BU33</f>
        <v>1</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0</v>
      </c>
      <c r="BT44" s="9">
        <f ca="1">IF(BV42="","",-1*BV42)</f>
        <v>-2</v>
      </c>
      <c r="BU44" s="9">
        <f ca="1">IF(BV43="","",-1*BV43)</f>
        <v>-1</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-4</v>
      </c>
      <c r="BT45" s="9">
        <f ca="1">IF(BW42="","",-1*BW42)</f>
        <v>-4</v>
      </c>
      <c r="BU45" s="9">
        <f ca="1">IF(BW43="","",-1*BW43)</f>
        <v>-1</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1</v>
      </c>
      <c r="BW52" s="8">
        <f t="shared" ca="1" si="74"/>
        <v>3</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3</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1</v>
      </c>
      <c r="BT55" s="9">
        <f t="shared" ca="1" si="77"/>
        <v>0</v>
      </c>
      <c r="BU55" s="9">
        <f t="shared" ref="BU55:BU60" ca="1" si="78">SUMIFS($AE$64:$AE$135,$V$64:$V$135,$BR55,$W$64:$W$135,BU$51)+SUMIFS($AF$64:$AF$135,$W$64:$W$135,$BR55,$V$64:$V$135,BU$51)</f>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75"/>
        <v>0</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0</v>
      </c>
      <c r="BT56" s="9">
        <f t="shared" ca="1" si="77"/>
        <v>0</v>
      </c>
      <c r="BU56" s="9">
        <f t="shared" ca="1" si="78"/>
        <v>0</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
      </c>
      <c r="BS57" s="9">
        <f t="shared" ca="1" si="76"/>
        <v>0</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0</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
      </c>
      <c r="BS58" s="9">
        <f t="shared" ca="1" si="76"/>
        <v>0</v>
      </c>
      <c r="BT58" s="9">
        <f t="shared" ca="1" si="77"/>
        <v>0</v>
      </c>
      <c r="BU58" s="9">
        <f t="shared" ca="1" si="78"/>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
      </c>
      <c r="BS59" s="9">
        <f t="shared" ca="1" si="76"/>
        <v>0</v>
      </c>
      <c r="BT59" s="9">
        <f t="shared" ca="1" si="77"/>
        <v>0</v>
      </c>
      <c r="BU59" s="9">
        <f t="shared" ca="1" si="78"/>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164"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IF(Planung!$C$7="","",Planung!$C$7)</f>
        <v>1. FC Riedwald</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1" t="str">
        <f ca="1">IF(AA64&gt;0,X64&amp;Sprache!$E$111&amp;Y64,"")</f>
        <v>2:6</v>
      </c>
      <c r="AD64" s="142"/>
      <c r="AE64" s="147">
        <f ca="1">IF($AA64=0,"",IF($X64&gt;$Y64,Einstellungen!$C$4,IF($X64=$Y64,1,0)))</f>
        <v>0</v>
      </c>
      <c r="AF64" s="142">
        <f ca="1">IF($AA64=0,"",IF($X64&lt;$Y64,Einstellungen!$C$4,IF($X64=$Y64,1,0)))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IF(Planung!$C$9="","",Planung!$C$9)</f>
        <v>FC Barcelona</v>
      </c>
      <c r="U65" s="67" t="s">
        <v>8</v>
      </c>
      <c r="V65" s="41" t="str">
        <f ca="1">Planung!$L7</f>
        <v>FC Grönlingen</v>
      </c>
      <c r="W65" s="13" t="str">
        <f ca="1">Planung!$N7</f>
        <v>Inter Mailand</v>
      </c>
      <c r="X65" s="13">
        <f ca="1">IF(AND(Vorrunde!$I13&lt;&gt;"",Vorrunde!$K13&lt;&gt;"",Vorrunde!$F13&lt;&gt;Vorrunde!$H13,$V65&lt;&gt;"",$W65&lt;&gt;""),Vorrunde!$I13,"")</f>
        <v>2</v>
      </c>
      <c r="Y65" s="36">
        <f ca="1">IF(AND(Vorrunde!$I13&lt;&gt;"",Vorrunde!$K13&lt;&gt;"",Vorrunde!$F13&lt;&gt;Vorrunde!$H13,$V65&lt;&gt;"",$W65&lt;&gt;""),Vorrunde!$K13,"")</f>
        <v>4</v>
      </c>
      <c r="Z65" s="35" t="str">
        <f t="shared" ref="Z65:Z73" ca="1" si="79">V65&amp;W65</f>
        <v>FC GrönlingenInter Mailand</v>
      </c>
      <c r="AA65" s="13">
        <f t="shared" ref="AA65:AA128" ca="1" si="80">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IF(Planung!$C$11="","",Planung!$C$11)</f>
        <v>Eintracht Frankfurt</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79"/>
        <v>1. FC NürnbergReal Madrid</v>
      </c>
      <c r="AA66" s="13">
        <f t="shared" ca="1" si="80"/>
        <v>1</v>
      </c>
      <c r="AB66" s="13" t="str">
        <f ca="1">IF(AA66&gt;0,X66&amp;Sprache!$E$111&amp;Y66,"")</f>
        <v>1:4</v>
      </c>
      <c r="AD66" s="143"/>
      <c r="AE66" s="148">
        <f ca="1">IF($AA66=0,"",IF($X66&gt;$Y66,Einstellungen!$C$4,IF($X66=$Y66,1,0)))</f>
        <v>0</v>
      </c>
      <c r="AF66" s="143">
        <f ca="1">IF($AA66=0,"",IF($X66&lt;$Y66,Einstellungen!$C$4,IF($X66=$Y66,1,0)))</f>
        <v>3</v>
      </c>
      <c r="AH66" s="4"/>
      <c r="AI66" s="13"/>
      <c r="AJ66" s="4"/>
      <c r="AK66" s="13"/>
      <c r="AL66" s="13"/>
      <c r="AM66" s="13"/>
      <c r="AN66" s="13"/>
      <c r="AO66" s="13"/>
      <c r="AP66" s="13"/>
      <c r="AQ66" s="13"/>
    </row>
    <row r="67" spans="2:43" s="2" customFormat="1" x14ac:dyDescent="0.2">
      <c r="P67" s="47" t="s">
        <v>10</v>
      </c>
      <c r="Q67" s="62" t="str">
        <f>IF(Planung!$C$13="","",Planung!$C$13)</f>
        <v>Maibach 1822 eV</v>
      </c>
      <c r="U67" s="67" t="s">
        <v>10</v>
      </c>
      <c r="V67" s="41" t="str">
        <f ca="1">Planung!$L9</f>
        <v>SV Oberredenburg</v>
      </c>
      <c r="W67" s="13" t="str">
        <f ca="1">Planung!$N9</f>
        <v>Paris St. Germain</v>
      </c>
      <c r="X67" s="13">
        <f ca="1">IF(AND(Vorrunde!$I15&lt;&gt;"",Vorrunde!$K15&lt;&gt;"",Vorrunde!$F15&lt;&gt;Vorrunde!$H15,$V67&lt;&gt;"",$W67&lt;&gt;""),Vorrunde!$I15,"")</f>
        <v>2</v>
      </c>
      <c r="Y67" s="36">
        <f ca="1">IF(AND(Vorrunde!$I15&lt;&gt;"",Vorrunde!$K15&lt;&gt;"",Vorrunde!$F15&lt;&gt;Vorrunde!$H15,$V67&lt;&gt;"",$W67&lt;&gt;""),Vorrunde!$K15,"")</f>
        <v>5</v>
      </c>
      <c r="Z67" s="35" t="str">
        <f t="shared" ca="1" si="79"/>
        <v>SV OberredenburgParis St. Germain</v>
      </c>
      <c r="AA67" s="13">
        <f t="shared" ca="1" si="80"/>
        <v>1</v>
      </c>
      <c r="AB67" s="13" t="str">
        <f ca="1">IF(AA67&gt;0,X67&amp;Sprache!$E$111&amp;Y67,"")</f>
        <v>2:5</v>
      </c>
      <c r="AD67" s="143"/>
      <c r="AE67" s="148">
        <f ca="1">IF($AA67=0,"",IF($X67&gt;$Y67,Einstellungen!$C$4,IF($X67=$Y67,1,0)))</f>
        <v>0</v>
      </c>
      <c r="AF67" s="143">
        <f ca="1">IF($AA67=0,"",IF($X67&lt;$Y67,Einstellungen!$C$4,IF($X67=$Y67,1,0)))</f>
        <v>3</v>
      </c>
      <c r="AH67" s="4"/>
      <c r="AI67" s="13"/>
      <c r="AJ67" s="13"/>
      <c r="AK67" s="4"/>
      <c r="AL67" s="13"/>
      <c r="AM67" s="13"/>
      <c r="AN67" s="13"/>
      <c r="AO67" s="13"/>
      <c r="AP67" s="13"/>
      <c r="AQ67" s="13"/>
    </row>
    <row r="68" spans="2:43" s="2" customFormat="1" x14ac:dyDescent="0.2">
      <c r="P68" s="47" t="s">
        <v>11</v>
      </c>
      <c r="Q68" s="62" t="str">
        <f>IF(Planung!$C$15="","",Planung!$C$15)</f>
        <v>VFB Essenheim</v>
      </c>
      <c r="U68" s="67" t="s">
        <v>11</v>
      </c>
      <c r="V68" s="41" t="str">
        <f ca="1">Planung!$L10</f>
        <v>Eintracht Frankfurt</v>
      </c>
      <c r="W68" s="13" t="str">
        <f ca="1">Planung!$N10</f>
        <v>Maibach 1822 eV</v>
      </c>
      <c r="X68" s="13">
        <f ca="1">IF(AND(Vorrunde!$I16&lt;&gt;"",Vorrunde!$K16&lt;&gt;"",Vorrunde!$F16&lt;&gt;Vorrunde!$H16,$V68&lt;&gt;"",$W68&lt;&gt;""),Vorrunde!$I16,"")</f>
        <v>3</v>
      </c>
      <c r="Y68" s="36">
        <f ca="1">IF(AND(Vorrunde!$I16&lt;&gt;"",Vorrunde!$K16&lt;&gt;"",Vorrunde!$F16&lt;&gt;Vorrunde!$H16,$V68&lt;&gt;"",$W68&lt;&gt;""),Vorrunde!$K16,"")</f>
        <v>2</v>
      </c>
      <c r="Z68" s="35" t="str">
        <f t="shared" ca="1" si="79"/>
        <v>Eintracht FrankfurtMaibach 1822 eV</v>
      </c>
      <c r="AA68" s="13">
        <f t="shared" ca="1" si="80"/>
        <v>1</v>
      </c>
      <c r="AB68" s="13" t="str">
        <f ca="1">IF(AA68&gt;0,X68&amp;Sprache!$E$111&amp;Y68,"")</f>
        <v>3:2</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t="s">
        <v>12</v>
      </c>
      <c r="Q69" s="62" t="str">
        <f>IF(Planung!$C$17="","",Planung!$C$17)</f>
        <v/>
      </c>
      <c r="U69" s="67" t="s">
        <v>12</v>
      </c>
      <c r="V69" s="41" t="str">
        <f ca="1">Planung!$L11</f>
        <v>SSV Wildbach</v>
      </c>
      <c r="W69" s="13" t="str">
        <f ca="1">Planung!$N11</f>
        <v>Manchester City</v>
      </c>
      <c r="X69" s="13">
        <f ca="1">IF(AND(Vorrunde!$I17&lt;&gt;"",Vorrunde!$K17&lt;&gt;"",Vorrunde!$F17&lt;&gt;Vorrunde!$H17,$V69&lt;&gt;"",$W69&lt;&gt;""),Vorrunde!$I17,"")</f>
        <v>0</v>
      </c>
      <c r="Y69" s="36">
        <f ca="1">IF(AND(Vorrunde!$I17&lt;&gt;"",Vorrunde!$K17&lt;&gt;"",Vorrunde!$F17&lt;&gt;Vorrunde!$H17,$V69&lt;&gt;"",$W69&lt;&gt;""),Vorrunde!$K17,"")</f>
        <v>5</v>
      </c>
      <c r="Z69" s="35" t="str">
        <f t="shared" ca="1" si="79"/>
        <v>SSV WildbachManchester City</v>
      </c>
      <c r="AA69" s="13">
        <f t="shared" ca="1" si="80"/>
        <v>1</v>
      </c>
      <c r="AB69" s="13" t="str">
        <f ca="1">IF(AA69&gt;0,X69&amp;Sprache!$E$111&amp;Y69,"")</f>
        <v>0:5</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Planung!$L12</f>
        <v>Borussia Dortmund</v>
      </c>
      <c r="W70" s="13" t="str">
        <f ca="1">Planung!$N12</f>
        <v>FSV Rauen</v>
      </c>
      <c r="X70" s="13">
        <f ca="1">IF(AND(Vorrunde!$I18&lt;&gt;"",Vorrunde!$K18&lt;&gt;"",Vorrunde!$F18&lt;&gt;Vorrunde!$H18,$V70&lt;&gt;"",$W70&lt;&gt;""),Vorrunde!$I18,"")</f>
        <v>3</v>
      </c>
      <c r="Y70" s="36">
        <f ca="1">IF(AND(Vorrunde!$I18&lt;&gt;"",Vorrunde!$K18&lt;&gt;"",Vorrunde!$F18&lt;&gt;Vorrunde!$H18,$V70&lt;&gt;"",$W70&lt;&gt;""),Vorrunde!$K18,"")</f>
        <v>1</v>
      </c>
      <c r="Z70" s="35" t="str">
        <f t="shared" ca="1" si="79"/>
        <v>Borussia DortmundFSV Rauen</v>
      </c>
      <c r="AA70" s="13">
        <f t="shared" ca="1" si="80"/>
        <v>1</v>
      </c>
      <c r="AB70" s="13" t="str">
        <f ca="1">IF(AA70&gt;0,X70&amp;Sprache!$E$111&amp;Y70,"")</f>
        <v>3:1</v>
      </c>
      <c r="AD70" s="143"/>
      <c r="AE70" s="148">
        <f ca="1">IF($AA70=0,"",IF($X70&gt;$Y70,Einstellungen!$C$4,IF($X70=$Y70,1,0)))</f>
        <v>3</v>
      </c>
      <c r="AF70" s="143">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HSV</v>
      </c>
      <c r="W71" s="13" t="str">
        <f ca="1">Planung!$N13</f>
        <v>RB Leipzig</v>
      </c>
      <c r="X71" s="13">
        <f ca="1">IF(AND(Vorrunde!$I19&lt;&gt;"",Vorrunde!$K19&lt;&gt;"",Vorrunde!$F19&lt;&gt;Vorrunde!$H19,$V71&lt;&gt;"",$W71&lt;&gt;""),Vorrunde!$I19,"")</f>
        <v>2</v>
      </c>
      <c r="Y71" s="36">
        <f ca="1">IF(AND(Vorrunde!$I19&lt;&gt;"",Vorrunde!$K19&lt;&gt;"",Vorrunde!$F19&lt;&gt;Vorrunde!$H19,$V71&lt;&gt;"",$W71&lt;&gt;""),Vorrunde!$K19,"")</f>
        <v>2</v>
      </c>
      <c r="Z71" s="35" t="str">
        <f t="shared" ca="1" si="79"/>
        <v>HSVRB Leipzig</v>
      </c>
      <c r="AA71" s="13">
        <f t="shared" ca="1" si="80"/>
        <v>1</v>
      </c>
      <c r="AB71" s="13" t="str">
        <f ca="1">IF(AA71&gt;0,X71&amp;Sprache!$E$111&amp;Y71,"")</f>
        <v>2:2</v>
      </c>
      <c r="AD71" s="143"/>
      <c r="AE71" s="148">
        <f ca="1">IF($AA71=0,"",IF($X71&gt;$Y71,Einstellungen!$C$4,IF($X71=$Y71,1,0)))</f>
        <v>1</v>
      </c>
      <c r="AF71" s="143">
        <f ca="1">IF($AA71=0,"",IF($X71&lt;$Y71,Einstellungen!$C$4,IF($X71=$Y71,1,0)))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VFB Essenheim</v>
      </c>
      <c r="W72" s="13" t="str">
        <f ca="1">Planung!$N14</f>
        <v>1. FC Riedwald</v>
      </c>
      <c r="X72" s="13">
        <f ca="1">IF(AND(Vorrunde!$I20&lt;&gt;"",Vorrunde!$K20&lt;&gt;"",Vorrunde!$F20&lt;&gt;Vorrunde!$H20,$V72&lt;&gt;"",$W72&lt;&gt;""),Vorrunde!$I20,"")</f>
        <v>1</v>
      </c>
      <c r="Y72" s="36">
        <f ca="1">IF(AND(Vorrunde!$I20&lt;&gt;"",Vorrunde!$K20&lt;&gt;"",Vorrunde!$F20&lt;&gt;Vorrunde!$H20,$V72&lt;&gt;"",$W72&lt;&gt;""),Vorrunde!$K20,"")</f>
        <v>5</v>
      </c>
      <c r="Z72" s="35" t="str">
        <f t="shared" ca="1" si="79"/>
        <v>VFB Essenheim1. FC Riedwald</v>
      </c>
      <c r="AA72" s="13">
        <f t="shared" ca="1" si="80"/>
        <v>1</v>
      </c>
      <c r="AB72" s="13" t="str">
        <f ca="1">IF(AA72&gt;0,X72&amp;Sprache!$E$111&amp;Y72,"")</f>
        <v>1:5</v>
      </c>
      <c r="AD72" s="143"/>
      <c r="AE72" s="148">
        <f ca="1">IF($AA72=0,"",IF($X72&gt;$Y72,Einstellungen!$C$4,IF($X72=$Y72,1,0)))</f>
        <v>0</v>
      </c>
      <c r="AF72" s="143">
        <f ca="1">IF($AA72=0,"",IF($X72&lt;$Y72,Einstellungen!$C$4,IF($X72=$Y72,1,0)))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Grönlingen</v>
      </c>
      <c r="W73" s="13" t="str">
        <f ca="1">Planung!$N15</f>
        <v>Mainz 05</v>
      </c>
      <c r="X73" s="13">
        <f ca="1">IF(AND(Vorrunde!$I21&lt;&gt;"",Vorrunde!$K21&lt;&gt;"",Vorrunde!$F21&lt;&gt;Vorrunde!$H21,$V73&lt;&gt;"",$W73&lt;&gt;""),Vorrunde!$I21,"")</f>
        <v>0</v>
      </c>
      <c r="Y73" s="36">
        <f ca="1">IF(AND(Vorrunde!$I21&lt;&gt;"",Vorrunde!$K21&lt;&gt;"",Vorrunde!$F21&lt;&gt;Vorrunde!$H21,$V73&lt;&gt;"",$W73&lt;&gt;""),Vorrunde!$K21,"")</f>
        <v>1</v>
      </c>
      <c r="Z73" s="35" t="str">
        <f t="shared" ca="1" si="79"/>
        <v>FC GrönlingenMainz 05</v>
      </c>
      <c r="AA73" s="13">
        <f t="shared" ca="1" si="80"/>
        <v>1</v>
      </c>
      <c r="AB73" s="13" t="str">
        <f ca="1">IF(AA73&gt;0,X73&amp;Sprache!$E$111&amp;Y73,"")</f>
        <v>0:1</v>
      </c>
      <c r="AD73" s="143"/>
      <c r="AE73" s="148">
        <f ca="1">IF($AA73=0,"",IF($X73&gt;$Y73,Einstellungen!$C$4,IF($X73=$Y73,1,0)))</f>
        <v>0</v>
      </c>
      <c r="AF73" s="143">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1. FC Nürnberg</v>
      </c>
      <c r="W74" s="13" t="str">
        <f ca="1">Planung!$N16</f>
        <v>Kickers Rodendorf</v>
      </c>
      <c r="X74" s="13">
        <f ca="1">IF(AND(Vorrunde!$I22&lt;&gt;"",Vorrunde!$K22&lt;&gt;"",Vorrunde!$F22&lt;&gt;Vorrunde!$H22,$V74&lt;&gt;"",$W74&lt;&gt;""),Vorrunde!$I22,"")</f>
        <v>5</v>
      </c>
      <c r="Y74" s="36">
        <f ca="1">IF(AND(Vorrunde!$I22&lt;&gt;"",Vorrunde!$K22&lt;&gt;"",Vorrunde!$F22&lt;&gt;Vorrunde!$H22,$V74&lt;&gt;"",$W74&lt;&gt;""),Vorrunde!$K22,"")</f>
        <v>3</v>
      </c>
      <c r="Z74" s="35" t="str">
        <f ca="1">V74&amp;W74</f>
        <v>1. FC NürnbergKickers Rodendorf</v>
      </c>
      <c r="AA74" s="13">
        <f t="shared" ca="1" si="80"/>
        <v>1</v>
      </c>
      <c r="AB74" s="13" t="str">
        <f ca="1">IF(AA74&gt;0,X74&amp;Sprache!$E$111&amp;Y74,"")</f>
        <v>5:3</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SV Oberredenburg</v>
      </c>
      <c r="W75" s="13" t="str">
        <f ca="1">Planung!$N17</f>
        <v>TSG Saalberg eV</v>
      </c>
      <c r="X75" s="13">
        <f ca="1">IF(AND(Vorrunde!$I23&lt;&gt;"",Vorrunde!$K23&lt;&gt;"",Vorrunde!$F23&lt;&gt;Vorrunde!$H23,$V75&lt;&gt;"",$W75&lt;&gt;""),Vorrunde!$I23,"")</f>
        <v>3</v>
      </c>
      <c r="Y75" s="36">
        <f ca="1">IF(AND(Vorrunde!$I23&lt;&gt;"",Vorrunde!$K23&lt;&gt;"",Vorrunde!$F23&lt;&gt;Vorrunde!$H23,$V75&lt;&gt;"",$W75&lt;&gt;""),Vorrunde!$K23,"")</f>
        <v>2</v>
      </c>
      <c r="Z75" s="35" t="str">
        <f t="shared" ref="Z75:Z93" ca="1" si="81">V75&amp;W75</f>
        <v>SV OberredenburgTSG Saalberg eV</v>
      </c>
      <c r="AA75" s="13">
        <f t="shared" ca="1" si="80"/>
        <v>1</v>
      </c>
      <c r="AB75" s="13" t="str">
        <f ca="1">IF(AA75&gt;0,X75&amp;Sprache!$E$111&amp;Y75,"")</f>
        <v>3:2</v>
      </c>
      <c r="AD75" s="143"/>
      <c r="AE75" s="148">
        <f ca="1">IF($AA75=0,"",IF($X75&gt;$Y75,Einstellungen!$C$4,IF($X75=$Y75,1,0)))</f>
        <v>3</v>
      </c>
      <c r="AF75" s="143">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Eintracht Frankfurt</v>
      </c>
      <c r="X76" s="13">
        <f ca="1">IF(AND(Vorrunde!$I24&lt;&gt;"",Vorrunde!$K24&lt;&gt;"",Vorrunde!$F24&lt;&gt;Vorrunde!$H24,$V76&lt;&gt;"",$W76&lt;&gt;""),Vorrunde!$I24,"")</f>
        <v>2</v>
      </c>
      <c r="Y76" s="36">
        <f ca="1">IF(AND(Vorrunde!$I24&lt;&gt;"",Vorrunde!$K24&lt;&gt;"",Vorrunde!$F24&lt;&gt;Vorrunde!$H24,$V76&lt;&gt;"",$W76&lt;&gt;""),Vorrunde!$K24,"")</f>
        <v>0</v>
      </c>
      <c r="Z76" s="35" t="str">
        <f t="shared" ca="1" si="81"/>
        <v>FC BarcelonaEintracht Frankfurt</v>
      </c>
      <c r="AA76" s="13">
        <f t="shared" ca="1" si="80"/>
        <v>1</v>
      </c>
      <c r="AB76" s="13" t="str">
        <f ca="1">IF(AA76&gt;0,X76&amp;Sprache!$E$111&amp;Y76,"")</f>
        <v>2:0</v>
      </c>
      <c r="AD76" s="143"/>
      <c r="AE76" s="148">
        <f ca="1">IF($AA76=0,"",IF($X76&gt;$Y76,Einstellungen!$C$4,IF($X76=$Y76,1,0)))</f>
        <v>3</v>
      </c>
      <c r="AF76" s="143">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SSV Wildbach</v>
      </c>
      <c r="X77" s="13">
        <f ca="1">IF(AND(Vorrunde!$I25&lt;&gt;"",Vorrunde!$K25&lt;&gt;"",Vorrunde!$F25&lt;&gt;Vorrunde!$H25,$V77&lt;&gt;"",$W77&lt;&gt;""),Vorrunde!$I25,"")</f>
        <v>4</v>
      </c>
      <c r="Y77" s="36">
        <f ca="1">IF(AND(Vorrunde!$I25&lt;&gt;"",Vorrunde!$K25&lt;&gt;"",Vorrunde!$F25&lt;&gt;Vorrunde!$H25,$V77&lt;&gt;"",$W77&lt;&gt;""),Vorrunde!$K25,"")</f>
        <v>0</v>
      </c>
      <c r="Z77" s="35" t="str">
        <f t="shared" ca="1" si="81"/>
        <v>Inter MailandSSV Wildbach</v>
      </c>
      <c r="AA77" s="13">
        <f t="shared" ca="1" si="80"/>
        <v>1</v>
      </c>
      <c r="AB77" s="13" t="str">
        <f ca="1">IF(AA77&gt;0,X77&amp;Sprache!$E$111&amp;Y77,"")</f>
        <v>4:0</v>
      </c>
      <c r="AD77" s="143"/>
      <c r="AE77" s="148">
        <f ca="1">IF($AA77=0,"",IF($X77&gt;$Y77,Einstellungen!$C$4,IF($X77=$Y77,1,0)))</f>
        <v>3</v>
      </c>
      <c r="AF77" s="143">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Planung!$L20</f>
        <v>Real Madrid</v>
      </c>
      <c r="W78" s="13" t="str">
        <f ca="1">Planung!$N20</f>
        <v>Borussia Dortmund</v>
      </c>
      <c r="X78" s="13">
        <f ca="1">IF(AND(Vorrunde!$I26&lt;&gt;"",Vorrunde!$K26&lt;&gt;"",Vorrunde!$F26&lt;&gt;Vorrunde!$H26,$V78&lt;&gt;"",$W78&lt;&gt;""),Vorrunde!$I26,"")</f>
        <v>0</v>
      </c>
      <c r="Y78" s="36">
        <f ca="1">IF(AND(Vorrunde!$I26&lt;&gt;"",Vorrunde!$K26&lt;&gt;"",Vorrunde!$F26&lt;&gt;Vorrunde!$H26,$V78&lt;&gt;"",$W78&lt;&gt;""),Vorrunde!$K26,"")</f>
        <v>1</v>
      </c>
      <c r="Z78" s="35" t="str">
        <f t="shared" ca="1" si="81"/>
        <v>Real MadridBorussia Dortmund</v>
      </c>
      <c r="AA78" s="13">
        <f t="shared" ca="1" si="80"/>
        <v>1</v>
      </c>
      <c r="AB78" s="13" t="str">
        <f ca="1">IF(AA78&gt;0,X78&amp;Sprache!$E$111&amp;Y78,"")</f>
        <v>0:1</v>
      </c>
      <c r="AD78" s="143"/>
      <c r="AE78" s="148">
        <f ca="1">IF($AA78=0,"",IF($X78&gt;$Y78,Einstellungen!$C$4,IF($X78=$Y78,1,0)))</f>
        <v>0</v>
      </c>
      <c r="AF78" s="143">
        <f ca="1">IF($AA78=0,"",IF($X78&lt;$Y78,Einstellungen!$C$4,IF($X78=$Y78,1,0)))</f>
        <v>3</v>
      </c>
    </row>
    <row r="79" spans="2:43" s="2" customFormat="1" x14ac:dyDescent="0.2">
      <c r="B79" s="4"/>
      <c r="C79" s="4"/>
      <c r="D79" s="4"/>
      <c r="E79" s="4"/>
      <c r="F79" s="13"/>
      <c r="G79" s="13"/>
      <c r="H79" s="13"/>
      <c r="I79" s="13"/>
      <c r="J79" s="13"/>
      <c r="K79" s="13"/>
      <c r="L79" s="13"/>
      <c r="M79" s="13"/>
      <c r="U79" s="67" t="s">
        <v>31</v>
      </c>
      <c r="V79" s="41" t="str">
        <f ca="1">Planung!$L21</f>
        <v>Paris St. Germain</v>
      </c>
      <c r="W79" s="13" t="str">
        <f ca="1">Planung!$N21</f>
        <v>HSV</v>
      </c>
      <c r="X79" s="13">
        <f ca="1">IF(AND(Vorrunde!$I27&lt;&gt;"",Vorrunde!$K27&lt;&gt;"",Vorrunde!$F27&lt;&gt;Vorrunde!$H27,$V79&lt;&gt;"",$W79&lt;&gt;""),Vorrunde!$I27,"")</f>
        <v>3</v>
      </c>
      <c r="Y79" s="36">
        <f ca="1">IF(AND(Vorrunde!$I27&lt;&gt;"",Vorrunde!$K27&lt;&gt;"",Vorrunde!$F27&lt;&gt;Vorrunde!$H27,$V79&lt;&gt;"",$W79&lt;&gt;""),Vorrunde!$K27,"")</f>
        <v>2</v>
      </c>
      <c r="Z79" s="35" t="str">
        <f t="shared" ca="1" si="81"/>
        <v>Paris St. GermainHSV</v>
      </c>
      <c r="AA79" s="13">
        <f t="shared" ca="1" si="80"/>
        <v>1</v>
      </c>
      <c r="AB79" s="13" t="str">
        <f ca="1">IF(AA79&gt;0,X79&amp;Sprache!$E$111&amp;Y79,"")</f>
        <v>3:2</v>
      </c>
      <c r="AD79" s="143"/>
      <c r="AE79" s="148">
        <f ca="1">IF($AA79=0,"",IF($X79&gt;$Y79,Einstellungen!$C$4,IF($X79=$Y79,1,0)))</f>
        <v>3</v>
      </c>
      <c r="AF79" s="143">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1. FC Riedwald</v>
      </c>
      <c r="W80" s="13" t="str">
        <f ca="1">Planung!$N22</f>
        <v>Maibach 1822 eV</v>
      </c>
      <c r="X80" s="13">
        <f ca="1">IF(AND(Vorrunde!$I28&lt;&gt;"",Vorrunde!$K28&lt;&gt;"",Vorrunde!$F28&lt;&gt;Vorrunde!$H28,$V80&lt;&gt;"",$W80&lt;&gt;""),Vorrunde!$I28,"")</f>
        <v>2</v>
      </c>
      <c r="Y80" s="36">
        <f ca="1">IF(AND(Vorrunde!$I28&lt;&gt;"",Vorrunde!$K28&lt;&gt;"",Vorrunde!$F28&lt;&gt;Vorrunde!$H28,$V80&lt;&gt;"",$W80&lt;&gt;""),Vorrunde!$K28,"")</f>
        <v>2</v>
      </c>
      <c r="Z80" s="35" t="str">
        <f t="shared" ca="1" si="81"/>
        <v>1. FC RiedwaldMaibach 1822 eV</v>
      </c>
      <c r="AA80" s="13">
        <f t="shared" ca="1" si="80"/>
        <v>1</v>
      </c>
      <c r="AB80" s="13" t="str">
        <f ca="1">IF(AA80&gt;0,X80&amp;Sprache!$E$111&amp;Y80,"")</f>
        <v>2:2</v>
      </c>
      <c r="AD80" s="143"/>
      <c r="AE80" s="148">
        <f ca="1">IF($AA80=0,"",IF($X80&gt;$Y80,Einstellungen!$C$4,IF($X80=$Y80,1,0)))</f>
        <v>1</v>
      </c>
      <c r="AF80" s="143">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Mainz 05</v>
      </c>
      <c r="W81" s="13" t="str">
        <f ca="1">Planung!$N23</f>
        <v>Manchester City</v>
      </c>
      <c r="X81" s="13">
        <f ca="1">IF(AND(Vorrunde!$I29&lt;&gt;"",Vorrunde!$K29&lt;&gt;"",Vorrunde!$F29&lt;&gt;Vorrunde!$H29,$V81&lt;&gt;"",$W81&lt;&gt;""),Vorrunde!$I29,"")</f>
        <v>0</v>
      </c>
      <c r="Y81" s="36">
        <f ca="1">IF(AND(Vorrunde!$I29&lt;&gt;"",Vorrunde!$K29&lt;&gt;"",Vorrunde!$F29&lt;&gt;Vorrunde!$H29,$V81&lt;&gt;"",$W81&lt;&gt;""),Vorrunde!$K29,"")</f>
        <v>1</v>
      </c>
      <c r="Z81" s="35" t="str">
        <f t="shared" ca="1" si="81"/>
        <v>Mainz 05Manchester City</v>
      </c>
      <c r="AA81" s="13">
        <f t="shared" ca="1" si="80"/>
        <v>1</v>
      </c>
      <c r="AB81" s="13" t="str">
        <f ca="1">IF(AA81&gt;0,X81&amp;Sprache!$E$111&amp;Y81,"")</f>
        <v>0:1</v>
      </c>
      <c r="AD81" s="143"/>
      <c r="AE81" s="148">
        <f ca="1">IF($AA81=0,"",IF($X81&gt;$Y81,Einstellungen!$C$4,IF($X81=$Y81,1,0)))</f>
        <v>0</v>
      </c>
      <c r="AF81" s="143">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Planung!$L24</f>
        <v>Kickers Rodendorf</v>
      </c>
      <c r="W82" s="13" t="str">
        <f ca="1">Planung!$N24</f>
        <v>FSV Rauen</v>
      </c>
      <c r="X82" s="13">
        <f ca="1">IF(AND(Vorrunde!$I30&lt;&gt;"",Vorrunde!$K30&lt;&gt;"",Vorrunde!$F30&lt;&gt;Vorrunde!$H30,$V82&lt;&gt;"",$W82&lt;&gt;""),Vorrunde!$I30,"")</f>
        <v>2</v>
      </c>
      <c r="Y82" s="36">
        <f ca="1">IF(AND(Vorrunde!$I30&lt;&gt;"",Vorrunde!$K30&lt;&gt;"",Vorrunde!$F30&lt;&gt;Vorrunde!$H30,$V82&lt;&gt;"",$W82&lt;&gt;""),Vorrunde!$K30,"")</f>
        <v>1</v>
      </c>
      <c r="Z82" s="35" t="str">
        <f t="shared" ca="1" si="81"/>
        <v>Kickers RodendorfFSV Rauen</v>
      </c>
      <c r="AA82" s="13">
        <f t="shared" ca="1" si="80"/>
        <v>1</v>
      </c>
      <c r="AB82" s="13" t="str">
        <f ca="1">IF(AA82&gt;0,X82&amp;Sprache!$E$111&amp;Y82,"")</f>
        <v>2:1</v>
      </c>
      <c r="AD82" s="143"/>
      <c r="AE82" s="148">
        <f ca="1">IF($AA82=0,"",IF($X82&gt;$Y82,Einstellungen!$C$4,IF($X82=$Y82,1,0)))</f>
        <v>3</v>
      </c>
      <c r="AF82" s="143">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TSG Saalberg eV</v>
      </c>
      <c r="W83" s="13" t="str">
        <f ca="1">Planung!$N25</f>
        <v>RB Leipzig</v>
      </c>
      <c r="X83" s="13">
        <f ca="1">IF(AND(Vorrunde!$I31&lt;&gt;"",Vorrunde!$K31&lt;&gt;"",Vorrunde!$F31&lt;&gt;Vorrunde!$H31,$V83&lt;&gt;"",$W83&lt;&gt;""),Vorrunde!$I31,"")</f>
        <v>1</v>
      </c>
      <c r="Y83" s="36">
        <f ca="1">IF(AND(Vorrunde!$I31&lt;&gt;"",Vorrunde!$K31&lt;&gt;"",Vorrunde!$F31&lt;&gt;Vorrunde!$H31,$V83&lt;&gt;"",$W83&lt;&gt;""),Vorrunde!$K31,"")</f>
        <v>4</v>
      </c>
      <c r="Z83" s="35" t="str">
        <f t="shared" ca="1" si="81"/>
        <v>TSG Saalberg eVRB Leipzig</v>
      </c>
      <c r="AA83" s="13">
        <f t="shared" ca="1" si="80"/>
        <v>1</v>
      </c>
      <c r="AB83" s="13" t="str">
        <f ca="1">IF(AA83&gt;0,X83&amp;Sprache!$E$111&amp;Y83,"")</f>
        <v>1:4</v>
      </c>
      <c r="AD83" s="143"/>
      <c r="AE83" s="148">
        <f ca="1">IF($AA83=0,"",IF($X83&gt;$Y83,Einstellungen!$C$4,IF($X83=$Y83,1,0)))</f>
        <v>0</v>
      </c>
      <c r="AF83" s="143">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Eintracht Frankfurt</v>
      </c>
      <c r="W84" s="13" t="str">
        <f ca="1">Planung!$N26</f>
        <v>VFB Essenheim</v>
      </c>
      <c r="X84" s="13">
        <f ca="1">IF(AND(Vorrunde!$I32&lt;&gt;"",Vorrunde!$K32&lt;&gt;"",Vorrunde!$F32&lt;&gt;Vorrunde!$H32,$V84&lt;&gt;"",$W84&lt;&gt;""),Vorrunde!$I32,"")</f>
        <v>3</v>
      </c>
      <c r="Y84" s="36">
        <f ca="1">IF(AND(Vorrunde!$I32&lt;&gt;"",Vorrunde!$K32&lt;&gt;"",Vorrunde!$F32&lt;&gt;Vorrunde!$H32,$V84&lt;&gt;"",$W84&lt;&gt;""),Vorrunde!$K32,"")</f>
        <v>2</v>
      </c>
      <c r="Z84" s="35" t="str">
        <f t="shared" ca="1" si="81"/>
        <v>Eintracht FrankfurtVFB Essenheim</v>
      </c>
      <c r="AA84" s="13">
        <f t="shared" ca="1" si="80"/>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SSV Wildbach</v>
      </c>
      <c r="W85" s="13" t="str">
        <f ca="1">Planung!$N27</f>
        <v>FC Grönlingen</v>
      </c>
      <c r="X85" s="13">
        <f ca="1">IF(AND(Vorrunde!$I33&lt;&gt;"",Vorrunde!$K33&lt;&gt;"",Vorrunde!$F33&lt;&gt;Vorrunde!$H33,$V85&lt;&gt;"",$W85&lt;&gt;""),Vorrunde!$I33,"")</f>
        <v>1</v>
      </c>
      <c r="Y85" s="36">
        <f ca="1">IF(AND(Vorrunde!$I33&lt;&gt;"",Vorrunde!$K33&lt;&gt;"",Vorrunde!$F33&lt;&gt;Vorrunde!$H33,$V85&lt;&gt;"",$W85&lt;&gt;""),Vorrunde!$K33,"")</f>
        <v>4</v>
      </c>
      <c r="Z85" s="35" t="str">
        <f t="shared" ca="1" si="81"/>
        <v>SSV WildbachFC Grönlingen</v>
      </c>
      <c r="AA85" s="13">
        <f t="shared" ca="1" si="80"/>
        <v>1</v>
      </c>
      <c r="AB85" s="13" t="str">
        <f ca="1">IF(AA85&gt;0,X85&amp;Sprache!$E$111&amp;Y85,"")</f>
        <v>1:4</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Planung!$L28</f>
        <v>Borussia Dortmund</v>
      </c>
      <c r="W86" s="13" t="str">
        <f ca="1">Planung!$N28</f>
        <v>1. FC Nürnberg</v>
      </c>
      <c r="X86" s="13">
        <f ca="1">IF(AND(Vorrunde!$I34&lt;&gt;"",Vorrunde!$K34&lt;&gt;"",Vorrunde!$F34&lt;&gt;Vorrunde!$H34,$V86&lt;&gt;"",$W86&lt;&gt;""),Vorrunde!$I34,"")</f>
        <v>2</v>
      </c>
      <c r="Y86" s="36">
        <f ca="1">IF(AND(Vorrunde!$I34&lt;&gt;"",Vorrunde!$K34&lt;&gt;"",Vorrunde!$F34&lt;&gt;Vorrunde!$H34,$V86&lt;&gt;"",$W86&lt;&gt;""),Vorrunde!$K34,"")</f>
        <v>2</v>
      </c>
      <c r="Z86" s="35" t="str">
        <f t="shared" ca="1" si="81"/>
        <v>Borussia Dortmund1. FC Nürnberg</v>
      </c>
      <c r="AA86" s="13">
        <f t="shared" ca="1" si="80"/>
        <v>1</v>
      </c>
      <c r="AB86" s="13" t="str">
        <f ca="1">IF(AA86&gt;0,X86&amp;Sprache!$E$111&amp;Y86,"")</f>
        <v>2:2</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Planung!$L29</f>
        <v>HSV</v>
      </c>
      <c r="W87" s="13" t="str">
        <f ca="1">Planung!$N29</f>
        <v>SV Oberredenburg</v>
      </c>
      <c r="X87" s="13">
        <f ca="1">IF(AND(Vorrunde!$I35&lt;&gt;"",Vorrunde!$K35&lt;&gt;"",Vorrunde!$F35&lt;&gt;Vorrunde!$H35,$V87&lt;&gt;"",$W87&lt;&gt;""),Vorrunde!$I35,"")</f>
        <v>1</v>
      </c>
      <c r="Y87" s="36">
        <f ca="1">IF(AND(Vorrunde!$I35&lt;&gt;"",Vorrunde!$K35&lt;&gt;"",Vorrunde!$F35&lt;&gt;Vorrunde!$H35,$V87&lt;&gt;"",$W87&lt;&gt;""),Vorrunde!$K35,"")</f>
        <v>0</v>
      </c>
      <c r="Z87" s="35" t="str">
        <f t="shared" ca="1" si="81"/>
        <v>HSVSV Oberredenburg</v>
      </c>
      <c r="AA87" s="13">
        <f t="shared" ca="1" si="80"/>
        <v>1</v>
      </c>
      <c r="AB87" s="13" t="str">
        <f ca="1">IF(AA87&gt;0,X87&amp;Sprache!$E$111&amp;Y87,"")</f>
        <v>1:0</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FC Barcelona</v>
      </c>
      <c r="W88" s="13" t="str">
        <f ca="1">Planung!$N30</f>
        <v>Maibach 1822 eV</v>
      </c>
      <c r="X88" s="13">
        <f ca="1">IF(AND(Vorrunde!$I36&lt;&gt;"",Vorrunde!$K36&lt;&gt;"",Vorrunde!$F36&lt;&gt;Vorrunde!$H36,$V88&lt;&gt;"",$W88&lt;&gt;""),Vorrunde!$I36,"")</f>
        <v>3</v>
      </c>
      <c r="Y88" s="36">
        <f ca="1">IF(AND(Vorrunde!$I36&lt;&gt;"",Vorrunde!$K36&lt;&gt;"",Vorrunde!$F36&lt;&gt;Vorrunde!$H36,$V88&lt;&gt;"",$W88&lt;&gt;""),Vorrunde!$K36,"")</f>
        <v>1</v>
      </c>
      <c r="Z88" s="35" t="str">
        <f t="shared" ca="1" si="81"/>
        <v>FC BarcelonaMaibach 1822 eV</v>
      </c>
      <c r="AA88" s="13">
        <f t="shared" ca="1" si="80"/>
        <v>1</v>
      </c>
      <c r="AB88" s="13" t="str">
        <f ca="1">IF(AA88&gt;0,X88&amp;Sprache!$E$111&amp;Y88,"")</f>
        <v>3:1</v>
      </c>
      <c r="AD88" s="143"/>
      <c r="AE88" s="148">
        <f ca="1">IF($AA88=0,"",IF($X88&gt;$Y88,Einstellungen!$C$4,IF($X88=$Y88,1,0)))</f>
        <v>3</v>
      </c>
      <c r="AF88" s="143">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Inter Mailand</v>
      </c>
      <c r="W89" s="13" t="str">
        <f ca="1">Planung!$N31</f>
        <v>Manchester City</v>
      </c>
      <c r="X89" s="13">
        <f ca="1">IF(AND(Vorrunde!$I37&lt;&gt;"",Vorrunde!$K37&lt;&gt;"",Vorrunde!$F37&lt;&gt;Vorrunde!$H37,$V89&lt;&gt;"",$W89&lt;&gt;""),Vorrunde!$I37,"")</f>
        <v>2</v>
      </c>
      <c r="Y89" s="36">
        <f ca="1">IF(AND(Vorrunde!$I37&lt;&gt;"",Vorrunde!$K37&lt;&gt;"",Vorrunde!$F37&lt;&gt;Vorrunde!$H37,$V89&lt;&gt;"",$W89&lt;&gt;""),Vorrunde!$K37,"")</f>
        <v>2</v>
      </c>
      <c r="Z89" s="35" t="str">
        <f t="shared" ca="1" si="81"/>
        <v>Inter MailandManchester City</v>
      </c>
      <c r="AA89" s="13">
        <f t="shared" ca="1" si="80"/>
        <v>1</v>
      </c>
      <c r="AB89" s="13" t="str">
        <f ca="1">IF(AA89&gt;0,X89&amp;Sprache!$E$111&amp;Y89,"")</f>
        <v>2:2</v>
      </c>
      <c r="AD89" s="143"/>
      <c r="AE89" s="148">
        <f ca="1">IF($AA89=0,"",IF($X89&gt;$Y89,Einstellungen!$C$4,IF($X89=$Y89,1,0)))</f>
        <v>1</v>
      </c>
      <c r="AF89" s="143">
        <f ca="1">IF($AA89=0,"",IF($X89&lt;$Y89,Einstellungen!$C$4,IF($X89=$Y89,1,0)))</f>
        <v>1</v>
      </c>
    </row>
    <row r="90" spans="2:32" s="2" customFormat="1" x14ac:dyDescent="0.2">
      <c r="B90" s="4"/>
      <c r="C90" s="4"/>
      <c r="D90" s="4"/>
      <c r="E90" s="4"/>
      <c r="F90" s="13"/>
      <c r="G90" s="13"/>
      <c r="H90" s="13"/>
      <c r="I90" s="13"/>
      <c r="J90" s="13"/>
      <c r="K90" s="13"/>
      <c r="L90" s="13"/>
      <c r="M90" s="13"/>
      <c r="U90" s="67" t="s">
        <v>42</v>
      </c>
      <c r="V90" s="41" t="str">
        <f ca="1">Planung!$L32</f>
        <v>Real Madrid</v>
      </c>
      <c r="W90" s="13" t="str">
        <f ca="1">Planung!$N32</f>
        <v>FSV Rauen</v>
      </c>
      <c r="X90" s="13">
        <f ca="1">IF(AND(Vorrunde!$I38&lt;&gt;"",Vorrunde!$K38&lt;&gt;"",Vorrunde!$F38&lt;&gt;Vorrunde!$H38,$V90&lt;&gt;"",$W90&lt;&gt;""),Vorrunde!$I38,"")</f>
        <v>4</v>
      </c>
      <c r="Y90" s="36">
        <f ca="1">IF(AND(Vorrunde!$I38&lt;&gt;"",Vorrunde!$K38&lt;&gt;"",Vorrunde!$F38&lt;&gt;Vorrunde!$H38,$V90&lt;&gt;"",$W90&lt;&gt;""),Vorrunde!$K38,"")</f>
        <v>0</v>
      </c>
      <c r="Z90" s="35" t="str">
        <f t="shared" ca="1" si="81"/>
        <v>Real MadridFSV Rauen</v>
      </c>
      <c r="AA90" s="13">
        <f t="shared" ca="1" si="80"/>
        <v>1</v>
      </c>
      <c r="AB90" s="13" t="str">
        <f ca="1">IF(AA90&gt;0,X90&amp;Sprache!$E$111&amp;Y90,"")</f>
        <v>4:0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Planung!$L33</f>
        <v>Paris St. Germain</v>
      </c>
      <c r="W91" s="13" t="str">
        <f ca="1">Planung!$N33</f>
        <v>RB Leipzig</v>
      </c>
      <c r="X91" s="13">
        <f ca="1">IF(AND(Vorrunde!$I39&lt;&gt;"",Vorrunde!$K39&lt;&gt;"",Vorrunde!$F39&lt;&gt;Vorrunde!$H39,$V91&lt;&gt;"",$W91&lt;&gt;""),Vorrunde!$I39,"")</f>
        <v>3</v>
      </c>
      <c r="Y91" s="36">
        <f ca="1">IF(AND(Vorrunde!$I39&lt;&gt;"",Vorrunde!$K39&lt;&gt;"",Vorrunde!$F39&lt;&gt;Vorrunde!$H39,$V91&lt;&gt;"",$W91&lt;&gt;""),Vorrunde!$K39,"")</f>
        <v>1</v>
      </c>
      <c r="Z91" s="35" t="str">
        <f t="shared" ca="1" si="81"/>
        <v>Paris St. GermainRB Leipzig</v>
      </c>
      <c r="AA91" s="13">
        <f t="shared" ca="1" si="80"/>
        <v>1</v>
      </c>
      <c r="AB91" s="13" t="str">
        <f ca="1">IF(AA91&gt;0,X91&amp;Sprache!$E$111&amp;Y91,"")</f>
        <v>3:1</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Planung!$L34</f>
        <v>Eintracht Frankfurt</v>
      </c>
      <c r="W92" s="13" t="str">
        <f ca="1">Planung!$N34</f>
        <v>1. FC Riedwald</v>
      </c>
      <c r="X92" s="13">
        <f ca="1">IF(AND(Vorrunde!$I40&lt;&gt;"",Vorrunde!$K40&lt;&gt;"",Vorrunde!$F40&lt;&gt;Vorrunde!$H40,$V92&lt;&gt;"",$W92&lt;&gt;""),Vorrunde!$I40,"")</f>
        <v>6</v>
      </c>
      <c r="Y92" s="36">
        <f ca="1">IF(AND(Vorrunde!$I40&lt;&gt;"",Vorrunde!$K40&lt;&gt;"",Vorrunde!$F40&lt;&gt;Vorrunde!$H40,$V92&lt;&gt;"",$W92&lt;&gt;""),Vorrunde!$K40,"")</f>
        <v>2</v>
      </c>
      <c r="Z92" s="35" t="str">
        <f t="shared" ca="1" si="81"/>
        <v>Eintracht Frankfurt1. FC Riedwald</v>
      </c>
      <c r="AA92" s="13">
        <f t="shared" ca="1" si="80"/>
        <v>1</v>
      </c>
      <c r="AB92" s="13" t="str">
        <f ca="1">IF(AA92&gt;0,X92&amp;Sprache!$E$111&amp;Y92,"")</f>
        <v>6:2</v>
      </c>
      <c r="AD92" s="143"/>
      <c r="AE92" s="148">
        <f ca="1">IF($AA92=0,"",IF($X92&gt;$Y92,Einstellungen!$C$4,IF($X92=$Y92,1,0)))</f>
        <v>3</v>
      </c>
      <c r="AF92" s="143">
        <f ca="1">IF($AA92=0,"",IF($X92&lt;$Y92,Einstellungen!$C$4,IF($X92=$Y92,1,0)))</f>
        <v>0</v>
      </c>
    </row>
    <row r="93" spans="2:32" s="2" customFormat="1" x14ac:dyDescent="0.2">
      <c r="B93" s="4"/>
      <c r="C93" s="4"/>
      <c r="D93" s="4"/>
      <c r="E93" s="4"/>
      <c r="F93" s="13"/>
      <c r="G93" s="13"/>
      <c r="H93" s="13"/>
      <c r="I93" s="13"/>
      <c r="J93" s="13"/>
      <c r="K93" s="13"/>
      <c r="L93" s="13"/>
      <c r="M93" s="13"/>
      <c r="U93" s="67" t="s">
        <v>45</v>
      </c>
      <c r="V93" s="41" t="str">
        <f ca="1">Planung!$L35</f>
        <v>SSV Wildbach</v>
      </c>
      <c r="W93" s="13" t="str">
        <f ca="1">Planung!$N35</f>
        <v>Mainz 05</v>
      </c>
      <c r="X93" s="13">
        <f ca="1">IF(AND(Vorrunde!$I41&lt;&gt;"",Vorrunde!$K41&lt;&gt;"",Vorrunde!$F41&lt;&gt;Vorrunde!$H41,$V93&lt;&gt;"",$W93&lt;&gt;""),Vorrunde!$I41,"")</f>
        <v>2</v>
      </c>
      <c r="Y93" s="36">
        <f ca="1">IF(AND(Vorrunde!$I41&lt;&gt;"",Vorrunde!$K41&lt;&gt;"",Vorrunde!$F41&lt;&gt;Vorrunde!$H41,$V93&lt;&gt;"",$W93&lt;&gt;""),Vorrunde!$K41,"")</f>
        <v>2</v>
      </c>
      <c r="Z93" s="35" t="str">
        <f t="shared" ca="1" si="81"/>
        <v>SSV WildbachMainz 05</v>
      </c>
      <c r="AA93" s="13">
        <f t="shared" ca="1" si="80"/>
        <v>1</v>
      </c>
      <c r="AB93" s="13" t="str">
        <f ca="1">IF(AA93&gt;0,X93&amp;Sprache!$E$111&amp;Y93,"")</f>
        <v>2:2</v>
      </c>
      <c r="AD93" s="143"/>
      <c r="AE93" s="148">
        <f ca="1">IF($AA93=0,"",IF($X93&gt;$Y93,Einstellungen!$C$4,IF($X93=$Y93,1,0)))</f>
        <v>1</v>
      </c>
      <c r="AF93" s="143">
        <f ca="1">IF($AA93=0,"",IF($X93&lt;$Y93,Einstellungen!$C$4,IF($X93=$Y93,1,0)))</f>
        <v>1</v>
      </c>
    </row>
    <row r="94" spans="2:32" s="2" customFormat="1" x14ac:dyDescent="0.2">
      <c r="B94" s="4"/>
      <c r="C94" s="4"/>
      <c r="D94" s="4"/>
      <c r="E94" s="4"/>
      <c r="F94" s="13"/>
      <c r="G94" s="13"/>
      <c r="H94" s="13"/>
      <c r="I94" s="13"/>
      <c r="J94" s="13"/>
      <c r="K94" s="13"/>
      <c r="L94" s="13"/>
      <c r="M94" s="13"/>
      <c r="U94" s="67" t="s">
        <v>46</v>
      </c>
      <c r="V94" s="41" t="str">
        <f ca="1">Planung!$L36</f>
        <v>Borussia Dortmund</v>
      </c>
      <c r="W94" s="13" t="str">
        <f ca="1">Planung!$N36</f>
        <v>Kickers Rodendorf</v>
      </c>
      <c r="X94" s="13">
        <f ca="1">IF(AND(Vorrunde!$I42&lt;&gt;"",Vorrunde!$K42&lt;&gt;"",Vorrunde!$F42&lt;&gt;Vorrunde!$H42,$V94&lt;&gt;"",$W94&lt;&gt;""),Vorrunde!$I42,"")</f>
        <v>4</v>
      </c>
      <c r="Y94" s="36">
        <f ca="1">IF(AND(Vorrunde!$I42&lt;&gt;"",Vorrunde!$K42&lt;&gt;"",Vorrunde!$F42&lt;&gt;Vorrunde!$H42,$V94&lt;&gt;"",$W94&lt;&gt;""),Vorrunde!$K42,"")</f>
        <v>1</v>
      </c>
      <c r="Z94" s="35" t="str">
        <f t="shared" ref="Z94:Z123" ca="1" si="82">V94&amp;W94</f>
        <v>Borussia DortmundKickers Rodendorf</v>
      </c>
      <c r="AA94" s="13">
        <f t="shared" ref="AA94:AA124" ca="1" si="83">IF(AND(V94&lt;&gt;"",W94&lt;&gt;"",V94&lt;&gt;W94,X94&lt;&gt;"",Y94&lt;&gt;""),1,0)</f>
        <v>1</v>
      </c>
      <c r="AB94" s="13" t="str">
        <f ca="1">IF(AA94&gt;0,X94&amp;Sprache!$E$111&amp;Y94,"")</f>
        <v>4:1</v>
      </c>
      <c r="AD94" s="143"/>
      <c r="AE94" s="148">
        <f ca="1">IF($AA94=0,"",IF($X94&gt;$Y94,Einstellungen!$C$4,IF($X94=$Y94,1,0)))</f>
        <v>3</v>
      </c>
      <c r="AF94" s="143">
        <f ca="1">IF($AA94=0,"",IF($X94&lt;$Y94,Einstellungen!$C$4,IF($X94=$Y94,1,0)))</f>
        <v>0</v>
      </c>
    </row>
    <row r="95" spans="2:32" s="2" customFormat="1" x14ac:dyDescent="0.2">
      <c r="B95" s="4"/>
      <c r="C95" s="4"/>
      <c r="D95" s="4"/>
      <c r="E95" s="4"/>
      <c r="F95" s="13"/>
      <c r="G95" s="13"/>
      <c r="H95" s="13"/>
      <c r="I95" s="13"/>
      <c r="J95" s="13"/>
      <c r="K95" s="13"/>
      <c r="L95" s="13"/>
      <c r="M95" s="13"/>
      <c r="U95" s="67" t="s">
        <v>47</v>
      </c>
      <c r="V95" s="41" t="str">
        <f ca="1">Planung!$L37</f>
        <v>HSV</v>
      </c>
      <c r="W95" s="13" t="str">
        <f ca="1">Planung!$N37</f>
        <v>TSG Saalberg eV</v>
      </c>
      <c r="X95" s="13">
        <f ca="1">IF(AND(Vorrunde!$I43&lt;&gt;"",Vorrunde!$K43&lt;&gt;"",Vorrunde!$F43&lt;&gt;Vorrunde!$H43,$V95&lt;&gt;"",$W95&lt;&gt;""),Vorrunde!$I43,"")</f>
        <v>3</v>
      </c>
      <c r="Y95" s="36">
        <f ca="1">IF(AND(Vorrunde!$I43&lt;&gt;"",Vorrunde!$K43&lt;&gt;"",Vorrunde!$F43&lt;&gt;Vorrunde!$H43,$V95&lt;&gt;"",$W95&lt;&gt;""),Vorrunde!$K43,"")</f>
        <v>2</v>
      </c>
      <c r="Z95" s="35" t="str">
        <f t="shared" ca="1" si="82"/>
        <v>HSVTSG Saalberg eV</v>
      </c>
      <c r="AA95" s="13">
        <f t="shared" ca="1" si="83"/>
        <v>1</v>
      </c>
      <c r="AB95" s="13" t="str">
        <f ca="1">IF(AA95&gt;0,X95&amp;Sprache!$E$111&amp;Y95,"")</f>
        <v>3:2</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Planung!$L38</f>
        <v>Maibach 1822 eV</v>
      </c>
      <c r="W96" s="13" t="str">
        <f ca="1">Planung!$N38</f>
        <v>VFB Essenheim</v>
      </c>
      <c r="X96" s="13">
        <f ca="1">IF(AND(Vorrunde!$I44&lt;&gt;"",Vorrunde!$K44&lt;&gt;"",Vorrunde!$F44&lt;&gt;Vorrunde!$H44,$V96&lt;&gt;"",$W96&lt;&gt;""),Vorrunde!$I44,"")</f>
        <v>3</v>
      </c>
      <c r="Y96" s="36">
        <f ca="1">IF(AND(Vorrunde!$I44&lt;&gt;"",Vorrunde!$K44&lt;&gt;"",Vorrunde!$F44&lt;&gt;Vorrunde!$H44,$V96&lt;&gt;"",$W96&lt;&gt;""),Vorrunde!$K44,"")</f>
        <v>5</v>
      </c>
      <c r="Z96" s="35" t="str">
        <f t="shared" ca="1" si="82"/>
        <v>Maibach 1822 eVVFB Essenheim</v>
      </c>
      <c r="AA96" s="13">
        <f t="shared" ca="1" si="83"/>
        <v>1</v>
      </c>
      <c r="AB96" s="13" t="str">
        <f ca="1">IF(AA96&gt;0,X96&amp;Sprache!$E$111&amp;Y96,"")</f>
        <v>3:5</v>
      </c>
      <c r="AD96" s="143"/>
      <c r="AE96" s="148">
        <f ca="1">IF($AA96=0,"",IF($X96&gt;$Y96,Einstellungen!$C$4,IF($X96=$Y96,1,0)))</f>
        <v>0</v>
      </c>
      <c r="AF96" s="143">
        <f ca="1">IF($AA96=0,"",IF($X96&lt;$Y96,Einstellungen!$C$4,IF($X96=$Y96,1,0)))</f>
        <v>3</v>
      </c>
    </row>
    <row r="97" spans="2:32" s="2" customFormat="1" x14ac:dyDescent="0.2">
      <c r="B97" s="4"/>
      <c r="C97" s="4"/>
      <c r="D97" s="4"/>
      <c r="E97" s="4"/>
      <c r="F97" s="13"/>
      <c r="G97" s="13"/>
      <c r="H97" s="13"/>
      <c r="I97" s="13"/>
      <c r="J97" s="13"/>
      <c r="K97" s="13"/>
      <c r="L97" s="13"/>
      <c r="M97" s="13"/>
      <c r="U97" s="67" t="s">
        <v>49</v>
      </c>
      <c r="V97" s="41" t="str">
        <f ca="1">Planung!$L39</f>
        <v>Manchester City</v>
      </c>
      <c r="W97" s="13" t="str">
        <f ca="1">Planung!$N39</f>
        <v>FC Grönlingen</v>
      </c>
      <c r="X97" s="13">
        <f ca="1">IF(AND(Vorrunde!$I45&lt;&gt;"",Vorrunde!$K45&lt;&gt;"",Vorrunde!$F45&lt;&gt;Vorrunde!$H45,$V97&lt;&gt;"",$W97&lt;&gt;""),Vorrunde!$I45,"")</f>
        <v>4</v>
      </c>
      <c r="Y97" s="36">
        <f ca="1">IF(AND(Vorrunde!$I45&lt;&gt;"",Vorrunde!$K45&lt;&gt;"",Vorrunde!$F45&lt;&gt;Vorrunde!$H45,$V97&lt;&gt;"",$W97&lt;&gt;""),Vorrunde!$K45,"")</f>
        <v>2</v>
      </c>
      <c r="Z97" s="35" t="str">
        <f t="shared" ca="1" si="82"/>
        <v>Manchester CityFC Grönlingen</v>
      </c>
      <c r="AA97" s="13">
        <f t="shared" ca="1" si="83"/>
        <v>1</v>
      </c>
      <c r="AB97" s="13" t="str">
        <f ca="1">IF(AA97&gt;0,X97&amp;Sprache!$E$111&amp;Y97,"")</f>
        <v>4:2</v>
      </c>
      <c r="AD97" s="143"/>
      <c r="AE97" s="148">
        <f ca="1">IF($AA97=0,"",IF($X97&gt;$Y97,Einstellungen!$C$4,IF($X97=$Y97,1,0)))</f>
        <v>3</v>
      </c>
      <c r="AF97" s="143">
        <f ca="1">IF($AA97=0,"",IF($X97&lt;$Y97,Einstellungen!$C$4,IF($X97=$Y97,1,0)))</f>
        <v>0</v>
      </c>
    </row>
    <row r="98" spans="2:32" s="2" customFormat="1" x14ac:dyDescent="0.2">
      <c r="B98" s="4"/>
      <c r="C98" s="4"/>
      <c r="D98" s="4"/>
      <c r="E98" s="4"/>
      <c r="F98" s="13"/>
      <c r="G98" s="13"/>
      <c r="H98" s="13"/>
      <c r="I98" s="13"/>
      <c r="J98" s="13"/>
      <c r="K98" s="13"/>
      <c r="L98" s="13"/>
      <c r="M98" s="13"/>
      <c r="U98" s="67" t="s">
        <v>50</v>
      </c>
      <c r="V98" s="41" t="str">
        <f ca="1">Planung!$L40</f>
        <v>FSV Rauen</v>
      </c>
      <c r="W98" s="13" t="str">
        <f ca="1">Planung!$N40</f>
        <v>1. FC Nürnberg</v>
      </c>
      <c r="X98" s="13">
        <f ca="1">IF(AND(Vorrunde!$I46&lt;&gt;"",Vorrunde!$K46&lt;&gt;"",Vorrunde!$F46&lt;&gt;Vorrunde!$H46,$V98&lt;&gt;"",$W98&lt;&gt;""),Vorrunde!$I46,"")</f>
        <v>3</v>
      </c>
      <c r="Y98" s="36">
        <f ca="1">IF(AND(Vorrunde!$I46&lt;&gt;"",Vorrunde!$K46&lt;&gt;"",Vorrunde!$F46&lt;&gt;Vorrunde!$H46,$V98&lt;&gt;"",$W98&lt;&gt;""),Vorrunde!$K46,"")</f>
        <v>4</v>
      </c>
      <c r="Z98" s="35" t="str">
        <f t="shared" ca="1" si="82"/>
        <v>FSV Rauen1. FC Nürnberg</v>
      </c>
      <c r="AA98" s="13">
        <f t="shared" ca="1" si="83"/>
        <v>1</v>
      </c>
      <c r="AB98" s="13" t="str">
        <f ca="1">IF(AA98&gt;0,X98&amp;Sprache!$E$111&amp;Y98,"")</f>
        <v>3:4</v>
      </c>
      <c r="AD98" s="143"/>
      <c r="AE98" s="148">
        <f ca="1">IF($AA98=0,"",IF($X98&gt;$Y98,Einstellungen!$C$4,IF($X98=$Y98,1,0)))</f>
        <v>0</v>
      </c>
      <c r="AF98" s="143">
        <f ca="1">IF($AA98=0,"",IF($X98&lt;$Y98,Einstellungen!$C$4,IF($X98=$Y98,1,0)))</f>
        <v>3</v>
      </c>
    </row>
    <row r="99" spans="2:32" s="2" customFormat="1" x14ac:dyDescent="0.2">
      <c r="B99" s="4"/>
      <c r="C99" s="4"/>
      <c r="D99" s="4"/>
      <c r="E99" s="4"/>
      <c r="F99" s="13"/>
      <c r="G99" s="13"/>
      <c r="H99" s="13"/>
      <c r="I99" s="13"/>
      <c r="J99" s="13"/>
      <c r="K99" s="13"/>
      <c r="L99" s="13"/>
      <c r="M99" s="13"/>
      <c r="U99" s="67" t="s">
        <v>51</v>
      </c>
      <c r="V99" s="41" t="str">
        <f ca="1">Planung!$L41</f>
        <v>RB Leipzig</v>
      </c>
      <c r="W99" s="13" t="str">
        <f ca="1">Planung!$N41</f>
        <v>SV Oberredenburg</v>
      </c>
      <c r="X99" s="13">
        <f ca="1">IF(AND(Vorrunde!$I47&lt;&gt;"",Vorrunde!$K47&lt;&gt;"",Vorrunde!$F47&lt;&gt;Vorrunde!$H47,$V99&lt;&gt;"",$W99&lt;&gt;""),Vorrunde!$I47,"")</f>
        <v>3</v>
      </c>
      <c r="Y99" s="36">
        <f ca="1">IF(AND(Vorrunde!$I47&lt;&gt;"",Vorrunde!$K47&lt;&gt;"",Vorrunde!$F47&lt;&gt;Vorrunde!$H47,$V99&lt;&gt;"",$W99&lt;&gt;""),Vorrunde!$K47,"")</f>
        <v>0</v>
      </c>
      <c r="Z99" s="35" t="str">
        <f t="shared" ca="1" si="82"/>
        <v>RB LeipzigSV Oberredenburg</v>
      </c>
      <c r="AA99" s="13">
        <f t="shared" ca="1" si="83"/>
        <v>1</v>
      </c>
      <c r="AB99" s="13" t="str">
        <f ca="1">IF(AA99&gt;0,X99&amp;Sprache!$E$111&amp;Y99,"")</f>
        <v>3:0</v>
      </c>
      <c r="AD99" s="143"/>
      <c r="AE99" s="148">
        <f ca="1">IF($AA99=0,"",IF($X99&gt;$Y99,Einstellungen!$C$4,IF($X99=$Y99,1,0)))</f>
        <v>3</v>
      </c>
      <c r="AF99" s="143">
        <f ca="1">IF($AA99=0,"",IF($X99&lt;$Y99,Einstellungen!$C$4,IF($X99=$Y99,1,0)))</f>
        <v>0</v>
      </c>
    </row>
    <row r="100" spans="2:32" s="2" customFormat="1" x14ac:dyDescent="0.2">
      <c r="B100" s="4"/>
      <c r="C100" s="4"/>
      <c r="D100" s="4"/>
      <c r="E100" s="4"/>
      <c r="F100" s="13"/>
      <c r="G100" s="13"/>
      <c r="H100" s="13"/>
      <c r="I100" s="13"/>
      <c r="J100" s="13"/>
      <c r="K100" s="13"/>
      <c r="L100" s="13"/>
      <c r="M100" s="13"/>
      <c r="U100" s="67" t="s">
        <v>60</v>
      </c>
      <c r="V100" s="41" t="str">
        <f ca="1">Planung!$L42</f>
        <v>1. FC Riedwald</v>
      </c>
      <c r="W100" s="13" t="str">
        <f ca="1">Planung!$N42</f>
        <v>FC Barcelona</v>
      </c>
      <c r="X100" s="13">
        <f ca="1">IF(AND(Vorrunde!$I48&lt;&gt;"",Vorrunde!$K48&lt;&gt;"",Vorrunde!$F48&lt;&gt;Vorrunde!$H48,$V100&lt;&gt;"",$W100&lt;&gt;""),Vorrunde!$I48,"")</f>
        <v>1</v>
      </c>
      <c r="Y100" s="36">
        <f ca="1">IF(AND(Vorrunde!$I48&lt;&gt;"",Vorrunde!$K48&lt;&gt;"",Vorrunde!$F48&lt;&gt;Vorrunde!$H48,$V100&lt;&gt;"",$W100&lt;&gt;""),Vorrunde!$K48,"")</f>
        <v>6</v>
      </c>
      <c r="Z100" s="35" t="str">
        <f t="shared" ca="1" si="82"/>
        <v>1. FC RiedwaldFC Barcelona</v>
      </c>
      <c r="AA100" s="13">
        <f t="shared" ca="1" si="83"/>
        <v>1</v>
      </c>
      <c r="AB100" s="13" t="str">
        <f ca="1">IF(AA100&gt;0,X100&amp;Sprache!$E$111&amp;Y100,"")</f>
        <v>1:6</v>
      </c>
      <c r="AD100" s="143"/>
      <c r="AE100" s="148">
        <f ca="1">IF($AA100=0,"",IF($X100&gt;$Y100,Einstellungen!$C$4,IF($X100=$Y100,1,0)))</f>
        <v>0</v>
      </c>
      <c r="AF100" s="143">
        <f ca="1">IF($AA100=0,"",IF($X100&lt;$Y100,Einstellungen!$C$4,IF($X100=$Y100,1,0)))</f>
        <v>3</v>
      </c>
    </row>
    <row r="101" spans="2:32" s="2" customFormat="1" x14ac:dyDescent="0.2">
      <c r="B101" s="4"/>
      <c r="C101" s="4"/>
      <c r="D101" s="4"/>
      <c r="E101" s="4"/>
      <c r="F101" s="13"/>
      <c r="G101" s="13"/>
      <c r="H101" s="13"/>
      <c r="I101" s="13"/>
      <c r="J101" s="13"/>
      <c r="K101" s="13"/>
      <c r="L101" s="13"/>
      <c r="M101" s="13"/>
      <c r="U101" s="67" t="s">
        <v>61</v>
      </c>
      <c r="V101" s="41" t="str">
        <f ca="1">Planung!$L43</f>
        <v>Mainz 05</v>
      </c>
      <c r="W101" s="13" t="str">
        <f ca="1">Planung!$N43</f>
        <v>Inter Mailand</v>
      </c>
      <c r="X101" s="13">
        <f ca="1">IF(AND(Vorrunde!$I49&lt;&gt;"",Vorrunde!$K49&lt;&gt;"",Vorrunde!$F49&lt;&gt;Vorrunde!$H49,$V101&lt;&gt;"",$W101&lt;&gt;""),Vorrunde!$I49,"")</f>
        <v>2</v>
      </c>
      <c r="Y101" s="36">
        <f ca="1">IF(AND(Vorrunde!$I49&lt;&gt;"",Vorrunde!$K49&lt;&gt;"",Vorrunde!$F49&lt;&gt;Vorrunde!$H49,$V101&lt;&gt;"",$W101&lt;&gt;""),Vorrunde!$K49,"")</f>
        <v>3</v>
      </c>
      <c r="Z101" s="35" t="str">
        <f t="shared" ca="1" si="82"/>
        <v>Mainz 05Inter Mailand</v>
      </c>
      <c r="AA101" s="13">
        <f t="shared" ca="1" si="83"/>
        <v>1</v>
      </c>
      <c r="AB101" s="13" t="str">
        <f ca="1">IF(AA101&gt;0,X101&amp;Sprache!$E$111&amp;Y101,"")</f>
        <v>2:3</v>
      </c>
      <c r="AD101" s="143"/>
      <c r="AE101" s="148">
        <f ca="1">IF($AA101=0,"",IF($X101&gt;$Y101,Einstellungen!$C$4,IF($X101=$Y101,1,0)))</f>
        <v>0</v>
      </c>
      <c r="AF101" s="143">
        <f ca="1">IF($AA101=0,"",IF($X101&lt;$Y101,Einstellungen!$C$4,IF($X101=$Y101,1,0)))</f>
        <v>3</v>
      </c>
    </row>
    <row r="102" spans="2:32" s="2" customFormat="1" x14ac:dyDescent="0.2">
      <c r="B102" s="4"/>
      <c r="C102" s="4"/>
      <c r="D102" s="4"/>
      <c r="E102" s="4"/>
      <c r="F102" s="13"/>
      <c r="G102" s="13"/>
      <c r="H102" s="13"/>
      <c r="I102" s="13"/>
      <c r="J102" s="13"/>
      <c r="K102" s="13"/>
      <c r="L102" s="13"/>
      <c r="M102" s="13"/>
      <c r="U102" s="67" t="s">
        <v>62</v>
      </c>
      <c r="V102" s="41" t="str">
        <f ca="1">Planung!$L44</f>
        <v>Kickers Rodendorf</v>
      </c>
      <c r="W102" s="13" t="str">
        <f ca="1">Planung!$N44</f>
        <v>Real Madrid</v>
      </c>
      <c r="X102" s="13">
        <f ca="1">IF(AND(Vorrunde!$I50&lt;&gt;"",Vorrunde!$K50&lt;&gt;"",Vorrunde!$F50&lt;&gt;Vorrunde!$H50,$V102&lt;&gt;"",$W102&lt;&gt;""),Vorrunde!$I50,"")</f>
        <v>1</v>
      </c>
      <c r="Y102" s="36">
        <f ca="1">IF(AND(Vorrunde!$I50&lt;&gt;"",Vorrunde!$K50&lt;&gt;"",Vorrunde!$F50&lt;&gt;Vorrunde!$H50,$V102&lt;&gt;"",$W102&lt;&gt;""),Vorrunde!$K50,"")</f>
        <v>5</v>
      </c>
      <c r="Z102" s="35" t="str">
        <f t="shared" ca="1" si="82"/>
        <v>Kickers RodendorfReal Madrid</v>
      </c>
      <c r="AA102" s="13">
        <f t="shared" ca="1" si="83"/>
        <v>1</v>
      </c>
      <c r="AB102" s="13" t="str">
        <f ca="1">IF(AA102&gt;0,X102&amp;Sprache!$E$111&amp;Y102,"")</f>
        <v>1:5</v>
      </c>
      <c r="AD102" s="143"/>
      <c r="AE102" s="148">
        <f ca="1">IF($AA102=0,"",IF($X102&gt;$Y102,Einstellungen!$C$4,IF($X102=$Y102,1,0)))</f>
        <v>0</v>
      </c>
      <c r="AF102" s="143">
        <f ca="1">IF($AA102=0,"",IF($X102&lt;$Y102,Einstellungen!$C$4,IF($X102=$Y102,1,0)))</f>
        <v>3</v>
      </c>
    </row>
    <row r="103" spans="2:32" s="2" customFormat="1" x14ac:dyDescent="0.2">
      <c r="B103" s="4"/>
      <c r="C103" s="4"/>
      <c r="D103" s="4"/>
      <c r="E103" s="4"/>
      <c r="F103" s="13"/>
      <c r="G103" s="13"/>
      <c r="H103" s="13"/>
      <c r="I103" s="13"/>
      <c r="J103" s="13"/>
      <c r="K103" s="13"/>
      <c r="L103" s="13"/>
      <c r="M103" s="13"/>
      <c r="U103" s="67" t="s">
        <v>63</v>
      </c>
      <c r="V103" s="41" t="str">
        <f ca="1">Planung!$L45</f>
        <v>TSG Saalberg eV</v>
      </c>
      <c r="W103" s="13" t="str">
        <f ca="1">Planung!$N45</f>
        <v>Paris St. Germain</v>
      </c>
      <c r="X103" s="13">
        <f ca="1">IF(AND(Vorrunde!$I51&lt;&gt;"",Vorrunde!$K51&lt;&gt;"",Vorrunde!$F51&lt;&gt;Vorrunde!$H51,$V103&lt;&gt;"",$W103&lt;&gt;""),Vorrunde!$I51,"")</f>
        <v>0</v>
      </c>
      <c r="Y103" s="36">
        <f ca="1">IF(AND(Vorrunde!$I51&lt;&gt;"",Vorrunde!$K51&lt;&gt;"",Vorrunde!$F51&lt;&gt;Vorrunde!$H51,$V103&lt;&gt;"",$W103&lt;&gt;""),Vorrunde!$K51,"")</f>
        <v>7</v>
      </c>
      <c r="Z103" s="35" t="str">
        <f t="shared" ca="1" si="82"/>
        <v>TSG Saalberg eVParis St. Germain</v>
      </c>
      <c r="AA103" s="13">
        <f t="shared" ca="1" si="83"/>
        <v>1</v>
      </c>
      <c r="AB103" s="13" t="str">
        <f ca="1">IF(AA103&gt;0,X103&amp;Sprache!$E$111&amp;Y103,"")</f>
        <v>0:7</v>
      </c>
      <c r="AD103" s="143"/>
      <c r="AE103" s="148">
        <f ca="1">IF($AA103=0,"",IF($X103&gt;$Y103,Einstellungen!$C$4,IF($X103=$Y103,1,0)))</f>
        <v>0</v>
      </c>
      <c r="AF103" s="143">
        <f ca="1">IF($AA103=0,"",IF($X103&lt;$Y103,Einstellungen!$C$4,IF($X103=$Y103,1,0)))</f>
        <v>3</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82"/>
        <v/>
      </c>
      <c r="AA104" s="13">
        <f t="shared" ca="1" si="83"/>
        <v>0</v>
      </c>
      <c r="AB104" s="13" t="str">
        <f ca="1">IF(AA104&gt;0,X104&amp;Sprache!$E$111&amp;Y104,"")</f>
        <v/>
      </c>
      <c r="AD104" s="143"/>
      <c r="AE104" s="148" t="str">
        <f ca="1">IF($AA104=0,"",IF($X104&gt;$Y104,Einstellungen!$C$4,IF($X104=$Y104,1,0)))</f>
        <v/>
      </c>
      <c r="AF104" s="143"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82"/>
        <v/>
      </c>
      <c r="AA105" s="13">
        <f t="shared" ca="1" si="83"/>
        <v>0</v>
      </c>
      <c r="AB105" s="13" t="str">
        <f ca="1">IF(AA105&gt;0,X105&amp;Sprache!$E$111&amp;Y105,"")</f>
        <v/>
      </c>
      <c r="AD105" s="143"/>
      <c r="AE105" s="148" t="str">
        <f ca="1">IF($AA105=0,"",IF($X105&gt;$Y105,Einstellungen!$C$4,IF($X105=$Y105,1,0)))</f>
        <v/>
      </c>
      <c r="AF105" s="143"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82"/>
        <v/>
      </c>
      <c r="AA106" s="13">
        <f t="shared" ca="1" si="83"/>
        <v>0</v>
      </c>
      <c r="AB106" s="13" t="str">
        <f ca="1">IF(AA106&gt;0,X106&amp;Sprache!$E$111&amp;Y106,"")</f>
        <v/>
      </c>
      <c r="AD106" s="143"/>
      <c r="AE106" s="148" t="str">
        <f ca="1">IF($AA106=0,"",IF($X106&gt;$Y106,Einstellungen!$C$4,IF($X106=$Y106,1,0)))</f>
        <v/>
      </c>
      <c r="AF106" s="143"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82"/>
        <v/>
      </c>
      <c r="AA107" s="13">
        <f t="shared" ca="1" si="83"/>
        <v>0</v>
      </c>
      <c r="AB107" s="13" t="str">
        <f ca="1">IF(AA107&gt;0,X107&amp;Sprache!$E$111&amp;Y107,"")</f>
        <v/>
      </c>
      <c r="AD107" s="143"/>
      <c r="AE107" s="148" t="str">
        <f ca="1">IF($AA107=0,"",IF($X107&gt;$Y107,Einstellungen!$C$4,IF($X107=$Y107,1,0)))</f>
        <v/>
      </c>
      <c r="AF107" s="143" t="str">
        <f ca="1">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82"/>
        <v/>
      </c>
      <c r="AA108" s="13">
        <f t="shared" ca="1" si="83"/>
        <v>0</v>
      </c>
      <c r="AB108" s="13" t="str">
        <f ca="1">IF(AA108&gt;0,X108&amp;Sprache!$E$111&amp;Y108,"")</f>
        <v/>
      </c>
      <c r="AD108" s="143"/>
      <c r="AE108" s="148" t="str">
        <f ca="1">IF($AA108=0,"",IF($X108&gt;$Y108,Einstellungen!$C$4,IF($X108=$Y108,1,0)))</f>
        <v/>
      </c>
      <c r="AF108" s="143" t="str">
        <f ca="1">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 ca="1">Planung!$L51</f>
        <v/>
      </c>
      <c r="W109" s="13" t="str">
        <f ca="1">Planung!$N51</f>
        <v/>
      </c>
      <c r="X109" s="13" t="str">
        <f ca="1">IF(AND(Vorrunde!$I57&lt;&gt;"",Vorrunde!$K57&lt;&gt;"",Vorrunde!$F57&lt;&gt;Vorrunde!$H57,$V109&lt;&gt;"",$W109&lt;&gt;""),Vorrunde!$I57,"")</f>
        <v/>
      </c>
      <c r="Y109" s="36" t="str">
        <f ca="1">IF(AND(Vorrunde!$I57&lt;&gt;"",Vorrunde!$K57&lt;&gt;"",Vorrunde!$F57&lt;&gt;Vorrunde!$H57,$V109&lt;&gt;"",$W109&lt;&gt;""),Vorrunde!$K57,"")</f>
        <v/>
      </c>
      <c r="Z109" s="35" t="str">
        <f t="shared" ca="1" si="82"/>
        <v/>
      </c>
      <c r="AA109" s="13">
        <f t="shared" ca="1" si="83"/>
        <v>0</v>
      </c>
      <c r="AB109" s="13" t="str">
        <f ca="1">IF(AA109&gt;0,X109&amp;Sprache!$E$111&amp;Y109,"")</f>
        <v/>
      </c>
      <c r="AD109" s="143"/>
      <c r="AE109" s="148" t="str">
        <f ca="1">IF($AA109=0,"",IF($X109&gt;$Y109,Einstellungen!$C$4,IF($X109=$Y109,1,0)))</f>
        <v/>
      </c>
      <c r="AF109" s="143" t="str">
        <f ca="1">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 ca="1">Planung!$L52</f>
        <v/>
      </c>
      <c r="W110" s="13" t="str">
        <f ca="1">Planung!$N52</f>
        <v/>
      </c>
      <c r="X110" s="13" t="str">
        <f ca="1">IF(AND(Vorrunde!$I58&lt;&gt;"",Vorrunde!$K58&lt;&gt;"",Vorrunde!$F58&lt;&gt;Vorrunde!$H58,$V110&lt;&gt;"",$W110&lt;&gt;""),Vorrunde!$I58,"")</f>
        <v/>
      </c>
      <c r="Y110" s="36" t="str">
        <f ca="1">IF(AND(Vorrunde!$I58&lt;&gt;"",Vorrunde!$K58&lt;&gt;"",Vorrunde!$F58&lt;&gt;Vorrunde!$H58,$V110&lt;&gt;"",$W110&lt;&gt;""),Vorrunde!$K58,"")</f>
        <v/>
      </c>
      <c r="Z110" s="35" t="str">
        <f t="shared" ca="1" si="82"/>
        <v/>
      </c>
      <c r="AA110" s="13">
        <f t="shared" ca="1" si="83"/>
        <v>0</v>
      </c>
      <c r="AB110" s="13" t="str">
        <f ca="1">IF(AA110&gt;0,X110&amp;Sprache!$E$111&amp;Y110,"")</f>
        <v/>
      </c>
      <c r="AD110" s="143"/>
      <c r="AE110" s="148" t="str">
        <f ca="1">IF($AA110=0,"",IF($X110&gt;$Y110,Einstellungen!$C$4,IF($X110=$Y110,1,0)))</f>
        <v/>
      </c>
      <c r="AF110" s="143" t="str">
        <f ca="1">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 ca="1">Planung!$L53</f>
        <v/>
      </c>
      <c r="W111" s="13" t="str">
        <f ca="1">Planung!$N53</f>
        <v/>
      </c>
      <c r="X111" s="13" t="str">
        <f ca="1">IF(AND(Vorrunde!$I59&lt;&gt;"",Vorrunde!$K59&lt;&gt;"",Vorrunde!$F59&lt;&gt;Vorrunde!$H59,$V111&lt;&gt;"",$W111&lt;&gt;""),Vorrunde!$I59,"")</f>
        <v/>
      </c>
      <c r="Y111" s="36" t="str">
        <f ca="1">IF(AND(Vorrunde!$I59&lt;&gt;"",Vorrunde!$K59&lt;&gt;"",Vorrunde!$F59&lt;&gt;Vorrunde!$H59,$V111&lt;&gt;"",$W111&lt;&gt;""),Vorrunde!$K59,"")</f>
        <v/>
      </c>
      <c r="Z111" s="35" t="str">
        <f t="shared" ca="1" si="82"/>
        <v/>
      </c>
      <c r="AA111" s="13">
        <f t="shared" ca="1" si="83"/>
        <v>0</v>
      </c>
      <c r="AB111" s="13" t="str">
        <f ca="1">IF(AA111&gt;0,X111&amp;Sprache!$E$111&amp;Y111,"")</f>
        <v/>
      </c>
      <c r="AD111" s="143"/>
      <c r="AE111" s="148" t="str">
        <f ca="1">IF($AA111=0,"",IF($X111&gt;$Y111,Einstellungen!$C$4,IF($X111=$Y111,1,0)))</f>
        <v/>
      </c>
      <c r="AF111" s="143" t="str">
        <f ca="1">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 ca="1">Planung!$L54</f>
        <v/>
      </c>
      <c r="W112" s="13" t="str">
        <f ca="1">Planung!$N54</f>
        <v/>
      </c>
      <c r="X112" s="13" t="str">
        <f ca="1">IF(AND(Vorrunde!$I60&lt;&gt;"",Vorrunde!$K60&lt;&gt;"",Vorrunde!$F60&lt;&gt;Vorrunde!$H60,$V112&lt;&gt;"",$W112&lt;&gt;""),Vorrunde!$I60,"")</f>
        <v/>
      </c>
      <c r="Y112" s="36" t="str">
        <f ca="1">IF(AND(Vorrunde!$I60&lt;&gt;"",Vorrunde!$K60&lt;&gt;"",Vorrunde!$F60&lt;&gt;Vorrunde!$H60,$V112&lt;&gt;"",$W112&lt;&gt;""),Vorrunde!$K60,"")</f>
        <v/>
      </c>
      <c r="Z112" s="35" t="str">
        <f t="shared" ca="1" si="82"/>
        <v/>
      </c>
      <c r="AA112" s="13">
        <f t="shared" ca="1" si="83"/>
        <v>0</v>
      </c>
      <c r="AB112" s="13" t="str">
        <f ca="1">IF(AA112&gt;0,X112&amp;Sprache!$E$111&amp;Y112,"")</f>
        <v/>
      </c>
      <c r="AD112" s="143"/>
      <c r="AE112" s="148" t="str">
        <f ca="1">IF($AA112=0,"",IF($X112&gt;$Y112,Einstellungen!$C$4,IF($X112=$Y112,1,0)))</f>
        <v/>
      </c>
      <c r="AF112" s="143" t="str">
        <f ca="1">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 ca="1">Planung!$L55</f>
        <v/>
      </c>
      <c r="W113" s="13" t="str">
        <f ca="1">Planung!$N55</f>
        <v/>
      </c>
      <c r="X113" s="13" t="str">
        <f ca="1">IF(AND(Vorrunde!$I61&lt;&gt;"",Vorrunde!$K61&lt;&gt;"",Vorrunde!$F61&lt;&gt;Vorrunde!$H61,$V113&lt;&gt;"",$W113&lt;&gt;""),Vorrunde!$I61,"")</f>
        <v/>
      </c>
      <c r="Y113" s="36" t="str">
        <f ca="1">IF(AND(Vorrunde!$I61&lt;&gt;"",Vorrunde!$K61&lt;&gt;"",Vorrunde!$F61&lt;&gt;Vorrunde!$H61,$V113&lt;&gt;"",$W113&lt;&gt;""),Vorrunde!$K61,"")</f>
        <v/>
      </c>
      <c r="Z113" s="35" t="str">
        <f t="shared" ca="1" si="82"/>
        <v/>
      </c>
      <c r="AA113" s="13">
        <f t="shared" ca="1" si="83"/>
        <v>0</v>
      </c>
      <c r="AB113" s="13" t="str">
        <f ca="1">IF(AA113&gt;0,X113&amp;Sprache!$E$111&amp;Y113,"")</f>
        <v/>
      </c>
      <c r="AD113" s="143"/>
      <c r="AE113" s="148" t="str">
        <f ca="1">IF($AA113=0,"",IF($X113&gt;$Y113,Einstellungen!$C$4,IF($X113=$Y113,1,0)))</f>
        <v/>
      </c>
      <c r="AF113" s="143" t="str">
        <f ca="1">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 ca="1">Planung!$L56</f>
        <v/>
      </c>
      <c r="W114" s="13" t="str">
        <f ca="1">Planung!$N56</f>
        <v/>
      </c>
      <c r="X114" s="13" t="str">
        <f ca="1">IF(AND(Vorrunde!$I62&lt;&gt;"",Vorrunde!$K62&lt;&gt;"",Vorrunde!$F62&lt;&gt;Vorrunde!$H62,$V114&lt;&gt;"",$W114&lt;&gt;""),Vorrunde!$I62,"")</f>
        <v/>
      </c>
      <c r="Y114" s="36" t="str">
        <f ca="1">IF(AND(Vorrunde!$I62&lt;&gt;"",Vorrunde!$K62&lt;&gt;"",Vorrunde!$F62&lt;&gt;Vorrunde!$H62,$V114&lt;&gt;"",$W114&lt;&gt;""),Vorrunde!$K62,"")</f>
        <v/>
      </c>
      <c r="Z114" s="35" t="str">
        <f t="shared" ca="1" si="82"/>
        <v/>
      </c>
      <c r="AA114" s="13">
        <f t="shared" ca="1" si="83"/>
        <v>0</v>
      </c>
      <c r="AB114" s="13" t="str">
        <f ca="1">IF(AA114&gt;0,X114&amp;Sprache!$E$111&amp;Y114,"")</f>
        <v/>
      </c>
      <c r="AD114" s="143"/>
      <c r="AE114" s="148" t="str">
        <f ca="1">IF($AA114=0,"",IF($X114&gt;$Y114,Einstellungen!$C$4,IF($X114=$Y114,1,0)))</f>
        <v/>
      </c>
      <c r="AF114" s="143" t="str">
        <f ca="1">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 ca="1">Planung!$L57</f>
        <v/>
      </c>
      <c r="W115" s="13" t="str">
        <f ca="1">Planung!$N57</f>
        <v/>
      </c>
      <c r="X115" s="13" t="str">
        <f ca="1">IF(AND(Vorrunde!$I63&lt;&gt;"",Vorrunde!$K63&lt;&gt;"",Vorrunde!$F63&lt;&gt;Vorrunde!$H63,$V115&lt;&gt;"",$W115&lt;&gt;""),Vorrunde!$I63,"")</f>
        <v/>
      </c>
      <c r="Y115" s="36" t="str">
        <f ca="1">IF(AND(Vorrunde!$I63&lt;&gt;"",Vorrunde!$K63&lt;&gt;"",Vorrunde!$F63&lt;&gt;Vorrunde!$H63,$V115&lt;&gt;"",$W115&lt;&gt;""),Vorrunde!$K63,"")</f>
        <v/>
      </c>
      <c r="Z115" s="35" t="str">
        <f t="shared" ca="1" si="82"/>
        <v/>
      </c>
      <c r="AA115" s="13">
        <f t="shared" ca="1" si="83"/>
        <v>0</v>
      </c>
      <c r="AB115" s="13" t="str">
        <f ca="1">IF(AA115&gt;0,X115&amp;Sprache!$E$111&amp;Y115,"")</f>
        <v/>
      </c>
      <c r="AD115" s="143"/>
      <c r="AE115" s="148" t="str">
        <f ca="1">IF($AA115=0,"",IF($X115&gt;$Y115,Einstellungen!$C$4,IF($X115=$Y115,1,0)))</f>
        <v/>
      </c>
      <c r="AF115" s="143" t="str">
        <f ca="1">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 ca="1">Planung!$L58</f>
        <v/>
      </c>
      <c r="W116" s="13" t="str">
        <f ca="1">Planung!$N58</f>
        <v/>
      </c>
      <c r="X116" s="13" t="str">
        <f ca="1">IF(AND(Vorrunde!$I64&lt;&gt;"",Vorrunde!$K64&lt;&gt;"",Vorrunde!$F64&lt;&gt;Vorrunde!$H64,$V116&lt;&gt;"",$W116&lt;&gt;""),Vorrunde!$I64,"")</f>
        <v/>
      </c>
      <c r="Y116" s="36" t="str">
        <f ca="1">IF(AND(Vorrunde!$I64&lt;&gt;"",Vorrunde!$K64&lt;&gt;"",Vorrunde!$F64&lt;&gt;Vorrunde!$H64,$V116&lt;&gt;"",$W116&lt;&gt;""),Vorrunde!$K64,"")</f>
        <v/>
      </c>
      <c r="Z116" s="35" t="str">
        <f t="shared" ca="1" si="82"/>
        <v/>
      </c>
      <c r="AA116" s="13">
        <f t="shared" ca="1" si="83"/>
        <v>0</v>
      </c>
      <c r="AB116" s="13" t="str">
        <f ca="1">IF(AA116&gt;0,X116&amp;Sprache!$E$111&amp;Y116,"")</f>
        <v/>
      </c>
      <c r="AD116" s="143"/>
      <c r="AE116" s="148" t="str">
        <f ca="1">IF($AA116=0,"",IF($X116&gt;$Y116,Einstellungen!$C$4,IF($X116=$Y116,1,0)))</f>
        <v/>
      </c>
      <c r="AF116" s="143" t="str">
        <f ca="1">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 ca="1">Planung!$L59</f>
        <v/>
      </c>
      <c r="W117" s="13" t="str">
        <f ca="1">Planung!$N59</f>
        <v/>
      </c>
      <c r="X117" s="13" t="str">
        <f ca="1">IF(AND(Vorrunde!$I65&lt;&gt;"",Vorrunde!$K65&lt;&gt;"",Vorrunde!$F65&lt;&gt;Vorrunde!$H65,$V117&lt;&gt;"",$W117&lt;&gt;""),Vorrunde!$I65,"")</f>
        <v/>
      </c>
      <c r="Y117" s="36" t="str">
        <f ca="1">IF(AND(Vorrunde!$I65&lt;&gt;"",Vorrunde!$K65&lt;&gt;"",Vorrunde!$F65&lt;&gt;Vorrunde!$H65,$V117&lt;&gt;"",$W117&lt;&gt;""),Vorrunde!$K65,"")</f>
        <v/>
      </c>
      <c r="Z117" s="35" t="str">
        <f t="shared" ca="1" si="82"/>
        <v/>
      </c>
      <c r="AA117" s="13">
        <f t="shared" ca="1" si="83"/>
        <v>0</v>
      </c>
      <c r="AB117" s="13" t="str">
        <f ca="1">IF(AA117&gt;0,X117&amp;Sprache!$E$111&amp;Y117,"")</f>
        <v/>
      </c>
      <c r="AD117" s="143"/>
      <c r="AE117" s="148" t="str">
        <f ca="1">IF($AA117=0,"",IF($X117&gt;$Y117,Einstellungen!$C$4,IF($X117=$Y117,1,0)))</f>
        <v/>
      </c>
      <c r="AF117" s="143" t="str">
        <f ca="1">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 ca="1">Planung!$L60</f>
        <v/>
      </c>
      <c r="W118" s="13" t="str">
        <f ca="1">Planung!$N60</f>
        <v/>
      </c>
      <c r="X118" s="13" t="str">
        <f ca="1">IF(AND(Vorrunde!$I66&lt;&gt;"",Vorrunde!$K66&lt;&gt;"",Vorrunde!$F66&lt;&gt;Vorrunde!$H66,$V118&lt;&gt;"",$W118&lt;&gt;""),Vorrunde!$I66,"")</f>
        <v/>
      </c>
      <c r="Y118" s="36" t="str">
        <f ca="1">IF(AND(Vorrunde!$I66&lt;&gt;"",Vorrunde!$K66&lt;&gt;"",Vorrunde!$F66&lt;&gt;Vorrunde!$H66,$V118&lt;&gt;"",$W118&lt;&gt;""),Vorrunde!$K66,"")</f>
        <v/>
      </c>
      <c r="Z118" s="35" t="str">
        <f t="shared" ca="1" si="82"/>
        <v/>
      </c>
      <c r="AA118" s="13">
        <f t="shared" ca="1" si="83"/>
        <v>0</v>
      </c>
      <c r="AB118" s="13" t="str">
        <f ca="1">IF(AA118&gt;0,X118&amp;Sprache!$E$111&amp;Y118,"")</f>
        <v/>
      </c>
      <c r="AD118" s="143"/>
      <c r="AE118" s="148" t="str">
        <f ca="1">IF($AA118=0,"",IF($X118&gt;$Y118,Einstellungen!$C$4,IF($X118=$Y118,1,0)))</f>
        <v/>
      </c>
      <c r="AF118" s="143" t="str">
        <f ca="1">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 ca="1">Planung!$L61</f>
        <v/>
      </c>
      <c r="W119" s="13" t="str">
        <f ca="1">Planung!$N61</f>
        <v/>
      </c>
      <c r="X119" s="13" t="str">
        <f ca="1">IF(AND(Vorrunde!$I67&lt;&gt;"",Vorrunde!$K67&lt;&gt;"",Vorrunde!$F67&lt;&gt;Vorrunde!$H67,$V119&lt;&gt;"",$W119&lt;&gt;""),Vorrunde!$I67,"")</f>
        <v/>
      </c>
      <c r="Y119" s="36" t="str">
        <f ca="1">IF(AND(Vorrunde!$I67&lt;&gt;"",Vorrunde!$K67&lt;&gt;"",Vorrunde!$F67&lt;&gt;Vorrunde!$H67,$V119&lt;&gt;"",$W119&lt;&gt;""),Vorrunde!$K67,"")</f>
        <v/>
      </c>
      <c r="Z119" s="35" t="str">
        <f t="shared" ca="1" si="82"/>
        <v/>
      </c>
      <c r="AA119" s="13">
        <f t="shared" ca="1" si="83"/>
        <v>0</v>
      </c>
      <c r="AB119" s="13" t="str">
        <f ca="1">IF(AA119&gt;0,X119&amp;Sprache!$E$111&amp;Y119,"")</f>
        <v/>
      </c>
      <c r="AD119" s="143"/>
      <c r="AE119" s="148" t="str">
        <f ca="1">IF($AA119=0,"",IF($X119&gt;$Y119,Einstellungen!$C$4,IF($X119=$Y119,1,0)))</f>
        <v/>
      </c>
      <c r="AF119" s="143" t="str">
        <f ca="1">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 ca="1">Planung!$L62</f>
        <v/>
      </c>
      <c r="W120" s="13" t="str">
        <f ca="1">Planung!$N62</f>
        <v/>
      </c>
      <c r="X120" s="13" t="str">
        <f ca="1">IF(AND(Vorrunde!$I68&lt;&gt;"",Vorrunde!$K68&lt;&gt;"",Vorrunde!$F68&lt;&gt;Vorrunde!$H68,$V120&lt;&gt;"",$W120&lt;&gt;""),Vorrunde!$I68,"")</f>
        <v/>
      </c>
      <c r="Y120" s="36" t="str">
        <f ca="1">IF(AND(Vorrunde!$I68&lt;&gt;"",Vorrunde!$K68&lt;&gt;"",Vorrunde!$F68&lt;&gt;Vorrunde!$H68,$V120&lt;&gt;"",$W120&lt;&gt;""),Vorrunde!$K68,"")</f>
        <v/>
      </c>
      <c r="Z120" s="35" t="str">
        <f t="shared" ca="1" si="82"/>
        <v/>
      </c>
      <c r="AA120" s="13">
        <f t="shared" ca="1" si="83"/>
        <v>0</v>
      </c>
      <c r="AB120" s="13" t="str">
        <f ca="1">IF(AA120&gt;0,X120&amp;Sprache!$E$111&amp;Y120,"")</f>
        <v/>
      </c>
      <c r="AD120" s="143"/>
      <c r="AE120" s="148" t="str">
        <f ca="1">IF($AA120=0,"",IF($X120&gt;$Y120,Einstellungen!$C$4,IF($X120=$Y120,1,0)))</f>
        <v/>
      </c>
      <c r="AF120" s="143" t="str">
        <f ca="1">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 ca="1">Planung!$L63</f>
        <v/>
      </c>
      <c r="W121" s="13" t="str">
        <f ca="1">Planung!$N63</f>
        <v/>
      </c>
      <c r="X121" s="13" t="str">
        <f ca="1">IF(AND(Vorrunde!$I69&lt;&gt;"",Vorrunde!$K69&lt;&gt;"",Vorrunde!$F69&lt;&gt;Vorrunde!$H69,$V121&lt;&gt;"",$W121&lt;&gt;""),Vorrunde!$I69,"")</f>
        <v/>
      </c>
      <c r="Y121" s="36" t="str">
        <f ca="1">IF(AND(Vorrunde!$I69&lt;&gt;"",Vorrunde!$K69&lt;&gt;"",Vorrunde!$F69&lt;&gt;Vorrunde!$H69,$V121&lt;&gt;"",$W121&lt;&gt;""),Vorrunde!$K69,"")</f>
        <v/>
      </c>
      <c r="Z121" s="35" t="str">
        <f t="shared" ca="1" si="82"/>
        <v/>
      </c>
      <c r="AA121" s="13">
        <f t="shared" ca="1" si="83"/>
        <v>0</v>
      </c>
      <c r="AB121" s="13" t="str">
        <f ca="1">IF(AA121&gt;0,X121&amp;Sprache!$E$111&amp;Y121,"")</f>
        <v/>
      </c>
      <c r="AD121" s="143"/>
      <c r="AE121" s="148" t="str">
        <f ca="1">IF($AA121=0,"",IF($X121&gt;$Y121,Einstellungen!$C$4,IF($X121=$Y121,1,0)))</f>
        <v/>
      </c>
      <c r="AF121" s="143" t="str">
        <f ca="1">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 ca="1">Planung!$L64</f>
        <v/>
      </c>
      <c r="W122" s="13" t="str">
        <f ca="1">Planung!$N64</f>
        <v/>
      </c>
      <c r="X122" s="13" t="str">
        <f ca="1">IF(AND(Vorrunde!$I70&lt;&gt;"",Vorrunde!$K70&lt;&gt;"",Vorrunde!$F70&lt;&gt;Vorrunde!$H70,$V122&lt;&gt;"",$W122&lt;&gt;""),Vorrunde!$I70,"")</f>
        <v/>
      </c>
      <c r="Y122" s="36" t="str">
        <f ca="1">IF(AND(Vorrunde!$I70&lt;&gt;"",Vorrunde!$K70&lt;&gt;"",Vorrunde!$F70&lt;&gt;Vorrunde!$H70,$V122&lt;&gt;"",$W122&lt;&gt;""),Vorrunde!$K70,"")</f>
        <v/>
      </c>
      <c r="Z122" s="35" t="str">
        <f t="shared" ca="1" si="82"/>
        <v/>
      </c>
      <c r="AA122" s="13">
        <f t="shared" ca="1" si="83"/>
        <v>0</v>
      </c>
      <c r="AB122" s="13" t="str">
        <f ca="1">IF(AA122&gt;0,X122&amp;Sprache!$E$111&amp;Y122,"")</f>
        <v/>
      </c>
      <c r="AD122" s="143"/>
      <c r="AE122" s="148" t="str">
        <f ca="1">IF($AA122=0,"",IF($X122&gt;$Y122,Einstellungen!$C$4,IF($X122=$Y122,1,0)))</f>
        <v/>
      </c>
      <c r="AF122" s="143" t="str">
        <f ca="1">IF($AA122=0,"",IF($X122&lt;$Y122,Einstellungen!$C$4,IF($X122=$Y122,1,0)))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Planung!$L65</f>
        <v/>
      </c>
      <c r="W123" s="13" t="str">
        <f ca="1">Planung!$N65</f>
        <v/>
      </c>
      <c r="X123" s="13" t="str">
        <f ca="1">IF(AND(Vorrunde!$I71&lt;&gt;"",Vorrunde!$K71&lt;&gt;"",Vorrunde!$F71&lt;&gt;Vorrunde!$H71,$V123&lt;&gt;"",$W123&lt;&gt;""),Vorrunde!$I71,"")</f>
        <v/>
      </c>
      <c r="Y123" s="36" t="str">
        <f ca="1">IF(AND(Vorrunde!$I71&lt;&gt;"",Vorrunde!$K71&lt;&gt;"",Vorrunde!$F71&lt;&gt;Vorrunde!$H71,$V123&lt;&gt;"",$W123&lt;&gt;""),Vorrunde!$K71,"")</f>
        <v/>
      </c>
      <c r="Z123" s="35" t="str">
        <f t="shared" ca="1" si="82"/>
        <v/>
      </c>
      <c r="AA123" s="13">
        <f t="shared" ca="1" si="83"/>
        <v>0</v>
      </c>
      <c r="AB123" s="13" t="str">
        <f ca="1">IF(AA123&gt;0,X123&amp;Sprache!$E$111&amp;Y123,"")</f>
        <v/>
      </c>
      <c r="AD123" s="143"/>
      <c r="AE123" s="148" t="str">
        <f ca="1">IF($AA123=0,"",IF($X123&gt;$Y123,Einstellungen!$C$4,IF($X123=$Y123,1,0)))</f>
        <v/>
      </c>
      <c r="AF123" s="143" t="str">
        <f ca="1">IF($AA123=0,"",IF($X123&lt;$Y123,Einstellungen!$C$4,IF($X123=$Y123,1,0)))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83"/>
        <v>0</v>
      </c>
      <c r="AB124" s="293" t="str">
        <f>""</f>
        <v/>
      </c>
      <c r="AC124" s="296"/>
      <c r="AD124" s="297"/>
      <c r="AE124" s="298" t="str">
        <f>IF($AA124=0,"",IF($X124&gt;$Y124,Einstellungen!$C$4,IF($X124=$Y124,1,0)))</f>
        <v/>
      </c>
      <c r="AF124" s="297"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80"/>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80"/>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80"/>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80"/>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84">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84"/>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84"/>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84"/>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84"/>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84"/>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84"/>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IF(AA136&gt;0,Y64&amp;Sprache!$E$111&amp;X64,"")</f>
        <v>6:2</v>
      </c>
      <c r="AD136" s="143"/>
    </row>
    <row r="137" spans="2:32" x14ac:dyDescent="0.2">
      <c r="Y137" s="67" t="s">
        <v>8</v>
      </c>
      <c r="Z137" s="35" t="str">
        <f ca="1">W65&amp;V65</f>
        <v>Inter MailandFC Grönlingen</v>
      </c>
      <c r="AA137" s="13">
        <f t="shared" ref="AA137:AA200" ca="1" si="85">AA65</f>
        <v>1</v>
      </c>
      <c r="AB137" s="13" t="str">
        <f ca="1">IF(AA137&gt;0,Y65&amp;Sprache!$E$111&amp;X65,"")</f>
        <v>4:2</v>
      </c>
      <c r="AC137" s="2"/>
      <c r="AD137" s="143"/>
    </row>
    <row r="138" spans="2:32" x14ac:dyDescent="0.2">
      <c r="Y138" s="67" t="s">
        <v>9</v>
      </c>
      <c r="Z138" s="35" t="str">
        <f t="shared" ref="Z138:Z201" ca="1" si="86">W66&amp;V66</f>
        <v>Real Madrid1. FC Nürnberg</v>
      </c>
      <c r="AA138" s="13">
        <f t="shared" ca="1" si="85"/>
        <v>1</v>
      </c>
      <c r="AB138" s="13" t="str">
        <f ca="1">IF(AA138&gt;0,Y66&amp;Sprache!$E$111&amp;X66,"")</f>
        <v>4:1</v>
      </c>
      <c r="AC138" s="2"/>
      <c r="AD138" s="143"/>
    </row>
    <row r="139" spans="2:32" x14ac:dyDescent="0.2">
      <c r="Y139" s="67" t="s">
        <v>10</v>
      </c>
      <c r="Z139" s="35" t="str">
        <f t="shared" ca="1" si="86"/>
        <v>Paris St. GermainSV Oberredenburg</v>
      </c>
      <c r="AA139" s="13">
        <f t="shared" ca="1" si="85"/>
        <v>1</v>
      </c>
      <c r="AB139" s="13" t="str">
        <f ca="1">IF(AA139&gt;0,Y67&amp;Sprache!$E$111&amp;X67,"")</f>
        <v>5:2</v>
      </c>
      <c r="AC139" s="2"/>
      <c r="AD139" s="143"/>
    </row>
    <row r="140" spans="2:32" x14ac:dyDescent="0.2">
      <c r="Y140" s="67" t="s">
        <v>11</v>
      </c>
      <c r="Z140" s="35" t="str">
        <f t="shared" ca="1" si="86"/>
        <v>Maibach 1822 eVEintracht Frankfurt</v>
      </c>
      <c r="AA140" s="13">
        <f t="shared" ca="1" si="85"/>
        <v>1</v>
      </c>
      <c r="AB140" s="13" t="str">
        <f ca="1">IF(AA140&gt;0,Y68&amp;Sprache!$E$111&amp;X68,"")</f>
        <v>2:3</v>
      </c>
      <c r="AC140" s="2"/>
      <c r="AD140" s="143"/>
    </row>
    <row r="141" spans="2:32" x14ac:dyDescent="0.2">
      <c r="Y141" s="67" t="s">
        <v>12</v>
      </c>
      <c r="Z141" s="35" t="str">
        <f t="shared" ca="1" si="86"/>
        <v>Manchester CitySSV Wildbach</v>
      </c>
      <c r="AA141" s="13">
        <f t="shared" ca="1" si="85"/>
        <v>1</v>
      </c>
      <c r="AB141" s="13" t="str">
        <f ca="1">IF(AA141&gt;0,Y69&amp;Sprache!$E$111&amp;X69,"")</f>
        <v>5:0</v>
      </c>
      <c r="AC141" s="2"/>
      <c r="AD141" s="143"/>
    </row>
    <row r="142" spans="2:32" x14ac:dyDescent="0.2">
      <c r="Y142" s="67" t="s">
        <v>17</v>
      </c>
      <c r="Z142" s="35" t="str">
        <f t="shared" ca="1" si="86"/>
        <v>FSV RauenBorussia Dortmund</v>
      </c>
      <c r="AA142" s="13">
        <f t="shared" ca="1" si="85"/>
        <v>1</v>
      </c>
      <c r="AB142" s="13" t="str">
        <f ca="1">IF(AA142&gt;0,Y70&amp;Sprache!$E$111&amp;X70,"")</f>
        <v>1:3</v>
      </c>
      <c r="AC142" s="2"/>
      <c r="AD142" s="143"/>
    </row>
    <row r="143" spans="2:32" x14ac:dyDescent="0.2">
      <c r="Y143" s="67" t="s">
        <v>18</v>
      </c>
      <c r="Z143" s="35" t="str">
        <f t="shared" ca="1" si="86"/>
        <v>RB LeipzigHSV</v>
      </c>
      <c r="AA143" s="13">
        <f t="shared" ca="1" si="85"/>
        <v>1</v>
      </c>
      <c r="AB143" s="13" t="str">
        <f ca="1">IF(AA143&gt;0,Y71&amp;Sprache!$E$111&amp;X71,"")</f>
        <v>2:2</v>
      </c>
      <c r="AC143" s="2"/>
      <c r="AD143" s="143"/>
    </row>
    <row r="144" spans="2:32" x14ac:dyDescent="0.2">
      <c r="Y144" s="67" t="s">
        <v>19</v>
      </c>
      <c r="Z144" s="35" t="str">
        <f t="shared" ca="1" si="86"/>
        <v>1. FC RiedwaldVFB Essenheim</v>
      </c>
      <c r="AA144" s="13">
        <f t="shared" ca="1" si="85"/>
        <v>1</v>
      </c>
      <c r="AB144" s="13" t="str">
        <f ca="1">IF(AA144&gt;0,Y72&amp;Sprache!$E$111&amp;X72,"")</f>
        <v>5:1</v>
      </c>
      <c r="AC144" s="2"/>
      <c r="AD144" s="143"/>
    </row>
    <row r="145" spans="25:30" x14ac:dyDescent="0.2">
      <c r="Y145" s="67" t="s">
        <v>25</v>
      </c>
      <c r="Z145" s="35" t="str">
        <f t="shared" ca="1" si="86"/>
        <v>Mainz 05FC Grönlingen</v>
      </c>
      <c r="AA145" s="13">
        <f t="shared" ca="1" si="85"/>
        <v>1</v>
      </c>
      <c r="AB145" s="13" t="str">
        <f ca="1">IF(AA145&gt;0,Y73&amp;Sprache!$E$111&amp;X73,"")</f>
        <v>1:0</v>
      </c>
      <c r="AC145" s="2"/>
      <c r="AD145" s="143"/>
    </row>
    <row r="146" spans="25:30" x14ac:dyDescent="0.2">
      <c r="Y146" s="67" t="s">
        <v>26</v>
      </c>
      <c r="Z146" s="35" t="str">
        <f t="shared" ca="1" si="86"/>
        <v>Kickers Rodendorf1. FC Nürnberg</v>
      </c>
      <c r="AA146" s="13">
        <f t="shared" ca="1" si="85"/>
        <v>1</v>
      </c>
      <c r="AB146" s="13" t="str">
        <f ca="1">IF(AA146&gt;0,Y74&amp;Sprache!$E$111&amp;X74,"")</f>
        <v>3:5</v>
      </c>
      <c r="AC146" s="2"/>
      <c r="AD146" s="143"/>
    </row>
    <row r="147" spans="25:30" x14ac:dyDescent="0.2">
      <c r="Y147" s="67" t="s">
        <v>27</v>
      </c>
      <c r="Z147" s="35" t="str">
        <f t="shared" ca="1" si="86"/>
        <v>TSG Saalberg eVSV Oberredenburg</v>
      </c>
      <c r="AA147" s="13">
        <f t="shared" ca="1" si="85"/>
        <v>1</v>
      </c>
      <c r="AB147" s="13" t="str">
        <f ca="1">IF(AA147&gt;0,Y75&amp;Sprache!$E$111&amp;X75,"")</f>
        <v>2:3</v>
      </c>
      <c r="AC147" s="2"/>
      <c r="AD147" s="143"/>
    </row>
    <row r="148" spans="25:30" x14ac:dyDescent="0.2">
      <c r="Y148" s="67" t="s">
        <v>28</v>
      </c>
      <c r="Z148" s="35" t="str">
        <f t="shared" ca="1" si="86"/>
        <v>Eintracht FrankfurtFC Barcelona</v>
      </c>
      <c r="AA148" s="13">
        <f t="shared" ca="1" si="85"/>
        <v>1</v>
      </c>
      <c r="AB148" s="13" t="str">
        <f ca="1">IF(AA148&gt;0,Y76&amp;Sprache!$E$111&amp;X76,"")</f>
        <v>0:2</v>
      </c>
      <c r="AC148" s="2"/>
      <c r="AD148" s="143"/>
    </row>
    <row r="149" spans="25:30" x14ac:dyDescent="0.2">
      <c r="Y149" s="67" t="s">
        <v>29</v>
      </c>
      <c r="Z149" s="35" t="str">
        <f t="shared" ca="1" si="86"/>
        <v>SSV WildbachInter Mailand</v>
      </c>
      <c r="AA149" s="13">
        <f t="shared" ca="1" si="85"/>
        <v>1</v>
      </c>
      <c r="AB149" s="13" t="str">
        <f ca="1">IF(AA149&gt;0,Y77&amp;Sprache!$E$111&amp;X77,"")</f>
        <v>0:4</v>
      </c>
      <c r="AC149" s="2"/>
      <c r="AD149" s="143"/>
    </row>
    <row r="150" spans="25:30" x14ac:dyDescent="0.2">
      <c r="Y150" s="67" t="s">
        <v>30</v>
      </c>
      <c r="Z150" s="35" t="str">
        <f t="shared" ca="1" si="86"/>
        <v>Borussia DortmundReal Madrid</v>
      </c>
      <c r="AA150" s="13">
        <f t="shared" ca="1" si="85"/>
        <v>1</v>
      </c>
      <c r="AB150" s="13" t="str">
        <f ca="1">IF(AA150&gt;0,Y78&amp;Sprache!$E$111&amp;X78,"")</f>
        <v>1:0</v>
      </c>
      <c r="AC150" s="2"/>
      <c r="AD150" s="143"/>
    </row>
    <row r="151" spans="25:30" x14ac:dyDescent="0.2">
      <c r="Y151" s="67" t="s">
        <v>31</v>
      </c>
      <c r="Z151" s="35" t="str">
        <f t="shared" ca="1" si="86"/>
        <v>HSVParis St. Germain</v>
      </c>
      <c r="AA151" s="13">
        <f t="shared" ca="1" si="85"/>
        <v>1</v>
      </c>
      <c r="AB151" s="13" t="str">
        <f ca="1">IF(AA151&gt;0,Y79&amp;Sprache!$E$111&amp;X79,"")</f>
        <v>2:3</v>
      </c>
      <c r="AC151" s="2"/>
      <c r="AD151" s="143"/>
    </row>
    <row r="152" spans="25:30" x14ac:dyDescent="0.2">
      <c r="Y152" s="67" t="s">
        <v>32</v>
      </c>
      <c r="Z152" s="35" t="str">
        <f t="shared" ca="1" si="86"/>
        <v>Maibach 1822 eV1. FC Riedwald</v>
      </c>
      <c r="AA152" s="13">
        <f t="shared" ca="1" si="85"/>
        <v>1</v>
      </c>
      <c r="AB152" s="13" t="str">
        <f ca="1">IF(AA152&gt;0,Y80&amp;Sprache!$E$111&amp;X80,"")</f>
        <v>2:2</v>
      </c>
      <c r="AC152" s="2"/>
      <c r="AD152" s="143"/>
    </row>
    <row r="153" spans="25:30" x14ac:dyDescent="0.2">
      <c r="Y153" s="67" t="s">
        <v>33</v>
      </c>
      <c r="Z153" s="35" t="str">
        <f t="shared" ca="1" si="86"/>
        <v>Manchester CityMainz 05</v>
      </c>
      <c r="AA153" s="13">
        <f t="shared" ca="1" si="85"/>
        <v>1</v>
      </c>
      <c r="AB153" s="13" t="str">
        <f ca="1">IF(AA153&gt;0,Y81&amp;Sprache!$E$111&amp;X81,"")</f>
        <v>1:0</v>
      </c>
      <c r="AC153" s="2"/>
      <c r="AD153" s="143"/>
    </row>
    <row r="154" spans="25:30" x14ac:dyDescent="0.2">
      <c r="Y154" s="67" t="s">
        <v>34</v>
      </c>
      <c r="Z154" s="35" t="str">
        <f t="shared" ca="1" si="86"/>
        <v>FSV RauenKickers Rodendorf</v>
      </c>
      <c r="AA154" s="13">
        <f t="shared" ca="1" si="85"/>
        <v>1</v>
      </c>
      <c r="AB154" s="13" t="str">
        <f ca="1">IF(AA154&gt;0,Y82&amp;Sprache!$E$111&amp;X82,"")</f>
        <v>1:2</v>
      </c>
      <c r="AC154" s="2"/>
      <c r="AD154" s="143"/>
    </row>
    <row r="155" spans="25:30" x14ac:dyDescent="0.2">
      <c r="Y155" s="67" t="s">
        <v>35</v>
      </c>
      <c r="Z155" s="35" t="str">
        <f t="shared" ca="1" si="86"/>
        <v>RB LeipzigTSG Saalberg eV</v>
      </c>
      <c r="AA155" s="13">
        <f t="shared" ca="1" si="85"/>
        <v>1</v>
      </c>
      <c r="AB155" s="13" t="str">
        <f ca="1">IF(AA155&gt;0,Y83&amp;Sprache!$E$111&amp;X83,"")</f>
        <v>4:1</v>
      </c>
      <c r="AC155" s="2"/>
      <c r="AD155" s="143"/>
    </row>
    <row r="156" spans="25:30" x14ac:dyDescent="0.2">
      <c r="Y156" s="67" t="s">
        <v>36</v>
      </c>
      <c r="Z156" s="35" t="str">
        <f t="shared" ca="1" si="86"/>
        <v>VFB EssenheimEintracht Frankfurt</v>
      </c>
      <c r="AA156" s="13">
        <f t="shared" ca="1" si="85"/>
        <v>1</v>
      </c>
      <c r="AB156" s="13" t="str">
        <f ca="1">IF(AA156&gt;0,Y84&amp;Sprache!$E$111&amp;X84,"")</f>
        <v>2:3</v>
      </c>
      <c r="AC156" s="2"/>
      <c r="AD156" s="143"/>
    </row>
    <row r="157" spans="25:30" x14ac:dyDescent="0.2">
      <c r="Y157" s="67" t="s">
        <v>37</v>
      </c>
      <c r="Z157" s="35" t="str">
        <f t="shared" ca="1" si="86"/>
        <v>FC GrönlingenSSV Wildbach</v>
      </c>
      <c r="AA157" s="13">
        <f t="shared" ca="1" si="85"/>
        <v>1</v>
      </c>
      <c r="AB157" s="13" t="str">
        <f ca="1">IF(AA157&gt;0,Y85&amp;Sprache!$E$111&amp;X85,"")</f>
        <v>4:1</v>
      </c>
      <c r="AC157" s="2"/>
      <c r="AD157" s="143"/>
    </row>
    <row r="158" spans="25:30" x14ac:dyDescent="0.2">
      <c r="Y158" s="67" t="s">
        <v>38</v>
      </c>
      <c r="Z158" s="35" t="str">
        <f t="shared" ca="1" si="86"/>
        <v>1. FC NürnbergBorussia Dortmund</v>
      </c>
      <c r="AA158" s="13">
        <f t="shared" ca="1" si="85"/>
        <v>1</v>
      </c>
      <c r="AB158" s="13" t="str">
        <f ca="1">IF(AA158&gt;0,Y86&amp;Sprache!$E$111&amp;X86,"")</f>
        <v>2:2</v>
      </c>
      <c r="AC158" s="2"/>
      <c r="AD158" s="143"/>
    </row>
    <row r="159" spans="25:30" x14ac:dyDescent="0.2">
      <c r="Y159" s="67" t="s">
        <v>39</v>
      </c>
      <c r="Z159" s="35" t="str">
        <f t="shared" ca="1" si="86"/>
        <v>SV OberredenburgHSV</v>
      </c>
      <c r="AA159" s="13">
        <f t="shared" ca="1" si="85"/>
        <v>1</v>
      </c>
      <c r="AB159" s="13" t="str">
        <f ca="1">IF(AA159&gt;0,Y87&amp;Sprache!$E$111&amp;X87,"")</f>
        <v>0:1</v>
      </c>
      <c r="AC159" s="2"/>
      <c r="AD159" s="143"/>
    </row>
    <row r="160" spans="25:30" x14ac:dyDescent="0.2">
      <c r="Y160" s="67" t="s">
        <v>40</v>
      </c>
      <c r="Z160" s="35" t="str">
        <f t="shared" ca="1" si="86"/>
        <v>Maibach 1822 eVFC Barcelona</v>
      </c>
      <c r="AA160" s="13">
        <f t="shared" ca="1" si="85"/>
        <v>1</v>
      </c>
      <c r="AB160" s="13" t="str">
        <f ca="1">IF(AA160&gt;0,Y88&amp;Sprache!$E$111&amp;X88,"")</f>
        <v>1:3</v>
      </c>
      <c r="AC160" s="2"/>
      <c r="AD160" s="143"/>
    </row>
    <row r="161" spans="25:30" x14ac:dyDescent="0.2">
      <c r="Y161" s="67" t="s">
        <v>41</v>
      </c>
      <c r="Z161" s="35" t="str">
        <f t="shared" ca="1" si="86"/>
        <v>Manchester CityInter Mailand</v>
      </c>
      <c r="AA161" s="13">
        <f t="shared" ca="1" si="85"/>
        <v>1</v>
      </c>
      <c r="AB161" s="13" t="str">
        <f ca="1">IF(AA161&gt;0,Y89&amp;Sprache!$E$111&amp;X89,"")</f>
        <v>2:2</v>
      </c>
      <c r="AC161" s="2"/>
      <c r="AD161" s="143"/>
    </row>
    <row r="162" spans="25:30" x14ac:dyDescent="0.2">
      <c r="Y162" s="67" t="s">
        <v>42</v>
      </c>
      <c r="Z162" s="35" t="str">
        <f t="shared" ca="1" si="86"/>
        <v>FSV RauenReal Madrid</v>
      </c>
      <c r="AA162" s="13">
        <f t="shared" ca="1" si="85"/>
        <v>1</v>
      </c>
      <c r="AB162" s="13" t="str">
        <f ca="1">IF(AA162&gt;0,Y90&amp;Sprache!$E$111&amp;X90,"")</f>
        <v>0:4</v>
      </c>
      <c r="AC162" s="2"/>
      <c r="AD162" s="143"/>
    </row>
    <row r="163" spans="25:30" x14ac:dyDescent="0.2">
      <c r="Y163" s="67" t="s">
        <v>43</v>
      </c>
      <c r="Z163" s="35" t="str">
        <f t="shared" ca="1" si="86"/>
        <v>RB LeipzigParis St. Germain</v>
      </c>
      <c r="AA163" s="13">
        <f t="shared" ca="1" si="85"/>
        <v>1</v>
      </c>
      <c r="AB163" s="13" t="str">
        <f ca="1">IF(AA163&gt;0,Y91&amp;Sprache!$E$111&amp;X91,"")</f>
        <v>1:3</v>
      </c>
      <c r="AC163" s="2"/>
      <c r="AD163" s="143"/>
    </row>
    <row r="164" spans="25:30" x14ac:dyDescent="0.2">
      <c r="Y164" s="67" t="s">
        <v>44</v>
      </c>
      <c r="Z164" s="35" t="str">
        <f t="shared" ca="1" si="86"/>
        <v>1. FC RiedwaldEintracht Frankfurt</v>
      </c>
      <c r="AA164" s="13">
        <f t="shared" ca="1" si="85"/>
        <v>1</v>
      </c>
      <c r="AB164" s="13" t="str">
        <f ca="1">IF(AA164&gt;0,Y92&amp;Sprache!$E$111&amp;X92,"")</f>
        <v>2:6</v>
      </c>
      <c r="AC164" s="2"/>
      <c r="AD164" s="143"/>
    </row>
    <row r="165" spans="25:30" x14ac:dyDescent="0.2">
      <c r="Y165" s="67" t="s">
        <v>45</v>
      </c>
      <c r="Z165" s="35" t="str">
        <f t="shared" ca="1" si="86"/>
        <v>Mainz 05SSV Wildbach</v>
      </c>
      <c r="AA165" s="13">
        <f t="shared" ca="1" si="85"/>
        <v>1</v>
      </c>
      <c r="AB165" s="13" t="str">
        <f ca="1">IF(AA165&gt;0,Y93&amp;Sprache!$E$111&amp;X93,"")</f>
        <v>2:2</v>
      </c>
      <c r="AC165" s="2"/>
      <c r="AD165" s="143"/>
    </row>
    <row r="166" spans="25:30" x14ac:dyDescent="0.2">
      <c r="Y166" s="67" t="s">
        <v>46</v>
      </c>
      <c r="Z166" s="35" t="str">
        <f t="shared" ca="1" si="86"/>
        <v>Kickers RodendorfBorussia Dortmund</v>
      </c>
      <c r="AA166" s="13">
        <f t="shared" ca="1" si="85"/>
        <v>1</v>
      </c>
      <c r="AB166" s="13" t="str">
        <f ca="1">IF(AA166&gt;0,Y94&amp;Sprache!$E$111&amp;X94,"")</f>
        <v>1:4</v>
      </c>
      <c r="AC166" s="2"/>
      <c r="AD166" s="143"/>
    </row>
    <row r="167" spans="25:30" x14ac:dyDescent="0.2">
      <c r="Y167" s="67" t="s">
        <v>47</v>
      </c>
      <c r="Z167" s="35" t="str">
        <f t="shared" ca="1" si="86"/>
        <v>TSG Saalberg eVHSV</v>
      </c>
      <c r="AA167" s="13">
        <f t="shared" ca="1" si="85"/>
        <v>1</v>
      </c>
      <c r="AB167" s="13" t="str">
        <f ca="1">IF(AA167&gt;0,Y95&amp;Sprache!$E$111&amp;X95,"")</f>
        <v>2:3</v>
      </c>
      <c r="AC167" s="2"/>
      <c r="AD167" s="143"/>
    </row>
    <row r="168" spans="25:30" x14ac:dyDescent="0.2">
      <c r="Y168" s="67" t="s">
        <v>48</v>
      </c>
      <c r="Z168" s="35" t="str">
        <f t="shared" ca="1" si="86"/>
        <v>VFB EssenheimMaibach 1822 eV</v>
      </c>
      <c r="AA168" s="13">
        <f t="shared" ca="1" si="85"/>
        <v>1</v>
      </c>
      <c r="AB168" s="13" t="str">
        <f ca="1">IF(AA168&gt;0,Y96&amp;Sprache!$E$111&amp;X96,"")</f>
        <v>5:3</v>
      </c>
      <c r="AC168" s="2"/>
      <c r="AD168" s="143"/>
    </row>
    <row r="169" spans="25:30" x14ac:dyDescent="0.2">
      <c r="Y169" s="67" t="s">
        <v>49</v>
      </c>
      <c r="Z169" s="35" t="str">
        <f t="shared" ca="1" si="86"/>
        <v>FC GrönlingenManchester City</v>
      </c>
      <c r="AA169" s="13">
        <f t="shared" ca="1" si="85"/>
        <v>1</v>
      </c>
      <c r="AB169" s="13" t="str">
        <f ca="1">IF(AA169&gt;0,Y97&amp;Sprache!$E$111&amp;X97,"")</f>
        <v>2:4</v>
      </c>
      <c r="AC169" s="2"/>
      <c r="AD169" s="143"/>
    </row>
    <row r="170" spans="25:30" x14ac:dyDescent="0.2">
      <c r="Y170" s="67" t="s">
        <v>50</v>
      </c>
      <c r="Z170" s="35" t="str">
        <f t="shared" ca="1" si="86"/>
        <v>1. FC NürnbergFSV Rauen</v>
      </c>
      <c r="AA170" s="13">
        <f t="shared" ca="1" si="85"/>
        <v>1</v>
      </c>
      <c r="AB170" s="13" t="str">
        <f ca="1">IF(AA170&gt;0,Y98&amp;Sprache!$E$111&amp;X98,"")</f>
        <v>4:3</v>
      </c>
      <c r="AC170" s="2"/>
      <c r="AD170" s="143"/>
    </row>
    <row r="171" spans="25:30" x14ac:dyDescent="0.2">
      <c r="Y171" s="67" t="s">
        <v>51</v>
      </c>
      <c r="Z171" s="35" t="str">
        <f t="shared" ca="1" si="86"/>
        <v>SV OberredenburgRB Leipzig</v>
      </c>
      <c r="AA171" s="13">
        <f t="shared" ca="1" si="85"/>
        <v>1</v>
      </c>
      <c r="AB171" s="13" t="str">
        <f ca="1">IF(AA171&gt;0,Y99&amp;Sprache!$E$111&amp;X99,"")</f>
        <v>0:3</v>
      </c>
      <c r="AC171" s="2"/>
      <c r="AD171" s="143"/>
    </row>
    <row r="172" spans="25:30" x14ac:dyDescent="0.2">
      <c r="Y172" s="67" t="s">
        <v>60</v>
      </c>
      <c r="Z172" s="35" t="str">
        <f t="shared" ca="1" si="86"/>
        <v>FC Barcelona1. FC Riedwald</v>
      </c>
      <c r="AA172" s="13">
        <f t="shared" ca="1" si="85"/>
        <v>1</v>
      </c>
      <c r="AB172" s="13" t="str">
        <f ca="1">IF(AA172&gt;0,Y100&amp;Sprache!$E$111&amp;X100,"")</f>
        <v>6:1</v>
      </c>
      <c r="AC172" s="2"/>
      <c r="AD172" s="143"/>
    </row>
    <row r="173" spans="25:30" x14ac:dyDescent="0.2">
      <c r="Y173" s="67" t="s">
        <v>61</v>
      </c>
      <c r="Z173" s="35" t="str">
        <f t="shared" ca="1" si="86"/>
        <v>Inter MailandMainz 05</v>
      </c>
      <c r="AA173" s="13">
        <f t="shared" ca="1" si="85"/>
        <v>1</v>
      </c>
      <c r="AB173" s="13" t="str">
        <f ca="1">IF(AA173&gt;0,Y101&amp;Sprache!$E$111&amp;X101,"")</f>
        <v>3:2</v>
      </c>
      <c r="AC173" s="2"/>
      <c r="AD173" s="143"/>
    </row>
    <row r="174" spans="25:30" x14ac:dyDescent="0.2">
      <c r="Y174" s="67" t="s">
        <v>62</v>
      </c>
      <c r="Z174" s="35" t="str">
        <f t="shared" ca="1" si="86"/>
        <v>Real MadridKickers Rodendorf</v>
      </c>
      <c r="AA174" s="13">
        <f t="shared" ca="1" si="85"/>
        <v>1</v>
      </c>
      <c r="AB174" s="13" t="str">
        <f ca="1">IF(AA174&gt;0,Y102&amp;Sprache!$E$111&amp;X102,"")</f>
        <v>5:1</v>
      </c>
      <c r="AC174" s="2"/>
      <c r="AD174" s="143"/>
    </row>
    <row r="175" spans="25:30" x14ac:dyDescent="0.2">
      <c r="Y175" s="67" t="s">
        <v>63</v>
      </c>
      <c r="Z175" s="35" t="str">
        <f t="shared" ca="1" si="86"/>
        <v>Paris St. GermainTSG Saalberg eV</v>
      </c>
      <c r="AA175" s="13">
        <f t="shared" ca="1" si="85"/>
        <v>1</v>
      </c>
      <c r="AB175" s="13" t="str">
        <f ca="1">IF(AA175&gt;0,Y103&amp;Sprache!$E$111&amp;X103,"")</f>
        <v>7:0</v>
      </c>
      <c r="AC175" s="2"/>
      <c r="AD175" s="143"/>
    </row>
    <row r="176" spans="25:30" x14ac:dyDescent="0.2">
      <c r="Y176" s="67" t="s">
        <v>64</v>
      </c>
      <c r="Z176" s="35" t="str">
        <f t="shared" ca="1" si="86"/>
        <v/>
      </c>
      <c r="AA176" s="13">
        <f t="shared" ca="1" si="85"/>
        <v>0</v>
      </c>
      <c r="AB176" s="13" t="str">
        <f ca="1">IF(AA176&gt;0,Y104&amp;Sprache!$E$111&amp;X104,"")</f>
        <v/>
      </c>
      <c r="AC176" s="2"/>
      <c r="AD176" s="143"/>
    </row>
    <row r="177" spans="25:30" x14ac:dyDescent="0.2">
      <c r="Y177" s="67" t="s">
        <v>65</v>
      </c>
      <c r="Z177" s="35" t="str">
        <f t="shared" ca="1" si="86"/>
        <v/>
      </c>
      <c r="AA177" s="13">
        <f t="shared" ca="1" si="85"/>
        <v>0</v>
      </c>
      <c r="AB177" s="13" t="str">
        <f ca="1">IF(AA177&gt;0,Y105&amp;Sprache!$E$111&amp;X105,"")</f>
        <v/>
      </c>
      <c r="AC177" s="2"/>
      <c r="AD177" s="143"/>
    </row>
    <row r="178" spans="25:30" x14ac:dyDescent="0.2">
      <c r="Y178" s="67" t="s">
        <v>66</v>
      </c>
      <c r="Z178" s="35" t="str">
        <f t="shared" ca="1" si="86"/>
        <v/>
      </c>
      <c r="AA178" s="13">
        <f t="shared" ca="1" si="85"/>
        <v>0</v>
      </c>
      <c r="AB178" s="13" t="str">
        <f ca="1">IF(AA178&gt;0,Y106&amp;Sprache!$E$111&amp;X106,"")</f>
        <v/>
      </c>
      <c r="AC178" s="2"/>
      <c r="AD178" s="143"/>
    </row>
    <row r="179" spans="25:30" x14ac:dyDescent="0.2">
      <c r="Y179" s="67" t="s">
        <v>67</v>
      </c>
      <c r="Z179" s="35" t="str">
        <f t="shared" ca="1" si="86"/>
        <v/>
      </c>
      <c r="AA179" s="13">
        <f t="shared" ca="1" si="85"/>
        <v>0</v>
      </c>
      <c r="AB179" s="13" t="str">
        <f ca="1">IF(AA179&gt;0,Y107&amp;Sprache!$E$111&amp;X107,"")</f>
        <v/>
      </c>
      <c r="AC179" s="2"/>
      <c r="AD179" s="143"/>
    </row>
    <row r="180" spans="25:30" x14ac:dyDescent="0.2">
      <c r="Y180" s="67" t="s">
        <v>68</v>
      </c>
      <c r="Z180" s="35" t="str">
        <f t="shared" ca="1" si="86"/>
        <v/>
      </c>
      <c r="AA180" s="13">
        <f t="shared" ca="1" si="85"/>
        <v>0</v>
      </c>
      <c r="AB180" s="13" t="str">
        <f ca="1">IF(AA180&gt;0,Y108&amp;Sprache!$E$111&amp;X108,"")</f>
        <v/>
      </c>
      <c r="AC180" s="2"/>
      <c r="AD180" s="143"/>
    </row>
    <row r="181" spans="25:30" x14ac:dyDescent="0.2">
      <c r="Y181" s="67" t="s">
        <v>69</v>
      </c>
      <c r="Z181" s="35" t="str">
        <f t="shared" ca="1" si="86"/>
        <v/>
      </c>
      <c r="AA181" s="13">
        <f t="shared" ca="1" si="85"/>
        <v>0</v>
      </c>
      <c r="AB181" s="13" t="str">
        <f ca="1">IF(AA181&gt;0,Y109&amp;Sprache!$E$111&amp;X109,"")</f>
        <v/>
      </c>
      <c r="AC181" s="2"/>
      <c r="AD181" s="143"/>
    </row>
    <row r="182" spans="25:30" x14ac:dyDescent="0.2">
      <c r="Y182" s="67" t="s">
        <v>70</v>
      </c>
      <c r="Z182" s="35" t="str">
        <f t="shared" ca="1" si="86"/>
        <v/>
      </c>
      <c r="AA182" s="13">
        <f t="shared" ca="1" si="85"/>
        <v>0</v>
      </c>
      <c r="AB182" s="13" t="str">
        <f ca="1">IF(AA182&gt;0,Y110&amp;Sprache!$E$111&amp;X110,"")</f>
        <v/>
      </c>
      <c r="AC182" s="2"/>
      <c r="AD182" s="143"/>
    </row>
    <row r="183" spans="25:30" x14ac:dyDescent="0.2">
      <c r="Y183" s="67" t="s">
        <v>71</v>
      </c>
      <c r="Z183" s="35" t="str">
        <f t="shared" ca="1" si="86"/>
        <v/>
      </c>
      <c r="AA183" s="13">
        <f t="shared" ca="1" si="85"/>
        <v>0</v>
      </c>
      <c r="AB183" s="13" t="str">
        <f ca="1">IF(AA183&gt;0,Y111&amp;Sprache!$E$111&amp;X111,"")</f>
        <v/>
      </c>
      <c r="AC183" s="2"/>
      <c r="AD183" s="143"/>
    </row>
    <row r="184" spans="25:30" x14ac:dyDescent="0.2">
      <c r="Y184" s="67" t="s">
        <v>72</v>
      </c>
      <c r="Z184" s="35" t="str">
        <f t="shared" ca="1" si="86"/>
        <v/>
      </c>
      <c r="AA184" s="13">
        <f t="shared" ca="1" si="85"/>
        <v>0</v>
      </c>
      <c r="AB184" s="13" t="str">
        <f ca="1">IF(AA184&gt;0,Y112&amp;Sprache!$E$111&amp;X112,"")</f>
        <v/>
      </c>
      <c r="AC184" s="2"/>
      <c r="AD184" s="143"/>
    </row>
    <row r="185" spans="25:30" x14ac:dyDescent="0.2">
      <c r="Y185" s="67" t="s">
        <v>73</v>
      </c>
      <c r="Z185" s="35" t="str">
        <f t="shared" ca="1" si="86"/>
        <v/>
      </c>
      <c r="AA185" s="13">
        <f t="shared" ca="1" si="85"/>
        <v>0</v>
      </c>
      <c r="AB185" s="13" t="str">
        <f ca="1">IF(AA185&gt;0,Y113&amp;Sprache!$E$111&amp;X113,"")</f>
        <v/>
      </c>
      <c r="AC185" s="2"/>
      <c r="AD185" s="143"/>
    </row>
    <row r="186" spans="25:30" x14ac:dyDescent="0.2">
      <c r="Y186" s="67" t="s">
        <v>74</v>
      </c>
      <c r="Z186" s="35" t="str">
        <f t="shared" ca="1" si="86"/>
        <v/>
      </c>
      <c r="AA186" s="13">
        <f t="shared" ca="1" si="85"/>
        <v>0</v>
      </c>
      <c r="AB186" s="13" t="str">
        <f ca="1">IF(AA186&gt;0,Y114&amp;Sprache!$E$111&amp;X114,"")</f>
        <v/>
      </c>
      <c r="AC186" s="2"/>
      <c r="AD186" s="143"/>
    </row>
    <row r="187" spans="25:30" x14ac:dyDescent="0.2">
      <c r="Y187" s="67" t="s">
        <v>75</v>
      </c>
      <c r="Z187" s="35" t="str">
        <f t="shared" ca="1" si="86"/>
        <v/>
      </c>
      <c r="AA187" s="13">
        <f t="shared" ca="1" si="85"/>
        <v>0</v>
      </c>
      <c r="AB187" s="13" t="str">
        <f ca="1">IF(AA187&gt;0,Y115&amp;Sprache!$E$111&amp;X115,"")</f>
        <v/>
      </c>
      <c r="AC187" s="2"/>
      <c r="AD187" s="143"/>
    </row>
    <row r="188" spans="25:30" x14ac:dyDescent="0.2">
      <c r="Y188" s="67" t="s">
        <v>76</v>
      </c>
      <c r="Z188" s="35" t="str">
        <f t="shared" ca="1" si="86"/>
        <v/>
      </c>
      <c r="AA188" s="13">
        <f t="shared" ca="1" si="85"/>
        <v>0</v>
      </c>
      <c r="AB188" s="13" t="str">
        <f ca="1">IF(AA188&gt;0,Y116&amp;Sprache!$E$111&amp;X116,"")</f>
        <v/>
      </c>
      <c r="AC188" s="2"/>
      <c r="AD188" s="143"/>
    </row>
    <row r="189" spans="25:30" x14ac:dyDescent="0.2">
      <c r="Y189" s="67" t="s">
        <v>77</v>
      </c>
      <c r="Z189" s="35" t="str">
        <f t="shared" ca="1" si="86"/>
        <v/>
      </c>
      <c r="AA189" s="13">
        <f t="shared" ca="1" si="85"/>
        <v>0</v>
      </c>
      <c r="AB189" s="13" t="str">
        <f ca="1">IF(AA189&gt;0,Y117&amp;Sprache!$E$111&amp;X117,"")</f>
        <v/>
      </c>
      <c r="AC189" s="2"/>
      <c r="AD189" s="143"/>
    </row>
    <row r="190" spans="25:30" x14ac:dyDescent="0.2">
      <c r="Y190" s="67" t="s">
        <v>78</v>
      </c>
      <c r="Z190" s="35" t="str">
        <f t="shared" ca="1" si="86"/>
        <v/>
      </c>
      <c r="AA190" s="13">
        <f t="shared" ca="1" si="85"/>
        <v>0</v>
      </c>
      <c r="AB190" s="13" t="str">
        <f ca="1">IF(AA190&gt;0,Y118&amp;Sprache!$E$111&amp;X118,"")</f>
        <v/>
      </c>
      <c r="AC190" s="2"/>
      <c r="AD190" s="143"/>
    </row>
    <row r="191" spans="25:30" x14ac:dyDescent="0.2">
      <c r="Y191" s="67" t="s">
        <v>79</v>
      </c>
      <c r="Z191" s="35" t="str">
        <f t="shared" ca="1" si="86"/>
        <v/>
      </c>
      <c r="AA191" s="13">
        <f t="shared" ca="1" si="85"/>
        <v>0</v>
      </c>
      <c r="AB191" s="13" t="str">
        <f ca="1">IF(AA191&gt;0,Y119&amp;Sprache!$E$111&amp;X119,"")</f>
        <v/>
      </c>
      <c r="AC191" s="2"/>
      <c r="AD191" s="143"/>
    </row>
    <row r="192" spans="25:30" x14ac:dyDescent="0.2">
      <c r="Y192" s="67" t="s">
        <v>80</v>
      </c>
      <c r="Z192" s="35" t="str">
        <f t="shared" ca="1" si="86"/>
        <v/>
      </c>
      <c r="AA192" s="13">
        <f t="shared" ca="1" si="85"/>
        <v>0</v>
      </c>
      <c r="AB192" s="13" t="str">
        <f ca="1">IF(AA192&gt;0,Y120&amp;Sprache!$E$111&amp;X120,"")</f>
        <v/>
      </c>
      <c r="AC192" s="2"/>
      <c r="AD192" s="143"/>
    </row>
    <row r="193" spans="25:30" x14ac:dyDescent="0.2">
      <c r="Y193" s="67" t="s">
        <v>81</v>
      </c>
      <c r="Z193" s="35" t="str">
        <f t="shared" ca="1" si="86"/>
        <v/>
      </c>
      <c r="AA193" s="13">
        <f t="shared" ca="1" si="85"/>
        <v>0</v>
      </c>
      <c r="AB193" s="13" t="str">
        <f ca="1">IF(AA193&gt;0,Y121&amp;Sprache!$E$111&amp;X121,"")</f>
        <v/>
      </c>
      <c r="AC193" s="2"/>
      <c r="AD193" s="143"/>
    </row>
    <row r="194" spans="25:30" x14ac:dyDescent="0.2">
      <c r="Y194" s="67" t="s">
        <v>82</v>
      </c>
      <c r="Z194" s="35" t="str">
        <f t="shared" ca="1" si="86"/>
        <v/>
      </c>
      <c r="AA194" s="13">
        <f t="shared" ca="1" si="85"/>
        <v>0</v>
      </c>
      <c r="AB194" s="13" t="str">
        <f ca="1">IF(AA194&gt;0,Y122&amp;Sprache!$E$111&amp;X122,"")</f>
        <v/>
      </c>
      <c r="AC194" s="2"/>
      <c r="AD194" s="143"/>
    </row>
    <row r="195" spans="25:30" x14ac:dyDescent="0.2">
      <c r="Y195" s="67" t="s">
        <v>83</v>
      </c>
      <c r="Z195" s="35" t="str">
        <f t="shared" ca="1" si="86"/>
        <v/>
      </c>
      <c r="AA195" s="13">
        <f t="shared" ca="1" si="85"/>
        <v>0</v>
      </c>
      <c r="AB195" s="13" t="str">
        <f ca="1">IF(AA195&gt;0,Y123&amp;Sprache!$E$111&amp;X123,"")</f>
        <v/>
      </c>
      <c r="AC195" s="2"/>
      <c r="AD195" s="143"/>
    </row>
    <row r="196" spans="25:30" x14ac:dyDescent="0.2">
      <c r="Y196" s="67" t="s">
        <v>84</v>
      </c>
      <c r="Z196" s="35" t="str">
        <f t="shared" si="86"/>
        <v/>
      </c>
      <c r="AA196" s="13">
        <f t="shared" si="85"/>
        <v>0</v>
      </c>
      <c r="AB196" s="13" t="str">
        <f>IF(AA196&gt;0,Y124&amp;Sprache!$E$111&amp;X124,"")</f>
        <v/>
      </c>
      <c r="AC196" s="2"/>
      <c r="AD196" s="143"/>
    </row>
    <row r="197" spans="25:30" x14ac:dyDescent="0.2">
      <c r="Y197" s="67" t="s">
        <v>85</v>
      </c>
      <c r="Z197" s="35" t="str">
        <f t="shared" si="86"/>
        <v/>
      </c>
      <c r="AA197" s="13">
        <f t="shared" si="85"/>
        <v>0</v>
      </c>
      <c r="AB197" s="13" t="str">
        <f>IF(AA197&gt;0,Y125&amp;Sprache!$E$111&amp;X125,"")</f>
        <v/>
      </c>
      <c r="AC197" s="2"/>
      <c r="AD197" s="143"/>
    </row>
    <row r="198" spans="25:30" x14ac:dyDescent="0.2">
      <c r="Y198" s="67" t="s">
        <v>86</v>
      </c>
      <c r="Z198" s="35" t="str">
        <f t="shared" si="86"/>
        <v/>
      </c>
      <c r="AA198" s="13">
        <f t="shared" si="85"/>
        <v>0</v>
      </c>
      <c r="AB198" s="13" t="str">
        <f>IF(AA198&gt;0,Y126&amp;Sprache!$E$111&amp;X126,"")</f>
        <v/>
      </c>
      <c r="AC198" s="2"/>
      <c r="AD198" s="143"/>
    </row>
    <row r="199" spans="25:30" x14ac:dyDescent="0.2">
      <c r="Y199" s="67" t="s">
        <v>87</v>
      </c>
      <c r="Z199" s="35" t="str">
        <f t="shared" si="86"/>
        <v/>
      </c>
      <c r="AA199" s="13">
        <f t="shared" si="85"/>
        <v>0</v>
      </c>
      <c r="AB199" s="13" t="str">
        <f>IF(AA199&gt;0,Y127&amp;Sprache!$E$111&amp;X127,"")</f>
        <v/>
      </c>
      <c r="AC199" s="2"/>
      <c r="AD199" s="143"/>
    </row>
    <row r="200" spans="25:30" x14ac:dyDescent="0.2">
      <c r="Y200" s="67" t="s">
        <v>88</v>
      </c>
      <c r="Z200" s="35" t="str">
        <f t="shared" si="86"/>
        <v/>
      </c>
      <c r="AA200" s="13">
        <f t="shared" si="85"/>
        <v>0</v>
      </c>
      <c r="AB200" s="13" t="str">
        <f>IF(AA200&gt;0,Y128&amp;Sprache!$E$111&amp;X128,"")</f>
        <v/>
      </c>
      <c r="AC200" s="2"/>
      <c r="AD200" s="143"/>
    </row>
    <row r="201" spans="25:30" x14ac:dyDescent="0.2">
      <c r="Y201" s="67" t="s">
        <v>89</v>
      </c>
      <c r="Z201" s="35" t="str">
        <f t="shared" si="86"/>
        <v/>
      </c>
      <c r="AA201" s="13">
        <f t="shared" ref="AA201:AA207" si="87">AA129</f>
        <v>0</v>
      </c>
      <c r="AB201" s="13" t="str">
        <f>IF(AA201&gt;0,Y129&amp;Sprache!$E$111&amp;X129,"")</f>
        <v/>
      </c>
      <c r="AC201" s="2"/>
      <c r="AD201" s="143"/>
    </row>
    <row r="202" spans="25:30" x14ac:dyDescent="0.2">
      <c r="Y202" s="67" t="s">
        <v>90</v>
      </c>
      <c r="Z202" s="35" t="str">
        <f t="shared" ref="Z202:Z206" si="88">W130&amp;V130</f>
        <v/>
      </c>
      <c r="AA202" s="13">
        <f t="shared" si="87"/>
        <v>0</v>
      </c>
      <c r="AB202" s="13" t="str">
        <f>IF(AA202&gt;0,Y130&amp;Sprache!$E$111&amp;X130,"")</f>
        <v/>
      </c>
      <c r="AC202" s="2"/>
      <c r="AD202" s="143"/>
    </row>
    <row r="203" spans="25:30" x14ac:dyDescent="0.2">
      <c r="Y203" s="67" t="s">
        <v>91</v>
      </c>
      <c r="Z203" s="35" t="str">
        <f t="shared" si="88"/>
        <v/>
      </c>
      <c r="AA203" s="13">
        <f t="shared" si="87"/>
        <v>0</v>
      </c>
      <c r="AB203" s="13" t="str">
        <f>IF(AA203&gt;0,Y131&amp;Sprache!$E$111&amp;X131,"")</f>
        <v/>
      </c>
      <c r="AC203" s="2"/>
      <c r="AD203" s="143"/>
    </row>
    <row r="204" spans="25:30" x14ac:dyDescent="0.2">
      <c r="Y204" s="67" t="s">
        <v>92</v>
      </c>
      <c r="Z204" s="35" t="str">
        <f t="shared" si="88"/>
        <v/>
      </c>
      <c r="AA204" s="13">
        <f t="shared" si="87"/>
        <v>0</v>
      </c>
      <c r="AB204" s="13" t="str">
        <f>IF(AA204&gt;0,Y132&amp;Sprache!$E$111&amp;X132,"")</f>
        <v/>
      </c>
      <c r="AC204" s="2"/>
      <c r="AD204" s="143"/>
    </row>
    <row r="205" spans="25:30" x14ac:dyDescent="0.2">
      <c r="Y205" s="67" t="s">
        <v>93</v>
      </c>
      <c r="Z205" s="35" t="str">
        <f t="shared" si="88"/>
        <v/>
      </c>
      <c r="AA205" s="13">
        <f t="shared" si="87"/>
        <v>0</v>
      </c>
      <c r="AB205" s="13" t="str">
        <f>IF(AA205&gt;0,Y133&amp;Sprache!$E$111&amp;X133,"")</f>
        <v/>
      </c>
      <c r="AC205" s="2"/>
      <c r="AD205" s="143"/>
    </row>
    <row r="206" spans="25:30" x14ac:dyDescent="0.2">
      <c r="Y206" s="67" t="s">
        <v>94</v>
      </c>
      <c r="Z206" s="35" t="str">
        <f t="shared" si="88"/>
        <v/>
      </c>
      <c r="AA206" s="13">
        <f t="shared" si="87"/>
        <v>0</v>
      </c>
      <c r="AB206" s="13" t="str">
        <f>IF(AA206&gt;0,Y134&amp;Sprache!$E$111&amp;X134,"")</f>
        <v/>
      </c>
      <c r="AC206" s="2"/>
      <c r="AD206" s="143"/>
    </row>
    <row r="207" spans="25:30" ht="12.75" thickBot="1" x14ac:dyDescent="0.25">
      <c r="Y207" s="68" t="s">
        <v>95</v>
      </c>
      <c r="Z207" s="37" t="str">
        <f>W135&amp;V135</f>
        <v/>
      </c>
      <c r="AA207" s="38">
        <f t="shared" si="87"/>
        <v>0</v>
      </c>
      <c r="AB207" s="144" t="str">
        <f>IF(AA207&gt;0,Y135&amp;Sprache!$E$111&amp;X135,"")</f>
        <v/>
      </c>
      <c r="AC207" s="146"/>
      <c r="AD207" s="145"/>
    </row>
    <row r="208" spans="25:30" ht="12.75" thickTop="1" x14ac:dyDescent="0.2"/>
  </sheetData>
  <mergeCells count="14">
    <mergeCell ref="BI29:BP29"/>
    <mergeCell ref="AS29:AZ29"/>
    <mergeCell ref="BA29:BH29"/>
    <mergeCell ref="E29:L29"/>
    <mergeCell ref="M29:T29"/>
    <mergeCell ref="U29:AB29"/>
    <mergeCell ref="AC29:AJ29"/>
    <mergeCell ref="AK29:AR29"/>
    <mergeCell ref="AE63:AF63"/>
    <mergeCell ref="W3:AA3"/>
    <mergeCell ref="AB3:AF3"/>
    <mergeCell ref="AG3:AK3"/>
    <mergeCell ref="AL3:AP3"/>
    <mergeCell ref="AD15:AH15"/>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122"/>
  <sheetViews>
    <sheetView workbookViewId="0"/>
  </sheetViews>
  <sheetFormatPr baseColWidth="10" defaultRowHeight="12.75" x14ac:dyDescent="0.2"/>
  <cols>
    <col min="2" max="2" width="11.42578125" style="167"/>
    <col min="3" max="3" width="21.85546875" style="105" customWidth="1"/>
    <col min="4" max="4" width="8.28515625" style="446" customWidth="1"/>
    <col min="5" max="5" width="14.140625" style="167" customWidth="1"/>
    <col min="6" max="6" width="14.28515625" style="167" customWidth="1"/>
    <col min="7" max="7" width="17.5703125" style="167" customWidth="1"/>
    <col min="8" max="8" width="5.7109375" style="167" customWidth="1"/>
    <col min="9" max="17" width="4.7109375" style="167" customWidth="1"/>
    <col min="18" max="44" width="4.7109375" customWidth="1"/>
  </cols>
  <sheetData>
    <row r="1" spans="2:44" ht="13.5" thickBot="1" x14ac:dyDescent="0.25"/>
    <row r="2" spans="2:44" ht="24.75" customHeight="1" thickTop="1" thickBot="1" x14ac:dyDescent="0.25">
      <c r="D2" s="451"/>
      <c r="E2" s="450">
        <f ca="1">COUNTIF($C$3:$C$122,"")</f>
        <v>0</v>
      </c>
      <c r="F2" s="450">
        <f t="array" aca="1" ref="F2" ca="1">SUMPRODUCT(($C$3:$C$122&lt;&gt;"")/($D$3:$D$122+($C$3:$C$122="")))</f>
        <v>120</v>
      </c>
      <c r="G2" s="457" t="str">
        <f ca="1">IF(E2+F2&lt;120,"FEHLER","okay")</f>
        <v>okay</v>
      </c>
      <c r="H2" s="450"/>
    </row>
    <row r="3" spans="2:44" ht="13.5" thickTop="1" x14ac:dyDescent="0.2">
      <c r="B3" s="167">
        <v>1</v>
      </c>
      <c r="C3" s="105" t="str">
        <f ca="1">IF(OR(Planung!$L6="",Planung!$N6=""),"Z"&amp;ROW($M6),Planung!$I6&amp;Planung!$F6)</f>
        <v>A50,375</v>
      </c>
      <c r="D3" s="454">
        <f t="array" aca="1" ref="D3:D122" ca="1">COUNTIF($C$3:$C$122,$C$3:$C$122)</f>
        <v>1</v>
      </c>
      <c r="E3" s="454" t="e">
        <f ca="1">IF($F$8&gt;60,$F$8-60,$F$8)</f>
        <v>#NUM!</v>
      </c>
      <c r="F3" s="397" t="s">
        <v>360</v>
      </c>
      <c r="G3" s="446"/>
    </row>
    <row r="4" spans="2:44" x14ac:dyDescent="0.2">
      <c r="B4" s="167">
        <v>2</v>
      </c>
      <c r="C4" s="105" t="str">
        <f ca="1">IF(OR(Planung!$L7="",Planung!$N7=""),"Z"&amp;ROW($M7),Planung!$I7&amp;Planung!$F7)</f>
        <v>B50,375</v>
      </c>
      <c r="D4" s="454">
        <f ca="1"/>
        <v>1</v>
      </c>
      <c r="E4" s="454" t="e">
        <f ca="1">IF($F$9&gt;60,$F$9-60,$F$9)</f>
        <v>#NUM!</v>
      </c>
      <c r="F4" s="397" t="s">
        <v>361</v>
      </c>
    </row>
    <row r="5" spans="2:44" x14ac:dyDescent="0.2">
      <c r="B5" s="167">
        <v>3</v>
      </c>
      <c r="C5" s="105" t="str">
        <f ca="1">IF(OR(Planung!$L8="",Planung!$N8=""),"Z"&amp;ROW($M8),Planung!$I8&amp;Planung!$F8)</f>
        <v>C50,375</v>
      </c>
      <c r="D5" s="454">
        <f ca="1"/>
        <v>1</v>
      </c>
      <c r="E5" s="397" t="str">
        <f t="array" aca="1" ref="E5" ca="1">VLOOKUP(MATCH($E$7,$D$3:$D$122,0),$B$3:$C$62,2,0)</f>
        <v>A50,375</v>
      </c>
      <c r="F5" s="541" t="s">
        <v>362</v>
      </c>
      <c r="H5" s="388"/>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388"/>
      <c r="AO5" s="388"/>
      <c r="AP5" s="388"/>
      <c r="AQ5" s="388"/>
      <c r="AR5" s="388"/>
    </row>
    <row r="6" spans="2:44" ht="13.5" thickBot="1" x14ac:dyDescent="0.25">
      <c r="B6" s="167">
        <v>4</v>
      </c>
      <c r="C6" s="105" t="str">
        <f ca="1">IF(OR(Planung!$L9="",Planung!$N9=""),"Z"&amp;ROW($M9),Planung!$I9&amp;Planung!$F9)</f>
        <v>D50,375</v>
      </c>
      <c r="D6" s="454">
        <f ca="1"/>
        <v>1</v>
      </c>
      <c r="E6" s="167" t="str">
        <f ca="1">LEFT($E$5,2)</f>
        <v>A5</v>
      </c>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row>
    <row r="7" spans="2:44" ht="13.5" thickBot="1" x14ac:dyDescent="0.25">
      <c r="B7" s="167">
        <v>5</v>
      </c>
      <c r="C7" s="105" t="str">
        <f ca="1">IF(OR(Planung!$L10="",Planung!$N10=""),"Z"&amp;ROW($M10),Planung!$I10&amp;Planung!$F10)</f>
        <v>A30,399305555555556</v>
      </c>
      <c r="D7" s="454">
        <f ca="1"/>
        <v>1</v>
      </c>
      <c r="E7" s="567">
        <f ca="1">MAX($D$3:$D$122)</f>
        <v>1</v>
      </c>
      <c r="H7" s="456"/>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row>
    <row r="8" spans="2:44" x14ac:dyDescent="0.2">
      <c r="B8" s="167">
        <v>6</v>
      </c>
      <c r="C8" s="105" t="str">
        <f ca="1">IF(OR(Planung!$L11="",Planung!$N11=""),"Z"&amp;ROW($M11),Planung!$I11&amp;Planung!$F11)</f>
        <v>B30,399305555555556</v>
      </c>
      <c r="D8" s="454">
        <f ca="1"/>
        <v>1</v>
      </c>
      <c r="E8" s="167">
        <f t="array" aca="1" ref="E8" ca="1">MATCH($E$7,$D$3:$D$122,0)</f>
        <v>1</v>
      </c>
      <c r="F8" s="167" t="e">
        <f ca="1">IF($E$8&lt;$E$9,$E$8,$E$9)</f>
        <v>#NUM!</v>
      </c>
      <c r="H8" s="456"/>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row>
    <row r="9" spans="2:44" x14ac:dyDescent="0.2">
      <c r="B9" s="167">
        <v>7</v>
      </c>
      <c r="C9" s="105" t="str">
        <f ca="1">IF(OR(Planung!$L12="",Planung!$N12=""),"Z"&amp;ROW($M12),Planung!$I12&amp;Planung!$F12)</f>
        <v>C30,399305555555556</v>
      </c>
      <c r="D9" s="454">
        <f ca="1"/>
        <v>1</v>
      </c>
      <c r="E9" s="167" t="e">
        <f t="array" aca="1" ref="E9" ca="1">INDEX($B$3:$B$122,SMALL(IF($E$5=$C$3:$C$122,ROW($C$3:$C$122)-ROW($C$3)+1),2))</f>
        <v>#NUM!</v>
      </c>
      <c r="F9" s="167" t="e">
        <f ca="1">IF($E$8&gt;$E$9,$E$8,$E$9)</f>
        <v>#NUM!</v>
      </c>
      <c r="H9" s="456"/>
      <c r="I9" s="458"/>
      <c r="J9" s="458"/>
      <c r="K9" s="458"/>
      <c r="L9" s="458"/>
      <c r="M9" s="458"/>
      <c r="N9" s="458"/>
      <c r="O9" s="458"/>
      <c r="P9" s="458"/>
      <c r="Q9" s="458"/>
      <c r="R9" s="458"/>
      <c r="S9" s="458"/>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row>
    <row r="10" spans="2:44" x14ac:dyDescent="0.2">
      <c r="B10" s="167">
        <v>8</v>
      </c>
      <c r="C10" s="105" t="str">
        <f ca="1">IF(OR(Planung!$L13="",Planung!$N13=""),"Z"&amp;ROW($M13),Planung!$I13&amp;Planung!$F13)</f>
        <v>D30,399305555555556</v>
      </c>
      <c r="D10" s="454">
        <f ca="1"/>
        <v>1</v>
      </c>
      <c r="H10" s="456"/>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row>
    <row r="11" spans="2:44" x14ac:dyDescent="0.2">
      <c r="B11" s="167">
        <v>9</v>
      </c>
      <c r="C11" s="105" t="str">
        <f ca="1">IF(OR(Planung!$L14="",Planung!$N14=""),"Z"&amp;ROW($M14),Planung!$I14&amp;Planung!$F14)</f>
        <v>A50,423611111111111</v>
      </c>
      <c r="D11" s="454">
        <f ca="1"/>
        <v>1</v>
      </c>
      <c r="H11" s="456"/>
      <c r="I11" s="458"/>
      <c r="J11" s="458"/>
      <c r="K11" s="458"/>
      <c r="L11" s="458"/>
      <c r="M11" s="458"/>
      <c r="N11" s="458"/>
      <c r="O11" s="458"/>
      <c r="P11" s="458"/>
      <c r="Q11" s="458"/>
      <c r="R11" s="458"/>
      <c r="S11" s="458"/>
      <c r="T11" s="458"/>
      <c r="U11" s="458"/>
      <c r="V11" s="458"/>
      <c r="W11" s="458"/>
      <c r="X11" s="458"/>
      <c r="Y11" s="458"/>
      <c r="Z11" s="458"/>
      <c r="AA11" s="458"/>
      <c r="AB11" s="458"/>
      <c r="AC11" s="458"/>
      <c r="AD11" s="458"/>
      <c r="AE11" s="458"/>
      <c r="AF11" s="458"/>
      <c r="AG11" s="458"/>
      <c r="AH11" s="458"/>
      <c r="AI11" s="458"/>
      <c r="AJ11" s="458"/>
      <c r="AK11" s="458"/>
      <c r="AL11" s="458"/>
      <c r="AM11" s="458"/>
      <c r="AN11" s="458"/>
      <c r="AO11" s="458"/>
      <c r="AP11" s="458"/>
      <c r="AQ11" s="458"/>
      <c r="AR11" s="458"/>
    </row>
    <row r="12" spans="2:44" x14ac:dyDescent="0.2">
      <c r="B12" s="167">
        <v>10</v>
      </c>
      <c r="C12" s="105" t="str">
        <f ca="1">IF(OR(Planung!$L15="",Planung!$N15=""),"Z"&amp;ROW($M15),Planung!$I15&amp;Planung!$F15)</f>
        <v>B50,423611111111111</v>
      </c>
      <c r="D12" s="454">
        <f ca="1"/>
        <v>1</v>
      </c>
      <c r="H12" s="456"/>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row>
    <row r="13" spans="2:44" x14ac:dyDescent="0.2">
      <c r="B13" s="167">
        <v>11</v>
      </c>
      <c r="C13" s="105" t="str">
        <f ca="1">IF(OR(Planung!$L16="",Planung!$N16=""),"Z"&amp;ROW($M16),Planung!$I16&amp;Planung!$F16)</f>
        <v>C50,423611111111111</v>
      </c>
      <c r="D13" s="454">
        <f ca="1"/>
        <v>1</v>
      </c>
    </row>
    <row r="14" spans="2:44" x14ac:dyDescent="0.2">
      <c r="B14" s="167">
        <v>12</v>
      </c>
      <c r="C14" s="105" t="str">
        <f ca="1">IF(OR(Planung!$L17="",Planung!$N17=""),"Z"&amp;ROW($M17),Planung!$I17&amp;Planung!$F17)</f>
        <v>D50,423611111111111</v>
      </c>
      <c r="D14" s="454">
        <f ca="1"/>
        <v>1</v>
      </c>
    </row>
    <row r="15" spans="2:44" x14ac:dyDescent="0.2">
      <c r="B15" s="167">
        <v>13</v>
      </c>
      <c r="C15" s="105" t="str">
        <f ca="1">IF(OR(Planung!$L18="",Planung!$N18=""),"Z"&amp;ROW($M18),Planung!$I18&amp;Planung!$F18)</f>
        <v>A20,447916666666667</v>
      </c>
      <c r="D15" s="454">
        <f ca="1"/>
        <v>1</v>
      </c>
    </row>
    <row r="16" spans="2:44" x14ac:dyDescent="0.2">
      <c r="B16" s="167">
        <v>14</v>
      </c>
      <c r="C16" s="105" t="str">
        <f ca="1">IF(OR(Planung!$L19="",Planung!$N19=""),"Z"&amp;ROW($M19),Planung!$I19&amp;Planung!$F19)</f>
        <v>B20,447916666666667</v>
      </c>
      <c r="D16" s="454">
        <f ca="1"/>
        <v>1</v>
      </c>
    </row>
    <row r="17" spans="2:29" x14ac:dyDescent="0.2">
      <c r="B17" s="167">
        <v>15</v>
      </c>
      <c r="C17" s="105" t="str">
        <f ca="1">IF(OR(Planung!$L20="",Planung!$N20=""),"Z"&amp;ROW($M20),Planung!$I20&amp;Planung!$F20)</f>
        <v>C20,447916666666667</v>
      </c>
      <c r="D17" s="454">
        <f ca="1"/>
        <v>1</v>
      </c>
      <c r="Q17" s="455"/>
      <c r="R17" s="388"/>
      <c r="S17" s="388"/>
      <c r="T17" s="388"/>
      <c r="U17" s="459"/>
      <c r="V17" s="388"/>
      <c r="W17" s="388"/>
      <c r="X17" s="388"/>
    </row>
    <row r="18" spans="2:29" x14ac:dyDescent="0.2">
      <c r="B18" s="167">
        <v>16</v>
      </c>
      <c r="C18" s="105" t="str">
        <f ca="1">IF(OR(Planung!$L21="",Planung!$N21=""),"Z"&amp;ROW($M21),Planung!$I21&amp;Planung!$F21)</f>
        <v>D20,447916666666667</v>
      </c>
      <c r="D18" s="454">
        <f ca="1"/>
        <v>1</v>
      </c>
      <c r="Q18" s="455"/>
      <c r="R18" s="388"/>
      <c r="S18" s="388"/>
      <c r="T18" s="388"/>
      <c r="U18" s="459"/>
      <c r="V18" s="388"/>
      <c r="W18" s="455"/>
      <c r="X18" s="455"/>
      <c r="Y18" s="301"/>
      <c r="Z18" s="301"/>
      <c r="AA18" s="301"/>
      <c r="AB18" s="301"/>
      <c r="AC18" s="301"/>
    </row>
    <row r="19" spans="2:29" x14ac:dyDescent="0.2">
      <c r="B19" s="167">
        <v>17</v>
      </c>
      <c r="C19" s="105" t="str">
        <f ca="1">IF(OR(Planung!$L22="",Planung!$N22=""),"Z"&amp;ROW($M22),Planung!$I22&amp;Planung!$F22)</f>
        <v>A10,472222222222222</v>
      </c>
      <c r="D19" s="454">
        <f ca="1"/>
        <v>1</v>
      </c>
      <c r="Q19" s="455"/>
      <c r="R19" s="388"/>
      <c r="S19" s="388"/>
      <c r="T19" s="388"/>
      <c r="U19" s="459"/>
      <c r="V19" s="388"/>
      <c r="W19" s="388"/>
      <c r="X19" s="388"/>
      <c r="Y19" s="302"/>
      <c r="Z19" s="302"/>
      <c r="AA19" s="302"/>
      <c r="AB19" s="302"/>
      <c r="AC19" s="302"/>
    </row>
    <row r="20" spans="2:29" x14ac:dyDescent="0.2">
      <c r="B20" s="167">
        <v>18</v>
      </c>
      <c r="C20" s="105" t="str">
        <f ca="1">IF(OR(Planung!$L23="",Planung!$N23=""),"Z"&amp;ROW($M23),Planung!$I23&amp;Planung!$F23)</f>
        <v>B10,472222222222222</v>
      </c>
      <c r="D20" s="454">
        <f ca="1"/>
        <v>1</v>
      </c>
      <c r="Q20" s="455"/>
      <c r="R20" s="388"/>
      <c r="S20" s="388"/>
      <c r="T20" s="388"/>
      <c r="U20" s="388"/>
      <c r="V20" s="388"/>
      <c r="W20" s="388"/>
      <c r="X20" s="388"/>
      <c r="Y20" s="302"/>
      <c r="Z20" s="302"/>
      <c r="AA20" s="302"/>
      <c r="AB20" s="302"/>
      <c r="AC20" s="302"/>
    </row>
    <row r="21" spans="2:29" x14ac:dyDescent="0.2">
      <c r="B21" s="167">
        <v>19</v>
      </c>
      <c r="C21" s="105" t="str">
        <f ca="1">IF(OR(Planung!$L24="",Planung!$N24=""),"Z"&amp;ROW($M24),Planung!$I24&amp;Planung!$F24)</f>
        <v>C10,472222222222222</v>
      </c>
      <c r="D21" s="454">
        <f ca="1"/>
        <v>1</v>
      </c>
      <c r="G21" s="779" t="s">
        <v>259</v>
      </c>
      <c r="Q21" s="455"/>
      <c r="R21" s="388"/>
      <c r="S21" s="388"/>
      <c r="T21" s="388"/>
      <c r="U21" s="388"/>
      <c r="V21" s="388"/>
      <c r="W21" s="388"/>
      <c r="X21" s="388"/>
      <c r="Y21" s="302"/>
      <c r="Z21" s="302"/>
      <c r="AA21" s="302"/>
      <c r="AB21" s="302"/>
      <c r="AC21" s="302"/>
    </row>
    <row r="22" spans="2:29" x14ac:dyDescent="0.2">
      <c r="B22" s="167">
        <v>20</v>
      </c>
      <c r="C22" s="105" t="str">
        <f ca="1">IF(OR(Planung!$L25="",Planung!$N25=""),"Z"&amp;ROW($M25),Planung!$I25&amp;Planung!$F25)</f>
        <v>D10,472222222222222</v>
      </c>
      <c r="D22" s="454">
        <f ca="1"/>
        <v>1</v>
      </c>
      <c r="G22" s="779"/>
      <c r="Q22" s="455"/>
      <c r="R22" s="388"/>
      <c r="S22" s="388"/>
      <c r="T22" s="388"/>
      <c r="U22" s="388"/>
      <c r="V22" s="388"/>
      <c r="W22" s="388"/>
      <c r="X22" s="388"/>
      <c r="Y22" s="302"/>
      <c r="Z22" s="302"/>
      <c r="AA22" s="302"/>
      <c r="AB22" s="302"/>
      <c r="AC22" s="302"/>
    </row>
    <row r="23" spans="2:29" x14ac:dyDescent="0.2">
      <c r="B23" s="167">
        <v>21</v>
      </c>
      <c r="C23" s="105" t="str">
        <f ca="1">IF(OR(Planung!$L26="",Planung!$N26=""),"Z"&amp;ROW($M26),Planung!$I26&amp;Planung!$F26)</f>
        <v>A30,496527777777778</v>
      </c>
      <c r="D23" s="454">
        <f ca="1"/>
        <v>1</v>
      </c>
      <c r="G23" s="779" t="s">
        <v>260</v>
      </c>
      <c r="Q23" s="455"/>
      <c r="R23" s="388"/>
      <c r="S23" s="388"/>
      <c r="T23" s="388"/>
      <c r="U23" s="388"/>
      <c r="V23" s="388"/>
      <c r="W23" s="388"/>
      <c r="X23" s="388"/>
      <c r="Y23" s="302"/>
      <c r="Z23" s="302"/>
      <c r="AA23" s="302"/>
      <c r="AB23" s="302"/>
      <c r="AC23" s="302"/>
    </row>
    <row r="24" spans="2:29" x14ac:dyDescent="0.2">
      <c r="B24" s="167">
        <v>22</v>
      </c>
      <c r="C24" s="105" t="str">
        <f ca="1">IF(OR(Planung!$L27="",Planung!$N27=""),"Z"&amp;ROW($M27),Planung!$I27&amp;Planung!$F27)</f>
        <v>B30,496527777777778</v>
      </c>
      <c r="D24" s="454">
        <f ca="1"/>
        <v>1</v>
      </c>
      <c r="G24" s="779"/>
      <c r="Q24" s="455"/>
      <c r="R24" s="388"/>
      <c r="S24" s="388"/>
      <c r="T24" s="388"/>
      <c r="U24" s="388"/>
      <c r="V24" s="388"/>
      <c r="W24" s="388"/>
      <c r="X24" s="388"/>
      <c r="Y24" s="302"/>
      <c r="Z24" s="302"/>
      <c r="AA24" s="302"/>
      <c r="AB24" s="302"/>
      <c r="AC24" s="302"/>
    </row>
    <row r="25" spans="2:29" x14ac:dyDescent="0.2">
      <c r="B25" s="167">
        <v>23</v>
      </c>
      <c r="C25" s="105" t="str">
        <f ca="1">IF(OR(Planung!$L28="",Planung!$N28=""),"Z"&amp;ROW($M28),Planung!$I28&amp;Planung!$F28)</f>
        <v>C30,496527777777778</v>
      </c>
      <c r="D25" s="454">
        <f ca="1"/>
        <v>1</v>
      </c>
      <c r="G25" s="779" t="s">
        <v>261</v>
      </c>
      <c r="Q25" s="455"/>
      <c r="R25" s="388"/>
      <c r="S25" s="388"/>
      <c r="T25" s="388"/>
      <c r="U25" s="388"/>
      <c r="V25" s="388"/>
      <c r="W25" s="388"/>
      <c r="X25" s="388"/>
      <c r="Y25" s="302"/>
      <c r="Z25" s="302"/>
      <c r="AA25" s="302"/>
      <c r="AB25" s="302"/>
      <c r="AC25" s="302"/>
    </row>
    <row r="26" spans="2:29" x14ac:dyDescent="0.2">
      <c r="B26" s="167">
        <v>24</v>
      </c>
      <c r="C26" s="105" t="str">
        <f ca="1">IF(OR(Planung!$L29="",Planung!$N29=""),"Z"&amp;ROW($M29),Planung!$I29&amp;Planung!$F29)</f>
        <v>D30,496527777777778</v>
      </c>
      <c r="D26" s="454">
        <f ca="1"/>
        <v>1</v>
      </c>
      <c r="G26" s="779"/>
      <c r="Q26" s="455"/>
      <c r="R26" s="388"/>
      <c r="S26" s="388"/>
      <c r="T26" s="388"/>
      <c r="U26" s="388"/>
      <c r="V26" s="388"/>
      <c r="W26" s="388"/>
      <c r="X26" s="388"/>
      <c r="Y26" s="302"/>
      <c r="Z26" s="302"/>
      <c r="AA26" s="302"/>
      <c r="AB26" s="302"/>
      <c r="AC26" s="302"/>
    </row>
    <row r="27" spans="2:29" x14ac:dyDescent="0.2">
      <c r="B27" s="167">
        <v>25</v>
      </c>
      <c r="C27" s="105" t="str">
        <f ca="1">IF(OR(Planung!$L30="",Planung!$N30=""),"Z"&amp;ROW($M30),Planung!$I30&amp;Planung!$F30)</f>
        <v>A20,520833333333333</v>
      </c>
      <c r="D27" s="454">
        <f ca="1"/>
        <v>1</v>
      </c>
      <c r="G27" s="779" t="s">
        <v>262</v>
      </c>
    </row>
    <row r="28" spans="2:29" x14ac:dyDescent="0.2">
      <c r="B28" s="167">
        <v>26</v>
      </c>
      <c r="C28" s="105" t="str">
        <f ca="1">IF(OR(Planung!$L31="",Planung!$N31=""),"Z"&amp;ROW($M31),Planung!$I31&amp;Planung!$F31)</f>
        <v>B20,520833333333333</v>
      </c>
      <c r="D28" s="454">
        <f ca="1"/>
        <v>1</v>
      </c>
      <c r="G28" s="779"/>
    </row>
    <row r="29" spans="2:29" x14ac:dyDescent="0.2">
      <c r="B29" s="167">
        <v>27</v>
      </c>
      <c r="C29" s="105" t="str">
        <f ca="1">IF(OR(Planung!$L32="",Planung!$N32=""),"Z"&amp;ROW($M32),Planung!$I32&amp;Planung!$F32)</f>
        <v>C20,520833333333333</v>
      </c>
      <c r="D29" s="454">
        <f ca="1"/>
        <v>1</v>
      </c>
      <c r="G29" s="779" t="s">
        <v>263</v>
      </c>
    </row>
    <row r="30" spans="2:29" x14ac:dyDescent="0.2">
      <c r="B30" s="167">
        <v>28</v>
      </c>
      <c r="C30" s="105" t="str">
        <f ca="1">IF(OR(Planung!$L33="",Planung!$N33=""),"Z"&amp;ROW($M33),Planung!$I33&amp;Planung!$F33)</f>
        <v>D20,520833333333333</v>
      </c>
      <c r="D30" s="454">
        <f ca="1"/>
        <v>1</v>
      </c>
      <c r="G30" s="779"/>
    </row>
    <row r="31" spans="2:29" x14ac:dyDescent="0.2">
      <c r="B31" s="167">
        <v>29</v>
      </c>
      <c r="C31" s="105" t="str">
        <f ca="1">IF(OR(Planung!$L34="",Planung!$N34=""),"Z"&amp;ROW($M34),Planung!$I34&amp;Planung!$F34)</f>
        <v>A30,545138888888889</v>
      </c>
      <c r="D31" s="454">
        <f ca="1"/>
        <v>1</v>
      </c>
    </row>
    <row r="32" spans="2:29" x14ac:dyDescent="0.2">
      <c r="B32" s="167">
        <v>30</v>
      </c>
      <c r="C32" s="105" t="str">
        <f ca="1">IF(OR(Planung!$L35="",Planung!$N35=""),"Z"&amp;ROW($M35),Planung!$I35&amp;Planung!$F35)</f>
        <v>B30,545138888888889</v>
      </c>
      <c r="D32" s="454">
        <f ca="1"/>
        <v>1</v>
      </c>
    </row>
    <row r="33" spans="2:7" x14ac:dyDescent="0.2">
      <c r="B33" s="167">
        <v>31</v>
      </c>
      <c r="C33" s="105" t="str">
        <f ca="1">IF(OR(Planung!$L36="",Planung!$N36=""),"Z"&amp;ROW($M36),Planung!$I36&amp;Planung!$F36)</f>
        <v>C30,545138888888889</v>
      </c>
      <c r="D33" s="454">
        <f ca="1"/>
        <v>1</v>
      </c>
      <c r="G33" s="779" t="s">
        <v>264</v>
      </c>
    </row>
    <row r="34" spans="2:7" x14ac:dyDescent="0.2">
      <c r="B34" s="167">
        <v>32</v>
      </c>
      <c r="C34" s="105" t="str">
        <f ca="1">IF(OR(Planung!$L37="",Planung!$N37=""),"Z"&amp;ROW($M37),Planung!$I37&amp;Planung!$F37)</f>
        <v>D30,545138888888889</v>
      </c>
      <c r="D34" s="454">
        <f ca="1"/>
        <v>1</v>
      </c>
      <c r="G34" s="779"/>
    </row>
    <row r="35" spans="2:7" x14ac:dyDescent="0.2">
      <c r="B35" s="167">
        <v>33</v>
      </c>
      <c r="C35" s="105" t="str">
        <f ca="1">IF(OR(Planung!$L38="",Planung!$N38=""),"Z"&amp;ROW($M38),Planung!$I38&amp;Planung!$F38)</f>
        <v>A40,569444444444444</v>
      </c>
      <c r="D35" s="454">
        <f ca="1"/>
        <v>1</v>
      </c>
      <c r="G35" s="779" t="s">
        <v>265</v>
      </c>
    </row>
    <row r="36" spans="2:7" x14ac:dyDescent="0.2">
      <c r="B36" s="167">
        <v>34</v>
      </c>
      <c r="C36" s="105" t="str">
        <f ca="1">IF(OR(Planung!$L39="",Planung!$N39=""),"Z"&amp;ROW($M39),Planung!$I39&amp;Planung!$F39)</f>
        <v>B40,569444444444444</v>
      </c>
      <c r="D36" s="454">
        <f ca="1"/>
        <v>1</v>
      </c>
      <c r="G36" s="779"/>
    </row>
    <row r="37" spans="2:7" x14ac:dyDescent="0.2">
      <c r="B37" s="167">
        <v>35</v>
      </c>
      <c r="C37" s="105" t="str">
        <f ca="1">IF(OR(Planung!$L40="",Planung!$N40=""),"Z"&amp;ROW($M40),Planung!$I40&amp;Planung!$F40)</f>
        <v>C40,569444444444444</v>
      </c>
      <c r="D37" s="454">
        <f ca="1"/>
        <v>1</v>
      </c>
      <c r="G37" s="779" t="s">
        <v>267</v>
      </c>
    </row>
    <row r="38" spans="2:7" x14ac:dyDescent="0.2">
      <c r="B38" s="167">
        <v>36</v>
      </c>
      <c r="C38" s="105" t="str">
        <f ca="1">IF(OR(Planung!$L41="",Planung!$N41=""),"Z"&amp;ROW($M41),Planung!$I41&amp;Planung!$F41)</f>
        <v>D40,569444444444444</v>
      </c>
      <c r="D38" s="454">
        <f ca="1"/>
        <v>1</v>
      </c>
      <c r="G38" s="779"/>
    </row>
    <row r="39" spans="2:7" x14ac:dyDescent="0.2">
      <c r="B39" s="167">
        <v>37</v>
      </c>
      <c r="C39" s="105" t="str">
        <f ca="1">IF(OR(Planung!$L42="",Planung!$N42=""),"Z"&amp;ROW($M42),Planung!$I42&amp;Planung!$F42)</f>
        <v>A10,59375</v>
      </c>
      <c r="D39" s="454">
        <f ca="1"/>
        <v>1</v>
      </c>
      <c r="G39" s="779" t="s">
        <v>266</v>
      </c>
    </row>
    <row r="40" spans="2:7" x14ac:dyDescent="0.2">
      <c r="B40" s="167">
        <v>38</v>
      </c>
      <c r="C40" s="105" t="str">
        <f ca="1">IF(OR(Planung!$L43="",Planung!$N43=""),"Z"&amp;ROW($M43),Planung!$I43&amp;Planung!$F43)</f>
        <v>B10,59375</v>
      </c>
      <c r="D40" s="454">
        <f ca="1"/>
        <v>1</v>
      </c>
      <c r="G40" s="779"/>
    </row>
    <row r="41" spans="2:7" x14ac:dyDescent="0.2">
      <c r="B41" s="167">
        <v>39</v>
      </c>
      <c r="C41" s="105" t="str">
        <f ca="1">IF(OR(Planung!$L44="",Planung!$N44=""),"Z"&amp;ROW($M44),Planung!$I44&amp;Planung!$F44)</f>
        <v>C10,59375</v>
      </c>
      <c r="D41" s="454">
        <f ca="1"/>
        <v>1</v>
      </c>
      <c r="G41" s="779" t="s">
        <v>268</v>
      </c>
    </row>
    <row r="42" spans="2:7" x14ac:dyDescent="0.2">
      <c r="B42" s="167">
        <v>40</v>
      </c>
      <c r="C42" s="105" t="str">
        <f ca="1">IF(OR(Planung!$L45="",Planung!$N45=""),"Z"&amp;ROW($M45),Planung!$I45&amp;Planung!$F45)</f>
        <v>D10,59375</v>
      </c>
      <c r="D42" s="454">
        <f ca="1"/>
        <v>1</v>
      </c>
      <c r="G42" s="779"/>
    </row>
    <row r="43" spans="2:7" x14ac:dyDescent="0.2">
      <c r="B43" s="167">
        <v>41</v>
      </c>
      <c r="C43" s="105" t="str">
        <f ca="1">IF(OR(Planung!$L46="",Planung!$N46=""),"Z"&amp;ROW($M46),Planung!$I46&amp;Planung!$F46)</f>
        <v>Z46</v>
      </c>
      <c r="D43" s="454">
        <f ca="1"/>
        <v>1</v>
      </c>
    </row>
    <row r="44" spans="2:7" x14ac:dyDescent="0.2">
      <c r="B44" s="167">
        <v>42</v>
      </c>
      <c r="C44" s="105" t="str">
        <f ca="1">IF(OR(Planung!$L47="",Planung!$N47=""),"Z"&amp;ROW($M47),Planung!$I47&amp;Planung!$F47)</f>
        <v>Z47</v>
      </c>
      <c r="D44" s="454">
        <f ca="1"/>
        <v>1</v>
      </c>
    </row>
    <row r="45" spans="2:7" x14ac:dyDescent="0.2">
      <c r="B45" s="167">
        <v>43</v>
      </c>
      <c r="C45" s="105" t="str">
        <f ca="1">IF(OR(Planung!$L48="",Planung!$N48=""),"Z"&amp;ROW($M48),Planung!$I48&amp;Planung!$F48)</f>
        <v>Z48</v>
      </c>
      <c r="D45" s="454">
        <f ca="1"/>
        <v>1</v>
      </c>
      <c r="G45" s="779" t="s">
        <v>281</v>
      </c>
    </row>
    <row r="46" spans="2:7" x14ac:dyDescent="0.2">
      <c r="B46" s="167">
        <v>44</v>
      </c>
      <c r="C46" s="105" t="str">
        <f ca="1">IF(OR(Planung!$L49="",Planung!$N49=""),"Z"&amp;ROW($M49),Planung!$I49&amp;Planung!$F49)</f>
        <v>Z49</v>
      </c>
      <c r="D46" s="454">
        <f ca="1"/>
        <v>1</v>
      </c>
      <c r="G46" s="779"/>
    </row>
    <row r="47" spans="2:7" x14ac:dyDescent="0.2">
      <c r="B47" s="167">
        <v>45</v>
      </c>
      <c r="C47" s="105" t="str">
        <f ca="1">IF(OR(Planung!$L50="",Planung!$N50=""),"Z"&amp;ROW($M50),Planung!$I50&amp;Planung!$F50)</f>
        <v>Z50</v>
      </c>
      <c r="D47" s="454">
        <f ca="1"/>
        <v>1</v>
      </c>
      <c r="G47" s="779" t="s">
        <v>282</v>
      </c>
    </row>
    <row r="48" spans="2:7" x14ac:dyDescent="0.2">
      <c r="B48" s="167">
        <v>46</v>
      </c>
      <c r="C48" s="105" t="str">
        <f ca="1">IF(OR(Planung!$L51="",Planung!$N51=""),"Z"&amp;ROW($M51),Planung!$I51&amp;Planung!$F51)</f>
        <v>Z51</v>
      </c>
      <c r="D48" s="446">
        <f ca="1"/>
        <v>1</v>
      </c>
      <c r="G48" s="779"/>
    </row>
    <row r="49" spans="1:7" x14ac:dyDescent="0.2">
      <c r="B49" s="167">
        <v>47</v>
      </c>
      <c r="C49" s="105" t="str">
        <f ca="1">IF(OR(Planung!$L52="",Planung!$N52=""),"Z"&amp;ROW($M52),Planung!$I52&amp;Planung!$F52)</f>
        <v>Z52</v>
      </c>
      <c r="D49" s="446">
        <f ca="1"/>
        <v>1</v>
      </c>
      <c r="G49" s="779" t="s">
        <v>283</v>
      </c>
    </row>
    <row r="50" spans="1:7" x14ac:dyDescent="0.2">
      <c r="B50" s="167">
        <v>48</v>
      </c>
      <c r="C50" s="105" t="str">
        <f ca="1">IF(OR(Planung!$L53="",Planung!$N53=""),"Z"&amp;ROW($M53),Planung!$I53&amp;Planung!$F53)</f>
        <v>Z53</v>
      </c>
      <c r="D50" s="446">
        <f ca="1"/>
        <v>1</v>
      </c>
      <c r="G50" s="779"/>
    </row>
    <row r="51" spans="1:7" x14ac:dyDescent="0.2">
      <c r="B51" s="167">
        <v>49</v>
      </c>
      <c r="C51" s="105" t="str">
        <f ca="1">IF(OR(Planung!$L54="",Planung!$N54=""),"Z"&amp;ROW($M54),Planung!$I54&amp;Planung!$F54)</f>
        <v>Z54</v>
      </c>
      <c r="D51" s="446">
        <f ca="1"/>
        <v>1</v>
      </c>
      <c r="G51" s="779" t="s">
        <v>284</v>
      </c>
    </row>
    <row r="52" spans="1:7" x14ac:dyDescent="0.2">
      <c r="B52" s="167">
        <v>50</v>
      </c>
      <c r="C52" s="105" t="str">
        <f ca="1">IF(OR(Planung!$L55="",Planung!$N55=""),"Z"&amp;ROW($M55),Planung!$I55&amp;Planung!$F55)</f>
        <v>Z55</v>
      </c>
      <c r="D52" s="446">
        <f ca="1"/>
        <v>1</v>
      </c>
      <c r="G52" s="779"/>
    </row>
    <row r="53" spans="1:7" x14ac:dyDescent="0.2">
      <c r="B53" s="167">
        <v>51</v>
      </c>
      <c r="C53" s="105" t="str">
        <f ca="1">IF(OR(Planung!$L56="",Planung!$N56=""),"Z"&amp;ROW($M56),Planung!$I56&amp;Planung!$F56)</f>
        <v>Z56</v>
      </c>
      <c r="D53" s="446">
        <f ca="1"/>
        <v>1</v>
      </c>
      <c r="G53" s="779" t="s">
        <v>285</v>
      </c>
    </row>
    <row r="54" spans="1:7" x14ac:dyDescent="0.2">
      <c r="B54" s="167">
        <v>52</v>
      </c>
      <c r="C54" s="105" t="str">
        <f ca="1">IF(OR(Planung!$L57="",Planung!$N57=""),"Z"&amp;ROW($M57),Planung!$I57&amp;Planung!$F57)</f>
        <v>Z57</v>
      </c>
      <c r="D54" s="446">
        <f ca="1"/>
        <v>1</v>
      </c>
      <c r="G54" s="779"/>
    </row>
    <row r="55" spans="1:7" x14ac:dyDescent="0.2">
      <c r="B55" s="167">
        <v>53</v>
      </c>
      <c r="C55" s="105" t="str">
        <f ca="1">IF(OR(Planung!$L58="",Planung!$N58=""),"Z"&amp;ROW($M58),Planung!$I58&amp;Planung!$F58)</f>
        <v>Z58</v>
      </c>
      <c r="D55" s="446">
        <f ca="1"/>
        <v>1</v>
      </c>
    </row>
    <row r="56" spans="1:7" x14ac:dyDescent="0.2">
      <c r="B56" s="167">
        <v>54</v>
      </c>
      <c r="C56" s="105" t="str">
        <f ca="1">IF(OR(Planung!$L59="",Planung!$N59=""),"Z"&amp;ROW($M59),Planung!$I59&amp;Planung!$F59)</f>
        <v>Z59</v>
      </c>
      <c r="D56" s="446">
        <f ca="1"/>
        <v>1</v>
      </c>
    </row>
    <row r="57" spans="1:7" x14ac:dyDescent="0.2">
      <c r="B57" s="167">
        <v>55</v>
      </c>
      <c r="C57" s="105" t="str">
        <f ca="1">IF(OR(Planung!$L60="",Planung!$N60=""),"Z"&amp;ROW($M60),Planung!$I60&amp;Planung!$F60)</f>
        <v>Z60</v>
      </c>
      <c r="D57" s="446">
        <f ca="1"/>
        <v>1</v>
      </c>
      <c r="G57" s="779" t="s">
        <v>331</v>
      </c>
    </row>
    <row r="58" spans="1:7" x14ac:dyDescent="0.2">
      <c r="B58" s="167">
        <v>56</v>
      </c>
      <c r="C58" s="105" t="str">
        <f ca="1">IF(OR(Planung!$L61="",Planung!$N61=""),"Z"&amp;ROW($M61),Planung!$I61&amp;Planung!$F61)</f>
        <v>Z61</v>
      </c>
      <c r="D58" s="446">
        <f ca="1"/>
        <v>1</v>
      </c>
      <c r="G58" s="779"/>
    </row>
    <row r="59" spans="1:7" x14ac:dyDescent="0.2">
      <c r="B59" s="167">
        <v>57</v>
      </c>
      <c r="C59" s="105" t="str">
        <f ca="1">IF(OR(Planung!$L62="",Planung!$N62=""),"Z"&amp;ROW($M62),Planung!$I62&amp;Planung!$F62)</f>
        <v>Z62</v>
      </c>
      <c r="D59" s="446">
        <f ca="1"/>
        <v>1</v>
      </c>
      <c r="G59" s="779" t="s">
        <v>332</v>
      </c>
    </row>
    <row r="60" spans="1:7" x14ac:dyDescent="0.2">
      <c r="B60" s="167">
        <v>58</v>
      </c>
      <c r="C60" s="105" t="str">
        <f ca="1">IF(OR(Planung!$L63="",Planung!$N63=""),"Z"&amp;ROW($M63),Planung!$I63&amp;Planung!$F63)</f>
        <v>Z63</v>
      </c>
      <c r="D60" s="446">
        <f ca="1"/>
        <v>1</v>
      </c>
      <c r="G60" s="779"/>
    </row>
    <row r="61" spans="1:7" x14ac:dyDescent="0.2">
      <c r="B61" s="167">
        <v>59</v>
      </c>
      <c r="C61" s="105" t="str">
        <f ca="1">IF(OR(Planung!$L64="",Planung!$N64=""),"Z"&amp;ROW($M64),Planung!$I64&amp;Planung!$F64)</f>
        <v>Z64</v>
      </c>
      <c r="D61" s="446">
        <f ca="1"/>
        <v>1</v>
      </c>
      <c r="G61" s="779" t="s">
        <v>333</v>
      </c>
    </row>
    <row r="62" spans="1:7" ht="13.5" thickBot="1" x14ac:dyDescent="0.25">
      <c r="A62" s="563"/>
      <c r="B62" s="564">
        <v>60</v>
      </c>
      <c r="C62" s="565" t="str">
        <f ca="1">IF(OR(Planung!$L65="",Planung!$N65=""),"Z"&amp;ROW($M65),Planung!$I65&amp;Planung!$F65)</f>
        <v>Z65</v>
      </c>
      <c r="D62" s="446">
        <f ca="1"/>
        <v>1</v>
      </c>
      <c r="G62" s="779"/>
    </row>
    <row r="63" spans="1:7" x14ac:dyDescent="0.2">
      <c r="B63" s="167">
        <v>61</v>
      </c>
      <c r="C63" s="449" t="str">
        <f ca="1">IF(OR(Planung!$L6="",Planung!$N6=""),"ZZ"&amp;ROW($M6)+45,Planung!$K6&amp;Planung!$F6)</f>
        <v>A20,375</v>
      </c>
      <c r="D63" s="446">
        <f ca="1"/>
        <v>1</v>
      </c>
      <c r="G63" s="779" t="s">
        <v>334</v>
      </c>
    </row>
    <row r="64" spans="1:7" x14ac:dyDescent="0.2">
      <c r="B64" s="167">
        <v>62</v>
      </c>
      <c r="C64" s="449" t="str">
        <f ca="1">IF(OR(Planung!$L7="",Planung!$N7=""),"ZZ"&amp;ROW($M7)+45,Planung!$K7&amp;Planung!$F7)</f>
        <v>B20,375</v>
      </c>
      <c r="D64" s="446">
        <f ca="1"/>
        <v>1</v>
      </c>
      <c r="G64" s="779"/>
    </row>
    <row r="65" spans="2:7" x14ac:dyDescent="0.2">
      <c r="B65" s="167">
        <v>63</v>
      </c>
      <c r="C65" s="449" t="str">
        <f ca="1">IF(OR(Planung!$L8="",Planung!$N8=""),"ZZ"&amp;ROW($M8)+45,Planung!$K8&amp;Planung!$F8)</f>
        <v>C20,375</v>
      </c>
      <c r="D65" s="446">
        <f ca="1"/>
        <v>1</v>
      </c>
      <c r="G65" s="779" t="s">
        <v>335</v>
      </c>
    </row>
    <row r="66" spans="2:7" x14ac:dyDescent="0.2">
      <c r="B66" s="167">
        <v>64</v>
      </c>
      <c r="C66" s="449" t="str">
        <f ca="1">IF(OR(Planung!$L9="",Planung!$N9=""),"ZZ"&amp;ROW($M9)+45,Planung!$K9&amp;Planung!$F9)</f>
        <v>D20,375</v>
      </c>
      <c r="D66" s="446">
        <f ca="1"/>
        <v>1</v>
      </c>
      <c r="G66" s="779"/>
    </row>
    <row r="67" spans="2:7" x14ac:dyDescent="0.2">
      <c r="B67" s="167">
        <v>65</v>
      </c>
      <c r="C67" s="449" t="str">
        <f ca="1">IF(OR(Planung!$L10="",Planung!$N10=""),"ZZ"&amp;ROW($M10)+45,Planung!$K10&amp;Planung!$F10)</f>
        <v>A40,399305555555556</v>
      </c>
      <c r="D67" s="446">
        <f ca="1"/>
        <v>1</v>
      </c>
    </row>
    <row r="68" spans="2:7" x14ac:dyDescent="0.2">
      <c r="B68" s="167">
        <v>66</v>
      </c>
      <c r="C68" s="449" t="str">
        <f ca="1">IF(OR(Planung!$L11="",Planung!$N11=""),"ZZ"&amp;ROW($M11)+45,Planung!$K11&amp;Planung!$F11)</f>
        <v>B40,399305555555556</v>
      </c>
      <c r="D68" s="446">
        <f ca="1"/>
        <v>1</v>
      </c>
    </row>
    <row r="69" spans="2:7" x14ac:dyDescent="0.2">
      <c r="B69" s="167">
        <v>67</v>
      </c>
      <c r="C69" s="449" t="str">
        <f ca="1">IF(OR(Planung!$L12="",Planung!$N12=""),"ZZ"&amp;ROW($M12)+45,Planung!$K12&amp;Planung!$F12)</f>
        <v>C40,399305555555556</v>
      </c>
      <c r="D69" s="446">
        <f ca="1"/>
        <v>1</v>
      </c>
    </row>
    <row r="70" spans="2:7" x14ac:dyDescent="0.2">
      <c r="B70" s="167">
        <v>68</v>
      </c>
      <c r="C70" s="449" t="str">
        <f ca="1">IF(OR(Planung!$L13="",Planung!$N13=""),"ZZ"&amp;ROW($M13)+45,Planung!$K13&amp;Planung!$F13)</f>
        <v>D40,399305555555556</v>
      </c>
      <c r="D70" s="446">
        <f ca="1"/>
        <v>1</v>
      </c>
    </row>
    <row r="71" spans="2:7" x14ac:dyDescent="0.2">
      <c r="B71" s="167">
        <v>69</v>
      </c>
      <c r="C71" s="449" t="str">
        <f ca="1">IF(OR(Planung!$L14="",Planung!$N14=""),"ZZ"&amp;ROW($M14)+45,Planung!$K14&amp;Planung!$F14)</f>
        <v>A10,423611111111111</v>
      </c>
      <c r="D71" s="446">
        <f ca="1"/>
        <v>1</v>
      </c>
    </row>
    <row r="72" spans="2:7" x14ac:dyDescent="0.2">
      <c r="B72" s="167">
        <v>70</v>
      </c>
      <c r="C72" s="449" t="str">
        <f ca="1">IF(OR(Planung!$L15="",Planung!$N15=""),"ZZ"&amp;ROW($M15)+45,Planung!$K15&amp;Planung!$F15)</f>
        <v>B10,423611111111111</v>
      </c>
      <c r="D72" s="446">
        <f ca="1"/>
        <v>1</v>
      </c>
    </row>
    <row r="73" spans="2:7" x14ac:dyDescent="0.2">
      <c r="B73" s="167">
        <v>71</v>
      </c>
      <c r="C73" s="449" t="str">
        <f ca="1">IF(OR(Planung!$L16="",Planung!$N16=""),"ZZ"&amp;ROW($M16)+45,Planung!$K16&amp;Planung!$F16)</f>
        <v>C10,423611111111111</v>
      </c>
      <c r="D73" s="446">
        <f ca="1"/>
        <v>1</v>
      </c>
    </row>
    <row r="74" spans="2:7" x14ac:dyDescent="0.2">
      <c r="B74" s="167">
        <v>72</v>
      </c>
      <c r="C74" s="449" t="str">
        <f ca="1">IF(OR(Planung!$L17="",Planung!$N17=""),"ZZ"&amp;ROW($M17)+45,Planung!$K17&amp;Planung!$F17)</f>
        <v>D10,423611111111111</v>
      </c>
      <c r="D74" s="446">
        <f ca="1"/>
        <v>1</v>
      </c>
    </row>
    <row r="75" spans="2:7" x14ac:dyDescent="0.2">
      <c r="B75" s="167">
        <v>73</v>
      </c>
      <c r="C75" s="449" t="str">
        <f ca="1">IF(OR(Planung!$L18="",Planung!$N18=""),"ZZ"&amp;ROW($M18)+45,Planung!$K18&amp;Planung!$F18)</f>
        <v>A30,447916666666667</v>
      </c>
      <c r="D75" s="446">
        <f ca="1"/>
        <v>1</v>
      </c>
    </row>
    <row r="76" spans="2:7" x14ac:dyDescent="0.2">
      <c r="B76" s="167">
        <v>74</v>
      </c>
      <c r="C76" s="449" t="str">
        <f ca="1">IF(OR(Planung!$L19="",Planung!$N19=""),"ZZ"&amp;ROW($M19)+45,Planung!$K19&amp;Planung!$F19)</f>
        <v>B30,447916666666667</v>
      </c>
      <c r="D76" s="446">
        <f ca="1"/>
        <v>1</v>
      </c>
    </row>
    <row r="77" spans="2:7" x14ac:dyDescent="0.2">
      <c r="B77" s="167">
        <v>75</v>
      </c>
      <c r="C77" s="449" t="str">
        <f ca="1">IF(OR(Planung!$L20="",Planung!$N20=""),"ZZ"&amp;ROW($M20)+45,Planung!$K20&amp;Planung!$F20)</f>
        <v>C30,447916666666667</v>
      </c>
      <c r="D77" s="446">
        <f ca="1"/>
        <v>1</v>
      </c>
    </row>
    <row r="78" spans="2:7" x14ac:dyDescent="0.2">
      <c r="B78" s="167">
        <v>76</v>
      </c>
      <c r="C78" s="449" t="str">
        <f ca="1">IF(OR(Planung!$L21="",Planung!$N21=""),"ZZ"&amp;ROW($M21)+45,Planung!$K21&amp;Planung!$F21)</f>
        <v>D30,447916666666667</v>
      </c>
      <c r="D78" s="446">
        <f ca="1"/>
        <v>1</v>
      </c>
    </row>
    <row r="79" spans="2:7" x14ac:dyDescent="0.2">
      <c r="B79" s="167">
        <v>77</v>
      </c>
      <c r="C79" s="449" t="str">
        <f ca="1">IF(OR(Planung!$L22="",Planung!$N22=""),"ZZ"&amp;ROW($M22)+45,Planung!$K22&amp;Planung!$F22)</f>
        <v>A40,472222222222222</v>
      </c>
      <c r="D79" s="446">
        <f ca="1"/>
        <v>1</v>
      </c>
    </row>
    <row r="80" spans="2:7" x14ac:dyDescent="0.2">
      <c r="B80" s="167">
        <v>78</v>
      </c>
      <c r="C80" s="449" t="str">
        <f ca="1">IF(OR(Planung!$L23="",Planung!$N23=""),"ZZ"&amp;ROW($M23)+45,Planung!$K23&amp;Planung!$F23)</f>
        <v>B40,472222222222222</v>
      </c>
      <c r="D80" s="446">
        <f ca="1"/>
        <v>1</v>
      </c>
    </row>
    <row r="81" spans="2:4" x14ac:dyDescent="0.2">
      <c r="B81" s="167">
        <v>79</v>
      </c>
      <c r="C81" s="449" t="str">
        <f ca="1">IF(OR(Planung!$L24="",Planung!$N24=""),"ZZ"&amp;ROW($M24)+45,Planung!$K24&amp;Planung!$F24)</f>
        <v>C40,472222222222222</v>
      </c>
      <c r="D81" s="446">
        <f ca="1"/>
        <v>1</v>
      </c>
    </row>
    <row r="82" spans="2:4" x14ac:dyDescent="0.2">
      <c r="B82" s="167">
        <v>80</v>
      </c>
      <c r="C82" s="449" t="str">
        <f ca="1">IF(OR(Planung!$L25="",Planung!$N25=""),"ZZ"&amp;ROW($M25)+45,Planung!$K25&amp;Planung!$F25)</f>
        <v>D40,472222222222222</v>
      </c>
      <c r="D82" s="446">
        <f ca="1"/>
        <v>1</v>
      </c>
    </row>
    <row r="83" spans="2:4" x14ac:dyDescent="0.2">
      <c r="B83" s="167">
        <v>81</v>
      </c>
      <c r="C83" s="449" t="str">
        <f ca="1">IF(OR(Planung!$L26="",Planung!$N26=""),"ZZ"&amp;ROW($M26)+45,Planung!$K26&amp;Planung!$F26)</f>
        <v>A50,496527777777778</v>
      </c>
      <c r="D83" s="446">
        <f ca="1"/>
        <v>1</v>
      </c>
    </row>
    <row r="84" spans="2:4" x14ac:dyDescent="0.2">
      <c r="B84" s="167">
        <v>82</v>
      </c>
      <c r="C84" s="449" t="str">
        <f ca="1">IF(OR(Planung!$L27="",Planung!$N27=""),"ZZ"&amp;ROW($M27)+45,Planung!$K27&amp;Planung!$F27)</f>
        <v>B50,496527777777778</v>
      </c>
      <c r="D84" s="446">
        <f ca="1"/>
        <v>1</v>
      </c>
    </row>
    <row r="85" spans="2:4" x14ac:dyDescent="0.2">
      <c r="B85" s="167">
        <v>83</v>
      </c>
      <c r="C85" s="449" t="str">
        <f ca="1">IF(OR(Planung!$L28="",Planung!$N28=""),"ZZ"&amp;ROW($M28)+45,Planung!$K28&amp;Planung!$F28)</f>
        <v>C50,496527777777778</v>
      </c>
      <c r="D85" s="446">
        <f ca="1"/>
        <v>1</v>
      </c>
    </row>
    <row r="86" spans="2:4" x14ac:dyDescent="0.2">
      <c r="B86" s="167">
        <v>84</v>
      </c>
      <c r="C86" s="449" t="str">
        <f ca="1">IF(OR(Planung!$L29="",Planung!$N29=""),"ZZ"&amp;ROW($M29)+45,Planung!$K29&amp;Planung!$F29)</f>
        <v>D50,496527777777778</v>
      </c>
      <c r="D86" s="446">
        <f ca="1"/>
        <v>1</v>
      </c>
    </row>
    <row r="87" spans="2:4" x14ac:dyDescent="0.2">
      <c r="B87" s="167">
        <v>85</v>
      </c>
      <c r="C87" s="449" t="str">
        <f ca="1">IF(OR(Planung!$L30="",Planung!$N30=""),"ZZ"&amp;ROW($M30)+45,Planung!$K30&amp;Planung!$F30)</f>
        <v>A40,520833333333333</v>
      </c>
      <c r="D87" s="446">
        <f ca="1"/>
        <v>1</v>
      </c>
    </row>
    <row r="88" spans="2:4" x14ac:dyDescent="0.2">
      <c r="B88" s="167">
        <v>86</v>
      </c>
      <c r="C88" s="449" t="str">
        <f ca="1">IF(OR(Planung!$L31="",Planung!$N31=""),"ZZ"&amp;ROW($M31)+45,Planung!$K31&amp;Planung!$F31)</f>
        <v>B40,520833333333333</v>
      </c>
      <c r="D88" s="446">
        <f ca="1"/>
        <v>1</v>
      </c>
    </row>
    <row r="89" spans="2:4" x14ac:dyDescent="0.2">
      <c r="B89" s="167">
        <v>87</v>
      </c>
      <c r="C89" s="449" t="str">
        <f ca="1">IF(OR(Planung!$L32="",Planung!$N32=""),"ZZ"&amp;ROW($M32)+45,Planung!$K32&amp;Planung!$F32)</f>
        <v>C40,520833333333333</v>
      </c>
      <c r="D89" s="446">
        <f ca="1"/>
        <v>1</v>
      </c>
    </row>
    <row r="90" spans="2:4" x14ac:dyDescent="0.2">
      <c r="B90" s="167">
        <v>88</v>
      </c>
      <c r="C90" s="449" t="str">
        <f ca="1">IF(OR(Planung!$L33="",Planung!$N33=""),"ZZ"&amp;ROW($M33)+45,Planung!$K33&amp;Planung!$F33)</f>
        <v>D40,520833333333333</v>
      </c>
      <c r="D90" s="446">
        <f ca="1"/>
        <v>1</v>
      </c>
    </row>
    <row r="91" spans="2:4" x14ac:dyDescent="0.2">
      <c r="B91" s="167">
        <v>89</v>
      </c>
      <c r="C91" s="449" t="str">
        <f ca="1">IF(OR(Planung!$L34="",Planung!$N34=""),"ZZ"&amp;ROW($M34)+45,Planung!$K34&amp;Planung!$F34)</f>
        <v>A10,545138888888889</v>
      </c>
      <c r="D91" s="446">
        <f ca="1"/>
        <v>1</v>
      </c>
    </row>
    <row r="92" spans="2:4" x14ac:dyDescent="0.2">
      <c r="B92" s="167">
        <v>90</v>
      </c>
      <c r="C92" s="449" t="str">
        <f ca="1">IF(OR(Planung!$L35="",Planung!$N35=""),"ZZ"&amp;ROW($M35)+45,Planung!$K35&amp;Planung!$F35)</f>
        <v>B10,545138888888889</v>
      </c>
      <c r="D92" s="446">
        <f ca="1"/>
        <v>1</v>
      </c>
    </row>
    <row r="93" spans="2:4" x14ac:dyDescent="0.2">
      <c r="B93" s="167">
        <v>91</v>
      </c>
      <c r="C93" s="449" t="str">
        <f ca="1">IF(OR(Planung!$L36="",Planung!$N36=""),"ZZ"&amp;ROW($M36)+45,Planung!$K36&amp;Planung!$F36)</f>
        <v>C10,545138888888889</v>
      </c>
      <c r="D93" s="446">
        <f ca="1"/>
        <v>1</v>
      </c>
    </row>
    <row r="94" spans="2:4" x14ac:dyDescent="0.2">
      <c r="B94" s="167">
        <v>92</v>
      </c>
      <c r="C94" s="449" t="str">
        <f ca="1">IF(OR(Planung!$L37="",Planung!$N37=""),"ZZ"&amp;ROW($M37)+45,Planung!$K37&amp;Planung!$F37)</f>
        <v>D10,545138888888889</v>
      </c>
      <c r="D94" s="446">
        <f ca="1"/>
        <v>1</v>
      </c>
    </row>
    <row r="95" spans="2:4" x14ac:dyDescent="0.2">
      <c r="B95" s="167">
        <v>93</v>
      </c>
      <c r="C95" s="449" t="str">
        <f ca="1">IF(OR(Planung!$L38="",Planung!$N38=""),"ZZ"&amp;ROW($M38)+45,Planung!$K38&amp;Planung!$F38)</f>
        <v>A50,569444444444444</v>
      </c>
      <c r="D95" s="446">
        <f ca="1"/>
        <v>1</v>
      </c>
    </row>
    <row r="96" spans="2:4" x14ac:dyDescent="0.2">
      <c r="B96" s="167">
        <v>94</v>
      </c>
      <c r="C96" s="449" t="str">
        <f ca="1">IF(OR(Planung!$L39="",Planung!$N39=""),"ZZ"&amp;ROW($M39)+45,Planung!$K39&amp;Planung!$F39)</f>
        <v>B50,569444444444444</v>
      </c>
      <c r="D96" s="446">
        <f ca="1"/>
        <v>1</v>
      </c>
    </row>
    <row r="97" spans="2:4" x14ac:dyDescent="0.2">
      <c r="B97" s="167">
        <v>95</v>
      </c>
      <c r="C97" s="449" t="str">
        <f ca="1">IF(OR(Planung!$L40="",Planung!$N40=""),"ZZ"&amp;ROW($M40)+45,Planung!$K40&amp;Planung!$F40)</f>
        <v>C50,569444444444444</v>
      </c>
      <c r="D97" s="446">
        <f ca="1"/>
        <v>1</v>
      </c>
    </row>
    <row r="98" spans="2:4" x14ac:dyDescent="0.2">
      <c r="B98" s="167">
        <v>96</v>
      </c>
      <c r="C98" s="449" t="str">
        <f ca="1">IF(OR(Planung!$L41="",Planung!$N41=""),"ZZ"&amp;ROW($M41)+45,Planung!$K41&amp;Planung!$F41)</f>
        <v>D50,569444444444444</v>
      </c>
      <c r="D98" s="446">
        <f ca="1"/>
        <v>1</v>
      </c>
    </row>
    <row r="99" spans="2:4" x14ac:dyDescent="0.2">
      <c r="B99" s="167">
        <v>97</v>
      </c>
      <c r="C99" s="449" t="str">
        <f ca="1">IF(OR(Planung!$L42="",Planung!$N42=""),"ZZ"&amp;ROW($M42)+45,Planung!$K42&amp;Planung!$F42)</f>
        <v>A20,59375</v>
      </c>
      <c r="D99" s="446">
        <f ca="1"/>
        <v>1</v>
      </c>
    </row>
    <row r="100" spans="2:4" x14ac:dyDescent="0.2">
      <c r="B100" s="167">
        <v>98</v>
      </c>
      <c r="C100" s="449" t="str">
        <f ca="1">IF(OR(Planung!$L43="",Planung!$N43=""),"ZZ"&amp;ROW($M43)+45,Planung!$K43&amp;Planung!$F43)</f>
        <v>B20,59375</v>
      </c>
      <c r="D100" s="446">
        <f ca="1"/>
        <v>1</v>
      </c>
    </row>
    <row r="101" spans="2:4" x14ac:dyDescent="0.2">
      <c r="B101" s="167">
        <v>99</v>
      </c>
      <c r="C101" s="449" t="str">
        <f ca="1">IF(OR(Planung!$L44="",Planung!$N44=""),"ZZ"&amp;ROW($M44)+45,Planung!$K44&amp;Planung!$F44)</f>
        <v>C20,59375</v>
      </c>
      <c r="D101" s="446">
        <f ca="1"/>
        <v>1</v>
      </c>
    </row>
    <row r="102" spans="2:4" x14ac:dyDescent="0.2">
      <c r="B102" s="167">
        <v>100</v>
      </c>
      <c r="C102" s="449" t="str">
        <f ca="1">IF(OR(Planung!$L45="",Planung!$N45=""),"ZZ"&amp;ROW($M45)+45,Planung!$K45&amp;Planung!$F45)</f>
        <v>D20,59375</v>
      </c>
      <c r="D102" s="446">
        <f ca="1"/>
        <v>1</v>
      </c>
    </row>
    <row r="103" spans="2:4" x14ac:dyDescent="0.2">
      <c r="B103" s="167">
        <v>101</v>
      </c>
      <c r="C103" s="449" t="str">
        <f ca="1">IF(OR(Planung!$L46="",Planung!$N46=""),"ZZ"&amp;ROW($M46)+45,Planung!$K46&amp;Planung!$F46)</f>
        <v>ZZ91</v>
      </c>
      <c r="D103" s="446">
        <f ca="1"/>
        <v>1</v>
      </c>
    </row>
    <row r="104" spans="2:4" x14ac:dyDescent="0.2">
      <c r="B104" s="167">
        <v>102</v>
      </c>
      <c r="C104" s="449" t="str">
        <f ca="1">IF(OR(Planung!$L47="",Planung!$N47=""),"ZZ"&amp;ROW($M47)+45,Planung!$K47&amp;Planung!$F47)</f>
        <v>ZZ92</v>
      </c>
      <c r="D104" s="446">
        <f ca="1"/>
        <v>1</v>
      </c>
    </row>
    <row r="105" spans="2:4" x14ac:dyDescent="0.2">
      <c r="B105" s="167">
        <v>103</v>
      </c>
      <c r="C105" s="449" t="str">
        <f ca="1">IF(OR(Planung!$L48="",Planung!$N48=""),"ZZ"&amp;ROW($M48)+45,Planung!$K48&amp;Planung!$F48)</f>
        <v>ZZ93</v>
      </c>
      <c r="D105" s="446">
        <f ca="1"/>
        <v>1</v>
      </c>
    </row>
    <row r="106" spans="2:4" x14ac:dyDescent="0.2">
      <c r="B106" s="167">
        <v>104</v>
      </c>
      <c r="C106" s="449" t="str">
        <f ca="1">IF(OR(Planung!$L49="",Planung!$N49=""),"ZZ"&amp;ROW($M49)+45,Planung!$K49&amp;Planung!$F49)</f>
        <v>ZZ94</v>
      </c>
      <c r="D106" s="446">
        <f ca="1"/>
        <v>1</v>
      </c>
    </row>
    <row r="107" spans="2:4" x14ac:dyDescent="0.2">
      <c r="B107" s="167">
        <v>105</v>
      </c>
      <c r="C107" s="449" t="str">
        <f ca="1">IF(OR(Planung!$L50="",Planung!$N50=""),"ZZ"&amp;ROW($M50)+45,Planung!$K50&amp;Planung!$F50)</f>
        <v>ZZ95</v>
      </c>
      <c r="D107" s="446">
        <f ca="1"/>
        <v>1</v>
      </c>
    </row>
    <row r="108" spans="2:4" x14ac:dyDescent="0.2">
      <c r="B108" s="167">
        <v>106</v>
      </c>
      <c r="C108" s="449" t="str">
        <f ca="1">IF(OR(Planung!$L51="",Planung!$N51=""),"ZZ"&amp;ROW($M51)+45,Planung!$K51&amp;Planung!$F51)</f>
        <v>ZZ96</v>
      </c>
      <c r="D108" s="446">
        <f ca="1"/>
        <v>1</v>
      </c>
    </row>
    <row r="109" spans="2:4" x14ac:dyDescent="0.2">
      <c r="B109" s="167">
        <v>107</v>
      </c>
      <c r="C109" s="449" t="str">
        <f ca="1">IF(OR(Planung!$L52="",Planung!$N52=""),"ZZ"&amp;ROW($M52)+45,Planung!$K52&amp;Planung!$F52)</f>
        <v>ZZ97</v>
      </c>
      <c r="D109" s="446">
        <f ca="1"/>
        <v>1</v>
      </c>
    </row>
    <row r="110" spans="2:4" x14ac:dyDescent="0.2">
      <c r="B110" s="167">
        <v>108</v>
      </c>
      <c r="C110" s="449" t="str">
        <f ca="1">IF(OR(Planung!$L53="",Planung!$N53=""),"ZZ"&amp;ROW($M53)+45,Planung!$K53&amp;Planung!$F53)</f>
        <v>ZZ98</v>
      </c>
      <c r="D110" s="446">
        <f ca="1"/>
        <v>1</v>
      </c>
    </row>
    <row r="111" spans="2:4" x14ac:dyDescent="0.2">
      <c r="B111" s="167">
        <v>109</v>
      </c>
      <c r="C111" s="449" t="str">
        <f ca="1">IF(OR(Planung!$L54="",Planung!$N54=""),"ZZ"&amp;ROW($M54)+45,Planung!$K54&amp;Planung!$F54)</f>
        <v>ZZ99</v>
      </c>
      <c r="D111" s="446">
        <f ca="1"/>
        <v>1</v>
      </c>
    </row>
    <row r="112" spans="2:4" x14ac:dyDescent="0.2">
      <c r="B112" s="167">
        <v>110</v>
      </c>
      <c r="C112" s="449" t="str">
        <f ca="1">IF(OR(Planung!$L55="",Planung!$N55=""),"ZZ"&amp;ROW($M55)+45,Planung!$K55&amp;Planung!$F55)</f>
        <v>ZZ100</v>
      </c>
      <c r="D112" s="446">
        <f ca="1"/>
        <v>1</v>
      </c>
    </row>
    <row r="113" spans="2:4" x14ac:dyDescent="0.2">
      <c r="B113" s="167">
        <v>111</v>
      </c>
      <c r="C113" s="449" t="str">
        <f ca="1">IF(OR(Planung!$L56="",Planung!$N56=""),"ZZ"&amp;ROW($M56)+45,Planung!$K56&amp;Planung!$F56)</f>
        <v>ZZ101</v>
      </c>
      <c r="D113" s="446">
        <f ca="1"/>
        <v>1</v>
      </c>
    </row>
    <row r="114" spans="2:4" x14ac:dyDescent="0.2">
      <c r="B114" s="167">
        <v>112</v>
      </c>
      <c r="C114" s="449" t="str">
        <f ca="1">IF(OR(Planung!$L57="",Planung!$N57=""),"ZZ"&amp;ROW($M57)+45,Planung!$K57&amp;Planung!$F57)</f>
        <v>ZZ102</v>
      </c>
      <c r="D114" s="446">
        <f ca="1"/>
        <v>1</v>
      </c>
    </row>
    <row r="115" spans="2:4" x14ac:dyDescent="0.2">
      <c r="B115" s="167">
        <v>113</v>
      </c>
      <c r="C115" s="449" t="str">
        <f ca="1">IF(OR(Planung!$L58="",Planung!$N58=""),"ZZ"&amp;ROW($M58)+45,Planung!$K58&amp;Planung!$F58)</f>
        <v>ZZ103</v>
      </c>
      <c r="D115" s="446">
        <f ca="1"/>
        <v>1</v>
      </c>
    </row>
    <row r="116" spans="2:4" x14ac:dyDescent="0.2">
      <c r="B116" s="167">
        <v>114</v>
      </c>
      <c r="C116" s="449" t="str">
        <f ca="1">IF(OR(Planung!$L59="",Planung!$N59=""),"ZZ"&amp;ROW($M59)+45,Planung!$K59&amp;Planung!$F59)</f>
        <v>ZZ104</v>
      </c>
      <c r="D116" s="446">
        <f ca="1"/>
        <v>1</v>
      </c>
    </row>
    <row r="117" spans="2:4" x14ac:dyDescent="0.2">
      <c r="B117" s="167">
        <v>115</v>
      </c>
      <c r="C117" s="449" t="str">
        <f ca="1">IF(OR(Planung!$L60="",Planung!$N60=""),"ZZ"&amp;ROW($M60)+45,Planung!$K60&amp;Planung!$F60)</f>
        <v>ZZ105</v>
      </c>
      <c r="D117" s="446">
        <f ca="1"/>
        <v>1</v>
      </c>
    </row>
    <row r="118" spans="2:4" x14ac:dyDescent="0.2">
      <c r="B118" s="167">
        <v>116</v>
      </c>
      <c r="C118" s="449" t="str">
        <f ca="1">IF(OR(Planung!$L61="",Planung!$N61=""),"ZZ"&amp;ROW($M61)+45,Planung!$K61&amp;Planung!$F61)</f>
        <v>ZZ106</v>
      </c>
      <c r="D118" s="446">
        <f ca="1"/>
        <v>1</v>
      </c>
    </row>
    <row r="119" spans="2:4" x14ac:dyDescent="0.2">
      <c r="B119" s="167">
        <v>117</v>
      </c>
      <c r="C119" s="449" t="str">
        <f ca="1">IF(OR(Planung!$L62="",Planung!$N62=""),"ZZ"&amp;ROW($M62)+45,Planung!$K62&amp;Planung!$F62)</f>
        <v>ZZ107</v>
      </c>
      <c r="D119" s="446">
        <f ca="1"/>
        <v>1</v>
      </c>
    </row>
    <row r="120" spans="2:4" x14ac:dyDescent="0.2">
      <c r="B120" s="167">
        <v>118</v>
      </c>
      <c r="C120" s="449" t="str">
        <f ca="1">IF(OR(Planung!$L63="",Planung!$N63=""),"ZZ"&amp;ROW($M63)+45,Planung!$K63&amp;Planung!$F63)</f>
        <v>ZZ108</v>
      </c>
      <c r="D120" s="446">
        <f ca="1"/>
        <v>1</v>
      </c>
    </row>
    <row r="121" spans="2:4" x14ac:dyDescent="0.2">
      <c r="B121" s="167">
        <v>119</v>
      </c>
      <c r="C121" s="449" t="str">
        <f ca="1">IF(OR(Planung!$L64="",Planung!$N64=""),"ZZ"&amp;ROW($M64)+45,Planung!$K64&amp;Planung!$F64)</f>
        <v>ZZ109</v>
      </c>
      <c r="D121" s="446">
        <f ca="1"/>
        <v>1</v>
      </c>
    </row>
    <row r="122" spans="2:4" x14ac:dyDescent="0.2">
      <c r="B122" s="167">
        <v>120</v>
      </c>
      <c r="C122" s="449" t="str">
        <f ca="1">IF(OR(Planung!$L65="",Planung!$N65=""),"ZZ"&amp;ROW($M65)+45,Planung!$K65&amp;Planung!$F65)</f>
        <v>ZZ110</v>
      </c>
      <c r="D122" s="446">
        <f ca="1"/>
        <v>1</v>
      </c>
    </row>
  </sheetData>
  <mergeCells count="20">
    <mergeCell ref="G33:G34"/>
    <mergeCell ref="G21:G22"/>
    <mergeCell ref="G23:G24"/>
    <mergeCell ref="G25:G26"/>
    <mergeCell ref="G27:G28"/>
    <mergeCell ref="G29:G30"/>
    <mergeCell ref="G49:G50"/>
    <mergeCell ref="G51:G52"/>
    <mergeCell ref="G53:G54"/>
    <mergeCell ref="G35:G36"/>
    <mergeCell ref="G37:G38"/>
    <mergeCell ref="G39:G40"/>
    <mergeCell ref="G41:G42"/>
    <mergeCell ref="G45:G46"/>
    <mergeCell ref="G47:G48"/>
    <mergeCell ref="G57:G58"/>
    <mergeCell ref="G59:G60"/>
    <mergeCell ref="G61:G62"/>
    <mergeCell ref="G63:G64"/>
    <mergeCell ref="G65:G66"/>
  </mergeCells>
  <conditionalFormatting sqref="G2">
    <cfRule type="expression" dxfId="41" priority="8">
      <formula>G2="FEHLER"</formula>
    </cfRule>
  </conditionalFormatting>
  <conditionalFormatting sqref="C3:C122">
    <cfRule type="duplicateValues" dxfId="40" priority="5"/>
  </conditionalFormatting>
  <conditionalFormatting sqref="E3">
    <cfRule type="expression" dxfId="39" priority="2">
      <formula>$E$3&gt;0</formula>
    </cfRule>
  </conditionalFormatting>
  <conditionalFormatting sqref="E4">
    <cfRule type="expression" dxfId="38" priority="1">
      <formula>$E$4&gt;0</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3</v>
      </c>
      <c r="D4" s="13">
        <f ca="1">E4+ROW()/1000+(F4="")*10</f>
        <v>3.004</v>
      </c>
      <c r="E4" s="251">
        <f ca="1">IF($AI$15,RANK(AH17,AH$17:AH$25,1),RANK(X17,X$17:X$25,1))</f>
        <v>3</v>
      </c>
      <c r="F4" s="1" t="str">
        <f>$Q64</f>
        <v>Mainz 05</v>
      </c>
      <c r="G4" s="1">
        <f t="shared" ref="G4:G12" ca="1" si="1">SUMIFS($X$64:$X$135,$V$64:$V$135,$F4)+SUMIFS($Y$64:$Y$135,$W$64:$W$135,$F4)</f>
        <v>5</v>
      </c>
      <c r="H4" s="1">
        <f t="shared" ref="H4:H12" ca="1" si="2">SUMIFS($Y$64:$Y$135,$V$64:$V$135,$F4)+SUMIFS($X$64:$X$135,$W$64:$W$135,$F4)</f>
        <v>6</v>
      </c>
      <c r="I4" s="13">
        <f t="shared" ref="I4:I12" ca="1" si="3">G4-H4</f>
        <v>-1</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1.0604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1.0604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1.0604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1.0604</v>
      </c>
      <c r="AP4" s="644">
        <f ca="1">RANK($AO4,$AO$4:$AO$12,1)</f>
        <v>1</v>
      </c>
    </row>
    <row r="5" spans="1:42" s="2" customFormat="1" x14ac:dyDescent="0.2">
      <c r="A5" s="238"/>
      <c r="B5" s="1">
        <v>2</v>
      </c>
      <c r="C5" s="22">
        <f t="shared" ref="C5:C12" ca="1" si="11">RANK(D5,$D$4:$D$12,1)</f>
        <v>2</v>
      </c>
      <c r="D5" s="13">
        <f t="shared" ref="D5:D12" ca="1" si="12">E5+ROW()/1000+(F5="")*10</f>
        <v>2.0049999999999999</v>
      </c>
      <c r="E5" s="251">
        <f t="shared" ref="E5:E12" ca="1" si="13">IF($AI$15,RANK(AH18,AH$17:AH$25,1),RANK(X18,X$17:X$25,1))</f>
        <v>2</v>
      </c>
      <c r="F5" s="1" t="str">
        <f t="shared" ref="F5:F12" si="14">$Q65</f>
        <v>Inter Mailand</v>
      </c>
      <c r="G5" s="1">
        <f t="shared" ca="1" si="1"/>
        <v>13</v>
      </c>
      <c r="H5" s="1">
        <f t="shared" ca="1" si="2"/>
        <v>6</v>
      </c>
      <c r="I5" s="13">
        <f t="shared" ca="1" si="3"/>
        <v>7</v>
      </c>
      <c r="J5" s="1">
        <f t="shared" ref="J5:J12" ca="1" si="15">SUMIF($V$64:$V$135,F5,$AE$64:$AE$135)+SUMIF($W$64:$W$135,F5,$AF$64:$AF$135)</f>
        <v>10</v>
      </c>
      <c r="K5" s="1">
        <f t="shared" ca="1" si="4"/>
        <v>4</v>
      </c>
      <c r="L5" s="1">
        <f t="shared" ca="1" si="5"/>
        <v>3</v>
      </c>
      <c r="M5" s="1">
        <f t="shared" ca="1" si="6"/>
        <v>1</v>
      </c>
      <c r="N5" s="1">
        <f t="shared" ca="1" si="7"/>
        <v>0</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1.0605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1.0605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1.0605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1.0605</v>
      </c>
      <c r="AP5" s="644">
        <f t="shared" ref="AP5:AP12" ca="1" si="28">RANK($AO5,$AO$4:$AO$12,1)</f>
        <v>2</v>
      </c>
    </row>
    <row r="6" spans="1:42" s="2" customFormat="1" x14ac:dyDescent="0.2">
      <c r="A6" s="238"/>
      <c r="B6" s="1">
        <v>3</v>
      </c>
      <c r="C6" s="22">
        <f t="shared" ca="1" si="11"/>
        <v>5</v>
      </c>
      <c r="D6" s="13">
        <f t="shared" ca="1" si="12"/>
        <v>5.0060000000000002</v>
      </c>
      <c r="E6" s="251">
        <f t="shared" ca="1" si="13"/>
        <v>5</v>
      </c>
      <c r="F6" s="1" t="str">
        <f t="shared" si="14"/>
        <v>SSV Wildbach</v>
      </c>
      <c r="G6" s="1">
        <f t="shared" ca="1" si="1"/>
        <v>3</v>
      </c>
      <c r="H6" s="1">
        <f t="shared" ca="1" si="2"/>
        <v>15</v>
      </c>
      <c r="I6" s="13">
        <f t="shared" ca="1" si="3"/>
        <v>-12</v>
      </c>
      <c r="J6" s="1">
        <f t="shared" ca="1" si="15"/>
        <v>1</v>
      </c>
      <c r="K6" s="1">
        <f t="shared" ca="1" si="4"/>
        <v>4</v>
      </c>
      <c r="L6" s="1">
        <f t="shared" ca="1" si="5"/>
        <v>0</v>
      </c>
      <c r="M6" s="1">
        <f t="shared" ca="1" si="6"/>
        <v>1</v>
      </c>
      <c r="N6" s="1">
        <f t="shared" ca="1" si="7"/>
        <v>3</v>
      </c>
      <c r="O6" s="24"/>
      <c r="P6" s="25"/>
      <c r="V6" s="1"/>
      <c r="W6" s="641" t="str">
        <f t="shared" ca="1" si="16"/>
        <v/>
      </c>
      <c r="X6" s="642" t="str">
        <f t="shared" ca="1" si="17"/>
        <v/>
      </c>
      <c r="Y6" s="639">
        <f t="shared" ca="1" si="18"/>
        <v>99999</v>
      </c>
      <c r="Z6" s="639">
        <f ca="1">RANK(Y6,Y$4:Y$12,1)+INDEX($E$4:$E$12,MATCH(W6,$F$4:$F$12,0))/100+ROW()/10000</f>
        <v>1.0606</v>
      </c>
      <c r="AA6" s="644">
        <f t="shared" ca="1" si="19"/>
        <v>3</v>
      </c>
      <c r="AB6" s="641" t="str">
        <f t="shared" ca="1" si="8"/>
        <v/>
      </c>
      <c r="AC6" s="642" t="str">
        <f t="shared" ca="1" si="20"/>
        <v/>
      </c>
      <c r="AD6" s="643">
        <f t="shared" ca="1" si="21"/>
        <v>99999</v>
      </c>
      <c r="AE6" s="639">
        <f ca="1">RANK(AD6,AD$4:AD$12,1)+INDEX($E$4:$E$12,MATCH(AB6,$F$4:$F$12,0))/100+ROW()/10000</f>
        <v>1.0606</v>
      </c>
      <c r="AF6" s="639">
        <f t="shared" ca="1" si="22"/>
        <v>3</v>
      </c>
      <c r="AG6" s="641" t="str">
        <f t="shared" ca="1" si="9"/>
        <v/>
      </c>
      <c r="AH6" s="642" t="str">
        <f t="shared" ca="1" si="23"/>
        <v/>
      </c>
      <c r="AI6" s="643">
        <f t="shared" ca="1" si="24"/>
        <v>99999</v>
      </c>
      <c r="AJ6" s="639">
        <f ca="1">RANK(AI6,AI$4:AI$12,1)+INDEX($E$4:$E$12,MATCH(AG6,$F$4:$F$12,0))/100+ROW()/10000</f>
        <v>1.0606</v>
      </c>
      <c r="AK6" s="644">
        <f t="shared" ca="1" si="25"/>
        <v>3</v>
      </c>
      <c r="AL6" s="642" t="str">
        <f t="shared" ca="1" si="10"/>
        <v/>
      </c>
      <c r="AM6" s="642" t="str">
        <f t="shared" ca="1" si="26"/>
        <v/>
      </c>
      <c r="AN6" s="643">
        <f t="shared" ca="1" si="27"/>
        <v>99999</v>
      </c>
      <c r="AO6" s="639">
        <f ca="1">RANK(AN6,AN$4:AN$12,1)+INDEX($E$4:$E$12,MATCH(AL6,$F$4:$F$12,0))/100+ROW()/10000</f>
        <v>1.0606</v>
      </c>
      <c r="AP6" s="644">
        <f t="shared" ca="1" si="28"/>
        <v>3</v>
      </c>
    </row>
    <row r="7" spans="1:42" s="2" customFormat="1" x14ac:dyDescent="0.2">
      <c r="A7" s="238"/>
      <c r="B7" s="1">
        <v>4</v>
      </c>
      <c r="C7" s="22">
        <f t="shared" ca="1" si="11"/>
        <v>1</v>
      </c>
      <c r="D7" s="13">
        <f t="shared" ca="1" si="12"/>
        <v>1.0069999999999999</v>
      </c>
      <c r="E7" s="251">
        <f t="shared" ca="1" si="13"/>
        <v>1</v>
      </c>
      <c r="F7" s="1" t="str">
        <f t="shared" si="14"/>
        <v>Manchester City</v>
      </c>
      <c r="G7" s="1">
        <f t="shared" ca="1" si="1"/>
        <v>12</v>
      </c>
      <c r="H7" s="1">
        <f t="shared" ca="1" si="2"/>
        <v>4</v>
      </c>
      <c r="I7" s="13">
        <f t="shared" ca="1" si="3"/>
        <v>8</v>
      </c>
      <c r="J7" s="1">
        <f t="shared" ca="1" si="15"/>
        <v>10</v>
      </c>
      <c r="K7" s="1">
        <f t="shared" ca="1" si="4"/>
        <v>4</v>
      </c>
      <c r="L7" s="1">
        <f t="shared" ca="1" si="5"/>
        <v>3</v>
      </c>
      <c r="M7" s="1">
        <f t="shared" ca="1" si="6"/>
        <v>1</v>
      </c>
      <c r="N7" s="1">
        <f t="shared" ca="1" si="7"/>
        <v>0</v>
      </c>
      <c r="O7" s="24"/>
      <c r="P7" s="25"/>
      <c r="V7" s="1"/>
      <c r="W7" s="641" t="str">
        <f t="shared" ca="1" si="16"/>
        <v/>
      </c>
      <c r="X7" s="642" t="str">
        <f t="shared" ca="1" si="17"/>
        <v/>
      </c>
      <c r="Y7" s="639">
        <f t="shared" ca="1" si="18"/>
        <v>99999</v>
      </c>
      <c r="Z7" s="639">
        <f ca="1">RANK(Y7,Y$4:Y$12,1)+INDEX($E$4:$E$12,MATCH(W7,$F$4:$F$12,0))/100+ROW()/10000</f>
        <v>1.0607</v>
      </c>
      <c r="AA7" s="644">
        <f t="shared" ca="1" si="19"/>
        <v>4</v>
      </c>
      <c r="AB7" s="641" t="str">
        <f t="shared" ca="1" si="8"/>
        <v/>
      </c>
      <c r="AC7" s="642" t="str">
        <f t="shared" ca="1" si="20"/>
        <v/>
      </c>
      <c r="AD7" s="643">
        <f t="shared" ca="1" si="21"/>
        <v>99999</v>
      </c>
      <c r="AE7" s="639">
        <f ca="1">RANK(AD7,AD$4:AD$12,1)+INDEX($E$4:$E$12,MATCH(AB7,$F$4:$F$12,0))/100+ROW()/10000</f>
        <v>1.0607</v>
      </c>
      <c r="AF7" s="639">
        <f t="shared" ca="1" si="22"/>
        <v>4</v>
      </c>
      <c r="AG7" s="641" t="str">
        <f t="shared" ca="1" si="9"/>
        <v/>
      </c>
      <c r="AH7" s="642" t="str">
        <f t="shared" ca="1" si="23"/>
        <v/>
      </c>
      <c r="AI7" s="643">
        <f t="shared" ca="1" si="24"/>
        <v>99999</v>
      </c>
      <c r="AJ7" s="639">
        <f ca="1">RANK(AI7,AI$4:AI$12,1)+INDEX($E$4:$E$12,MATCH(AG7,$F$4:$F$12,0))/100+ROW()/10000</f>
        <v>1.0607</v>
      </c>
      <c r="AK7" s="644">
        <f t="shared" ca="1" si="25"/>
        <v>4</v>
      </c>
      <c r="AL7" s="642" t="str">
        <f t="shared" ca="1" si="10"/>
        <v/>
      </c>
      <c r="AM7" s="642" t="str">
        <f t="shared" ca="1" si="26"/>
        <v/>
      </c>
      <c r="AN7" s="643">
        <f t="shared" ca="1" si="27"/>
        <v>99999</v>
      </c>
      <c r="AO7" s="639">
        <f ca="1">RANK(AN7,AN$4:AN$12,1)+INDEX($E$4:$E$12,MATCH(AL7,$F$4:$F$12,0))/100+ROW()/10000</f>
        <v>1.0607</v>
      </c>
      <c r="AP7" s="644">
        <f t="shared" ca="1" si="28"/>
        <v>4</v>
      </c>
    </row>
    <row r="8" spans="1:42" s="2" customFormat="1" x14ac:dyDescent="0.2">
      <c r="A8" s="238"/>
      <c r="B8" s="1">
        <v>5</v>
      </c>
      <c r="C8" s="22">
        <f t="shared" ca="1" si="11"/>
        <v>4</v>
      </c>
      <c r="D8" s="13">
        <f t="shared" ca="1" si="12"/>
        <v>4.008</v>
      </c>
      <c r="E8" s="251">
        <f t="shared" ca="1" si="13"/>
        <v>4</v>
      </c>
      <c r="F8" s="1" t="str">
        <f t="shared" si="14"/>
        <v>FC Grönlingen</v>
      </c>
      <c r="G8" s="1">
        <f t="shared" ca="1" si="1"/>
        <v>8</v>
      </c>
      <c r="H8" s="1">
        <f t="shared" ca="1" si="2"/>
        <v>10</v>
      </c>
      <c r="I8" s="13">
        <f t="shared" ca="1" si="3"/>
        <v>-2</v>
      </c>
      <c r="J8" s="1">
        <f t="shared" ca="1" si="15"/>
        <v>3</v>
      </c>
      <c r="K8" s="1">
        <f t="shared" ca="1" si="4"/>
        <v>4</v>
      </c>
      <c r="L8" s="1">
        <f t="shared" ca="1" si="5"/>
        <v>1</v>
      </c>
      <c r="M8" s="1">
        <f t="shared" ca="1" si="6"/>
        <v>0</v>
      </c>
      <c r="N8" s="1">
        <f t="shared" ca="1" si="7"/>
        <v>3</v>
      </c>
      <c r="P8" s="25"/>
      <c r="W8" s="641" t="str">
        <f t="shared" ca="1" si="16"/>
        <v/>
      </c>
      <c r="X8" s="642" t="str">
        <f t="shared" ca="1" si="17"/>
        <v/>
      </c>
      <c r="Y8" s="639">
        <f t="shared" ca="1" si="18"/>
        <v>99999</v>
      </c>
      <c r="Z8" s="639">
        <f t="shared" ref="Z8:Z12" ca="1" si="29">RANK(Y8,Y$4:Y$12,1)+INDEX($E$4:$E$12,MATCH(W8,$F$4:$F$12,0))/100+ROW()/10000</f>
        <v>1.0608</v>
      </c>
      <c r="AA8" s="644">
        <f t="shared" ca="1" si="19"/>
        <v>5</v>
      </c>
      <c r="AB8" s="641" t="str">
        <f t="shared" ca="1" si="8"/>
        <v/>
      </c>
      <c r="AC8" s="642" t="str">
        <f t="shared" ca="1" si="20"/>
        <v/>
      </c>
      <c r="AD8" s="643">
        <f t="shared" ca="1" si="21"/>
        <v>99999</v>
      </c>
      <c r="AE8" s="639">
        <f t="shared" ref="AE8:AE12" ca="1" si="30">RANK(AD8,AD$4:AD$12,1)+INDEX($E$4:$E$12,MATCH(AB8,$F$4:$F$12,0))/100+ROW()/10000</f>
        <v>1.0608</v>
      </c>
      <c r="AF8" s="639">
        <f t="shared" ca="1" si="22"/>
        <v>5</v>
      </c>
      <c r="AG8" s="641" t="str">
        <f t="shared" ca="1" si="9"/>
        <v/>
      </c>
      <c r="AH8" s="642" t="str">
        <f t="shared" ca="1" si="23"/>
        <v/>
      </c>
      <c r="AI8" s="643">
        <f t="shared" ca="1" si="24"/>
        <v>99999</v>
      </c>
      <c r="AJ8" s="639">
        <f t="shared" ref="AJ8:AJ12" ca="1" si="31">RANK(AI8,AI$4:AI$12,1)+INDEX($E$4:$E$12,MATCH(AG8,$F$4:$F$12,0))/100+ROW()/10000</f>
        <v>1.0608</v>
      </c>
      <c r="AK8" s="644">
        <f t="shared" ca="1" si="25"/>
        <v>5</v>
      </c>
      <c r="AL8" s="642" t="str">
        <f t="shared" ca="1" si="10"/>
        <v/>
      </c>
      <c r="AM8" s="642" t="str">
        <f t="shared" ca="1" si="26"/>
        <v/>
      </c>
      <c r="AN8" s="643">
        <f t="shared" ca="1" si="27"/>
        <v>99999</v>
      </c>
      <c r="AO8" s="639">
        <f t="shared" ref="AO8:AO12" ca="1" si="32">RANK(AN8,AN$4:AN$12,1)+INDEX($E$4:$E$12,MATCH(AL8,$F$4:$F$12,0))/100+ROW()/10000</f>
        <v>1.0608</v>
      </c>
      <c r="AP8" s="644">
        <f t="shared" ca="1" si="28"/>
        <v>5</v>
      </c>
    </row>
    <row r="9" spans="1:42" s="2" customFormat="1" x14ac:dyDescent="0.2">
      <c r="A9" s="238"/>
      <c r="B9" s="1">
        <v>6</v>
      </c>
      <c r="C9" s="22">
        <f t="shared" ca="1" si="11"/>
        <v>6</v>
      </c>
      <c r="D9" s="13">
        <f t="shared" ca="1" si="12"/>
        <v>16.009</v>
      </c>
      <c r="E9" s="251">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1.0609</v>
      </c>
      <c r="AA9" s="644">
        <f t="shared" ca="1" si="19"/>
        <v>6</v>
      </c>
      <c r="AB9" s="641" t="str">
        <f t="shared" ca="1" si="8"/>
        <v/>
      </c>
      <c r="AC9" s="642" t="str">
        <f t="shared" ca="1" si="20"/>
        <v/>
      </c>
      <c r="AD9" s="643">
        <f t="shared" ca="1" si="21"/>
        <v>99999</v>
      </c>
      <c r="AE9" s="639">
        <f t="shared" ca="1" si="30"/>
        <v>1.0609</v>
      </c>
      <c r="AF9" s="639">
        <f t="shared" ca="1" si="22"/>
        <v>6</v>
      </c>
      <c r="AG9" s="641" t="str">
        <f t="shared" ca="1" si="9"/>
        <v/>
      </c>
      <c r="AH9" s="642" t="str">
        <f t="shared" ca="1" si="23"/>
        <v/>
      </c>
      <c r="AI9" s="643">
        <f t="shared" ca="1" si="24"/>
        <v>99999</v>
      </c>
      <c r="AJ9" s="639">
        <f t="shared" ca="1" si="31"/>
        <v>1.0609</v>
      </c>
      <c r="AK9" s="644">
        <f t="shared" ca="1" si="25"/>
        <v>6</v>
      </c>
      <c r="AL9" s="642" t="str">
        <f t="shared" ca="1" si="10"/>
        <v/>
      </c>
      <c r="AM9" s="642" t="str">
        <f t="shared" ca="1" si="26"/>
        <v/>
      </c>
      <c r="AN9" s="643">
        <f t="shared" ca="1" si="27"/>
        <v>99999</v>
      </c>
      <c r="AO9" s="639">
        <f t="shared" ca="1" si="32"/>
        <v>1.0609</v>
      </c>
      <c r="AP9" s="644">
        <f t="shared" ca="1" si="28"/>
        <v>6</v>
      </c>
    </row>
    <row r="10" spans="1:42" s="2" customFormat="1" x14ac:dyDescent="0.2">
      <c r="A10" s="238"/>
      <c r="B10" s="1">
        <v>7</v>
      </c>
      <c r="C10" s="22">
        <f t="shared" ca="1" si="11"/>
        <v>7</v>
      </c>
      <c r="D10" s="13">
        <f t="shared" ca="1" si="12"/>
        <v>17.009999999999998</v>
      </c>
      <c r="E10" s="251">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1.0609999999999999</v>
      </c>
      <c r="AA10" s="644">
        <f t="shared" ca="1" si="19"/>
        <v>7</v>
      </c>
      <c r="AB10" s="641" t="str">
        <f t="shared" ca="1" si="8"/>
        <v/>
      </c>
      <c r="AC10" s="642" t="str">
        <f t="shared" ca="1" si="20"/>
        <v/>
      </c>
      <c r="AD10" s="643">
        <f t="shared" ca="1" si="21"/>
        <v>99999</v>
      </c>
      <c r="AE10" s="639">
        <f t="shared" ca="1" si="30"/>
        <v>1.0609999999999999</v>
      </c>
      <c r="AF10" s="639">
        <f t="shared" ca="1" si="22"/>
        <v>7</v>
      </c>
      <c r="AG10" s="641" t="str">
        <f t="shared" ca="1" si="9"/>
        <v/>
      </c>
      <c r="AH10" s="642" t="str">
        <f t="shared" ca="1" si="23"/>
        <v/>
      </c>
      <c r="AI10" s="643">
        <f t="shared" ca="1" si="24"/>
        <v>99999</v>
      </c>
      <c r="AJ10" s="639">
        <f t="shared" ca="1" si="31"/>
        <v>1.0609999999999999</v>
      </c>
      <c r="AK10" s="644">
        <f t="shared" ca="1" si="25"/>
        <v>7</v>
      </c>
      <c r="AL10" s="642" t="str">
        <f t="shared" ca="1" si="10"/>
        <v/>
      </c>
      <c r="AM10" s="642" t="str">
        <f t="shared" ca="1" si="26"/>
        <v/>
      </c>
      <c r="AN10" s="643">
        <f t="shared" ca="1" si="27"/>
        <v>99999</v>
      </c>
      <c r="AO10" s="639">
        <f t="shared" ca="1" si="32"/>
        <v>1.0609999999999999</v>
      </c>
      <c r="AP10" s="644">
        <f t="shared" ca="1" si="28"/>
        <v>7</v>
      </c>
    </row>
    <row r="11" spans="1:42" s="2" customFormat="1" x14ac:dyDescent="0.2">
      <c r="A11" s="238"/>
      <c r="B11" s="1">
        <v>8</v>
      </c>
      <c r="C11" s="22">
        <f t="shared" ca="1" si="11"/>
        <v>8</v>
      </c>
      <c r="D11" s="13">
        <f t="shared" ca="1" si="12"/>
        <v>17.010999999999999</v>
      </c>
      <c r="E11" s="251">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1.0611000000000002</v>
      </c>
      <c r="AA11" s="644">
        <f t="shared" ca="1" si="19"/>
        <v>8</v>
      </c>
      <c r="AB11" s="641" t="str">
        <f t="shared" ca="1" si="8"/>
        <v/>
      </c>
      <c r="AC11" s="642" t="str">
        <f t="shared" ca="1" si="20"/>
        <v/>
      </c>
      <c r="AD11" s="643">
        <f t="shared" ca="1" si="21"/>
        <v>99999</v>
      </c>
      <c r="AE11" s="639">
        <f t="shared" ca="1" si="30"/>
        <v>1.0611000000000002</v>
      </c>
      <c r="AF11" s="639">
        <f t="shared" ca="1" si="22"/>
        <v>8</v>
      </c>
      <c r="AG11" s="641" t="str">
        <f t="shared" ca="1" si="9"/>
        <v/>
      </c>
      <c r="AH11" s="642" t="str">
        <f t="shared" ca="1" si="23"/>
        <v/>
      </c>
      <c r="AI11" s="643">
        <f t="shared" ca="1" si="24"/>
        <v>99999</v>
      </c>
      <c r="AJ11" s="639">
        <f t="shared" ca="1" si="31"/>
        <v>1.0611000000000002</v>
      </c>
      <c r="AK11" s="644">
        <f t="shared" ca="1" si="25"/>
        <v>8</v>
      </c>
      <c r="AL11" s="642" t="str">
        <f t="shared" ca="1" si="10"/>
        <v/>
      </c>
      <c r="AM11" s="642" t="str">
        <f t="shared" ca="1" si="26"/>
        <v/>
      </c>
      <c r="AN11" s="643">
        <f t="shared" ca="1" si="27"/>
        <v>99999</v>
      </c>
      <c r="AO11" s="639">
        <f t="shared" ca="1" si="32"/>
        <v>1.0611000000000002</v>
      </c>
      <c r="AP11" s="644">
        <f t="shared" ca="1" si="28"/>
        <v>8</v>
      </c>
    </row>
    <row r="12" spans="1:42" s="2" customFormat="1" ht="12.75" thickBot="1" x14ac:dyDescent="0.25">
      <c r="A12" s="238"/>
      <c r="B12" s="1">
        <v>9</v>
      </c>
      <c r="C12" s="23">
        <f t="shared" ca="1" si="11"/>
        <v>9</v>
      </c>
      <c r="D12" s="13">
        <f t="shared" ca="1" si="12"/>
        <v>17.012</v>
      </c>
      <c r="E12" s="251">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1.0612000000000001</v>
      </c>
      <c r="AA12" s="648">
        <f t="shared" ca="1" si="19"/>
        <v>9</v>
      </c>
      <c r="AB12" s="645" t="str">
        <f t="shared" ca="1" si="8"/>
        <v/>
      </c>
      <c r="AC12" s="646" t="str">
        <f t="shared" ca="1" si="20"/>
        <v/>
      </c>
      <c r="AD12" s="649">
        <f t="shared" ca="1" si="21"/>
        <v>99999</v>
      </c>
      <c r="AE12" s="647">
        <f t="shared" ca="1" si="30"/>
        <v>1.0612000000000001</v>
      </c>
      <c r="AF12" s="647">
        <f t="shared" ca="1" si="22"/>
        <v>9</v>
      </c>
      <c r="AG12" s="645" t="str">
        <f t="shared" ca="1" si="9"/>
        <v/>
      </c>
      <c r="AH12" s="646" t="str">
        <f t="shared" ca="1" si="23"/>
        <v/>
      </c>
      <c r="AI12" s="649">
        <f t="shared" ca="1" si="24"/>
        <v>99999</v>
      </c>
      <c r="AJ12" s="647">
        <f t="shared" ca="1" si="31"/>
        <v>1.0612000000000001</v>
      </c>
      <c r="AK12" s="648">
        <f t="shared" ca="1" si="25"/>
        <v>9</v>
      </c>
      <c r="AL12" s="646" t="str">
        <f t="shared" ca="1" si="10"/>
        <v/>
      </c>
      <c r="AM12" s="646" t="str">
        <f t="shared" ca="1" si="26"/>
        <v/>
      </c>
      <c r="AN12" s="649">
        <f t="shared" ca="1" si="27"/>
        <v>99999</v>
      </c>
      <c r="AO12" s="647">
        <f t="shared" ca="1" si="32"/>
        <v>1.0612000000000001</v>
      </c>
      <c r="AP12" s="648">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Mainz 05</v>
      </c>
      <c r="D17" s="1">
        <f t="shared" ref="D17:G25" ca="1" si="33">K4</f>
        <v>4</v>
      </c>
      <c r="E17" s="1">
        <f t="shared" ca="1" si="33"/>
        <v>1</v>
      </c>
      <c r="F17" s="1">
        <f t="shared" ca="1" si="33"/>
        <v>1</v>
      </c>
      <c r="G17" s="1">
        <f t="shared" ca="1" si="33"/>
        <v>2</v>
      </c>
      <c r="H17" s="1">
        <f t="shared" ref="H17:K25" ca="1" si="34">G4</f>
        <v>5</v>
      </c>
      <c r="I17" s="1">
        <f t="shared" ca="1" si="34"/>
        <v>6</v>
      </c>
      <c r="J17" s="13">
        <f t="shared" ca="1" si="34"/>
        <v>-1</v>
      </c>
      <c r="K17" s="1">
        <f t="shared" ca="1" si="34"/>
        <v>4</v>
      </c>
      <c r="L17" s="30">
        <f t="shared" ref="L17:L25" ca="1" si="35">K17*$F$64+(J17+$H$65)*$F$65+H17*$F$66</f>
        <v>4499005</v>
      </c>
      <c r="M17" s="14">
        <f ca="1">IF($AI$15,COUNTIF($K$17:$K$25,K17),COUNTIF($L$17:$L$25,L17))</f>
        <v>1</v>
      </c>
      <c r="N17" s="14">
        <f t="array" aca="1" ref="N17" ca="1">IF($AI$15,SUM(($K$17:$K$25&gt;=K17)/COUNTIF($K$17:$K$25,$K$17:$K$25)),SUM(($L$17:$L$25&gt;=L17)/COUNTIF($L$17:$L$25,$L$17:$L$25)))</f>
        <v>3</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3.0108999999999999</v>
      </c>
      <c r="Y17" s="13">
        <f>Vorrunde!$AI22</f>
        <v>0</v>
      </c>
      <c r="Z17" s="1">
        <f ca="1">RANK($W17,$W$17:$W$25)+(9-$Y17)/10</f>
        <v>1.9</v>
      </c>
      <c r="AA17" s="1">
        <f ca="1">SUM(E30:BP30)</f>
        <v>0</v>
      </c>
      <c r="AB17" s="1">
        <f ca="1">SUM(E41:BP41)</f>
        <v>0</v>
      </c>
      <c r="AC17" s="1">
        <f ca="1">SUM(E52:BP52)</f>
        <v>0</v>
      </c>
      <c r="AD17" s="245">
        <f ca="1">RANK($K17,$K$17:$K$25)</f>
        <v>3</v>
      </c>
      <c r="AE17" s="30">
        <f t="shared" ref="AE17:AE22" ca="1" si="45">(J17+$H$65)*$F$65+H17*$F$66</f>
        <v>499005</v>
      </c>
      <c r="AF17" s="1">
        <f ca="1">RANK($AE17,$AE$17:$AE$25)</f>
        <v>4</v>
      </c>
      <c r="AG17" s="1">
        <f ca="1">RANK($W17,$W$17:$W$25)</f>
        <v>1</v>
      </c>
      <c r="AH17" s="247">
        <f ca="1">AD17+AG17/100+AF17/10000+(10-Y17)/1000000</f>
        <v>3.0104099999999998</v>
      </c>
      <c r="AI17" s="1"/>
    </row>
    <row r="18" spans="2:80" s="2" customFormat="1" x14ac:dyDescent="0.2">
      <c r="C18" s="2" t="str">
        <f t="shared" ref="C18:C25" si="46">$Q65</f>
        <v>Inter Mailand</v>
      </c>
      <c r="D18" s="1">
        <f t="shared" ca="1" si="33"/>
        <v>4</v>
      </c>
      <c r="E18" s="1">
        <f t="shared" ca="1" si="33"/>
        <v>3</v>
      </c>
      <c r="F18" s="1">
        <f t="shared" ca="1" si="33"/>
        <v>1</v>
      </c>
      <c r="G18" s="1">
        <f t="shared" ca="1" si="33"/>
        <v>0</v>
      </c>
      <c r="H18" s="1">
        <f t="shared" ca="1" si="34"/>
        <v>13</v>
      </c>
      <c r="I18" s="1">
        <f t="shared" ca="1" si="34"/>
        <v>6</v>
      </c>
      <c r="J18" s="13">
        <f t="shared" ca="1" si="34"/>
        <v>7</v>
      </c>
      <c r="K18" s="1">
        <f t="shared" ca="1" si="34"/>
        <v>10</v>
      </c>
      <c r="L18" s="30">
        <f t="shared" ca="1" si="35"/>
        <v>10507013</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Vorrunde!$AI23</f>
        <v>0</v>
      </c>
      <c r="Z18" s="1">
        <f t="shared" ref="Z18:Z25" ca="1" si="49">RANK($W18,$W$17:$W$25)+(9-$Y18)/10</f>
        <v>1.9</v>
      </c>
      <c r="AA18" s="1">
        <f t="shared" ref="AA18:AA25" ca="1" si="50">SUM(E31:BP31)</f>
        <v>0</v>
      </c>
      <c r="AB18" s="1">
        <f t="shared" ref="AB18:AB25" ca="1" si="51">SUM(E42:BP42)</f>
        <v>0</v>
      </c>
      <c r="AC18" s="1">
        <f t="shared" ref="AC18:AC25" ca="1" si="52">SUM(E53:BP53)</f>
        <v>0</v>
      </c>
      <c r="AD18" s="245">
        <f t="shared" ref="AD18:AD25" ca="1" si="53">RANK($K18,$K$17:$K$25)</f>
        <v>1</v>
      </c>
      <c r="AE18" s="30">
        <f t="shared" ca="1" si="45"/>
        <v>507013</v>
      </c>
      <c r="AF18" s="1">
        <f t="shared" ref="AF18:AF25" ca="1" si="54">RANK($AE18,$AE$17:$AE$25)</f>
        <v>2</v>
      </c>
      <c r="AG18" s="1">
        <f t="shared" ref="AG18:AG25" ca="1" si="55">RANK($W18,$W$17:$W$25)</f>
        <v>1</v>
      </c>
      <c r="AH18" s="248">
        <f t="shared" ref="AH18:AH25" ca="1" si="56">AD18+AG18/100+AF18/10000+(10-Y18)/1000000</f>
        <v>1.0102100000000001</v>
      </c>
      <c r="AI18" s="1"/>
    </row>
    <row r="19" spans="2:80" s="2" customFormat="1" x14ac:dyDescent="0.2">
      <c r="C19" s="2" t="str">
        <f t="shared" si="46"/>
        <v>SSV Wildbach</v>
      </c>
      <c r="D19" s="1">
        <f t="shared" ca="1" si="33"/>
        <v>4</v>
      </c>
      <c r="E19" s="1">
        <f t="shared" ca="1" si="33"/>
        <v>0</v>
      </c>
      <c r="F19" s="1">
        <f t="shared" ca="1" si="33"/>
        <v>1</v>
      </c>
      <c r="G19" s="1">
        <f t="shared" ca="1" si="33"/>
        <v>3</v>
      </c>
      <c r="H19" s="1">
        <f t="shared" ca="1" si="34"/>
        <v>3</v>
      </c>
      <c r="I19" s="1">
        <f t="shared" ca="1" si="34"/>
        <v>15</v>
      </c>
      <c r="J19" s="13">
        <f t="shared" ca="1" si="34"/>
        <v>-12</v>
      </c>
      <c r="K19" s="1">
        <f t="shared" ca="1" si="34"/>
        <v>1</v>
      </c>
      <c r="L19" s="30">
        <f t="shared" ca="1" si="35"/>
        <v>1488003</v>
      </c>
      <c r="M19" s="14">
        <f t="shared" ca="1" si="47"/>
        <v>1</v>
      </c>
      <c r="N19" s="14">
        <f t="array" aca="1" ref="N19" ca="1">IF($AI$15,SUM(($K$17:$K$25&gt;=K19)/COUNTIF($K$17:$K$25,$K$17:$K$25)),SUM(($L$17:$L$25&gt;=L19)/COUNTIF($L$17:$L$25,$L$17:$L$25)))</f>
        <v>5</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5.0108999999999995</v>
      </c>
      <c r="Y19" s="13">
        <f>Vorrunde!$AI24</f>
        <v>0</v>
      </c>
      <c r="Z19" s="1">
        <f t="shared" ca="1" si="49"/>
        <v>1.9</v>
      </c>
      <c r="AA19" s="1">
        <f t="shared" ca="1" si="50"/>
        <v>0</v>
      </c>
      <c r="AB19" s="1">
        <f t="shared" ca="1" si="51"/>
        <v>0</v>
      </c>
      <c r="AC19" s="1">
        <f t="shared" ca="1" si="52"/>
        <v>0</v>
      </c>
      <c r="AD19" s="245">
        <f t="shared" ca="1" si="53"/>
        <v>5</v>
      </c>
      <c r="AE19" s="30">
        <f t="shared" ca="1" si="45"/>
        <v>488003</v>
      </c>
      <c r="AF19" s="1">
        <f t="shared" ca="1" si="54"/>
        <v>6</v>
      </c>
      <c r="AG19" s="1">
        <f t="shared" ca="1" si="55"/>
        <v>1</v>
      </c>
      <c r="AH19" s="248">
        <f t="shared" ca="1" si="56"/>
        <v>5.0106099999999998</v>
      </c>
      <c r="AI19" s="1"/>
    </row>
    <row r="20" spans="2:80" s="2" customFormat="1" x14ac:dyDescent="0.2">
      <c r="C20" s="2" t="str">
        <f t="shared" si="46"/>
        <v>Manchester City</v>
      </c>
      <c r="D20" s="1">
        <f t="shared" ca="1" si="33"/>
        <v>4</v>
      </c>
      <c r="E20" s="1">
        <f t="shared" ca="1" si="33"/>
        <v>3</v>
      </c>
      <c r="F20" s="1">
        <f t="shared" ca="1" si="33"/>
        <v>1</v>
      </c>
      <c r="G20" s="1">
        <f t="shared" ca="1" si="33"/>
        <v>0</v>
      </c>
      <c r="H20" s="1">
        <f t="shared" ca="1" si="34"/>
        <v>12</v>
      </c>
      <c r="I20" s="1">
        <f t="shared" ca="1" si="34"/>
        <v>4</v>
      </c>
      <c r="J20" s="13">
        <f t="shared" ca="1" si="34"/>
        <v>8</v>
      </c>
      <c r="K20" s="1">
        <f t="shared" ca="1" si="34"/>
        <v>10</v>
      </c>
      <c r="L20" s="30">
        <f t="shared" ca="1" si="35"/>
        <v>10508012</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1.0108999999999999</v>
      </c>
      <c r="Y20" s="13">
        <f>Vorrunde!$AI25</f>
        <v>0</v>
      </c>
      <c r="Z20" s="1">
        <f t="shared" ca="1" si="49"/>
        <v>1.9</v>
      </c>
      <c r="AA20" s="1">
        <f t="shared" ca="1" si="50"/>
        <v>0</v>
      </c>
      <c r="AB20" s="1">
        <f t="shared" ca="1" si="51"/>
        <v>0</v>
      </c>
      <c r="AC20" s="1">
        <f t="shared" ca="1" si="52"/>
        <v>0</v>
      </c>
      <c r="AD20" s="245">
        <f t="shared" ca="1" si="53"/>
        <v>1</v>
      </c>
      <c r="AE20" s="30">
        <f t="shared" ca="1" si="45"/>
        <v>508012</v>
      </c>
      <c r="AF20" s="1">
        <f t="shared" ca="1" si="54"/>
        <v>1</v>
      </c>
      <c r="AG20" s="1">
        <f t="shared" ca="1" si="55"/>
        <v>1</v>
      </c>
      <c r="AH20" s="248">
        <f t="shared" ca="1" si="56"/>
        <v>1.0101100000000001</v>
      </c>
      <c r="AI20" s="1"/>
    </row>
    <row r="21" spans="2:80" s="2" customFormat="1" x14ac:dyDescent="0.2">
      <c r="C21" s="2" t="str">
        <f t="shared" si="46"/>
        <v>FC Grönlingen</v>
      </c>
      <c r="D21" s="1">
        <f t="shared" ca="1" si="33"/>
        <v>4</v>
      </c>
      <c r="E21" s="1">
        <f t="shared" ca="1" si="33"/>
        <v>1</v>
      </c>
      <c r="F21" s="1">
        <f t="shared" ca="1" si="33"/>
        <v>0</v>
      </c>
      <c r="G21" s="1">
        <f t="shared" ca="1" si="33"/>
        <v>3</v>
      </c>
      <c r="H21" s="1">
        <f t="shared" ca="1" si="34"/>
        <v>8</v>
      </c>
      <c r="I21" s="1">
        <f t="shared" ca="1" si="34"/>
        <v>10</v>
      </c>
      <c r="J21" s="13">
        <f t="shared" ca="1" si="34"/>
        <v>-2</v>
      </c>
      <c r="K21" s="1">
        <f t="shared" ca="1" si="34"/>
        <v>3</v>
      </c>
      <c r="L21" s="30">
        <f t="shared" ca="1" si="35"/>
        <v>3498008</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Vorrunde!$AI26</f>
        <v>0</v>
      </c>
      <c r="Z21" s="1">
        <f t="shared" ca="1" si="49"/>
        <v>1.9</v>
      </c>
      <c r="AA21" s="1">
        <f t="shared" ca="1" si="50"/>
        <v>0</v>
      </c>
      <c r="AB21" s="1">
        <f t="shared" ca="1" si="51"/>
        <v>0</v>
      </c>
      <c r="AC21" s="1">
        <f t="shared" ca="1" si="52"/>
        <v>0</v>
      </c>
      <c r="AD21" s="245">
        <f t="shared" ca="1" si="53"/>
        <v>4</v>
      </c>
      <c r="AE21" s="30">
        <f t="shared" ca="1" si="45"/>
        <v>498008</v>
      </c>
      <c r="AF21" s="1">
        <f t="shared" ca="1" si="54"/>
        <v>5</v>
      </c>
      <c r="AG21" s="1">
        <f t="shared" ca="1" si="55"/>
        <v>1</v>
      </c>
      <c r="AH21" s="248">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Vorrunde!$AI27</f>
        <v>0</v>
      </c>
      <c r="Z22" s="1">
        <f t="shared" ca="1" si="49"/>
        <v>1.9</v>
      </c>
      <c r="AA22" s="1">
        <f t="shared" ca="1" si="50"/>
        <v>0</v>
      </c>
      <c r="AB22" s="1">
        <f t="shared" ca="1" si="51"/>
        <v>0</v>
      </c>
      <c r="AC22" s="1">
        <f t="shared" ca="1" si="52"/>
        <v>0</v>
      </c>
      <c r="AD22" s="245">
        <f t="shared" ca="1" si="53"/>
        <v>6</v>
      </c>
      <c r="AE22" s="30">
        <f t="shared" ca="1" si="45"/>
        <v>500000</v>
      </c>
      <c r="AF22" s="1">
        <f t="shared" ca="1" si="54"/>
        <v>3</v>
      </c>
      <c r="AG22" s="1">
        <f t="shared" ca="1" si="55"/>
        <v>1</v>
      </c>
      <c r="AH22" s="248">
        <f t="shared" ca="1" si="56"/>
        <v>6.0103099999999996</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5">
        <f t="shared" ca="1" si="53"/>
        <v>6</v>
      </c>
      <c r="AE23" s="30">
        <v>0</v>
      </c>
      <c r="AF23" s="1">
        <f t="shared" ca="1" si="54"/>
        <v>7</v>
      </c>
      <c r="AG23" s="1">
        <f t="shared" ca="1" si="55"/>
        <v>7</v>
      </c>
      <c r="AH23" s="248">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5">
        <f t="shared" ca="1" si="53"/>
        <v>6</v>
      </c>
      <c r="AE24" s="30">
        <v>0</v>
      </c>
      <c r="AF24" s="1">
        <f t="shared" ca="1" si="54"/>
        <v>7</v>
      </c>
      <c r="AG24" s="1">
        <f t="shared" ca="1" si="55"/>
        <v>7</v>
      </c>
      <c r="AH24" s="248">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5">
        <f t="shared" ca="1" si="53"/>
        <v>6</v>
      </c>
      <c r="AE25" s="30">
        <v>0</v>
      </c>
      <c r="AF25" s="1">
        <f t="shared" ca="1" si="54"/>
        <v>7</v>
      </c>
      <c r="AG25" s="1">
        <f t="shared" ca="1" si="55"/>
        <v>7</v>
      </c>
      <c r="AH25" s="249">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2</v>
      </c>
      <c r="BU30" s="8">
        <f t="shared" ca="1" si="58"/>
        <v>2</v>
      </c>
      <c r="BV30" s="8">
        <f t="shared" ca="1" si="58"/>
        <v>0</v>
      </c>
      <c r="BW30" s="8">
        <f t="shared" ca="1" si="58"/>
        <v>1</v>
      </c>
      <c r="BX30" s="8">
        <f t="shared" ca="1" si="58"/>
        <v>0</v>
      </c>
      <c r="BY30" s="8">
        <f t="shared" ca="1" si="58"/>
        <v>0</v>
      </c>
      <c r="BZ30" s="8">
        <f t="shared" ca="1" si="58"/>
        <v>0</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3</v>
      </c>
      <c r="BT31" s="7"/>
      <c r="BU31" s="8">
        <f t="shared" ca="1" si="58"/>
        <v>4</v>
      </c>
      <c r="BV31" s="8">
        <f t="shared" ca="1" si="58"/>
        <v>2</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2</v>
      </c>
      <c r="BT32" s="9">
        <f t="shared" ca="1" si="60"/>
        <v>0</v>
      </c>
      <c r="BU32" s="7"/>
      <c r="BV32" s="8">
        <f t="shared" ca="1" si="58"/>
        <v>0</v>
      </c>
      <c r="BW32" s="8">
        <f t="shared" ca="1" si="58"/>
        <v>1</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1</v>
      </c>
      <c r="BT33" s="9">
        <f t="shared" ca="1" si="60"/>
        <v>2</v>
      </c>
      <c r="BU33" s="9">
        <f t="shared" ca="1" si="60"/>
        <v>5</v>
      </c>
      <c r="BV33" s="7"/>
      <c r="BW33" s="8">
        <f ca="1">SUMIFS($X$64:$X$135,$V$64:$V$135,$BR33,$W$64:$W$135,BW$29)+SUMIFS($Y$64:$Y$135,$W$64:$W$135,$BR33,$V$64:$V$135,BW$29)</f>
        <v>4</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0</v>
      </c>
      <c r="BT34" s="9">
        <f t="shared" ca="1" si="60"/>
        <v>2</v>
      </c>
      <c r="BU34" s="9">
        <f t="shared" ca="1" si="60"/>
        <v>4</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-1</v>
      </c>
      <c r="BU41" s="8">
        <f ca="1">BU30-BS32</f>
        <v>0</v>
      </c>
      <c r="BV41" s="8">
        <f ca="1">BV30-BS33</f>
        <v>-1</v>
      </c>
      <c r="BW41" s="8">
        <f ca="1">BW30-BS34</f>
        <v>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1</v>
      </c>
      <c r="BT42" s="7"/>
      <c r="BU42" s="8">
        <f ca="1">BU31-BT32</f>
        <v>4</v>
      </c>
      <c r="BV42" s="8">
        <f ca="1">BV31-BT33</f>
        <v>0</v>
      </c>
      <c r="BW42" s="8">
        <f ca="1">BW31-BT34</f>
        <v>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0</v>
      </c>
      <c r="BT43" s="9">
        <f ca="1">IF(BU42="","",-1*BU42)</f>
        <v>-4</v>
      </c>
      <c r="BU43" s="7"/>
      <c r="BV43" s="8">
        <f ca="1">BV32-BU33</f>
        <v>-5</v>
      </c>
      <c r="BW43" s="8">
        <f ca="1">BW32-BU34</f>
        <v>-3</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1</v>
      </c>
      <c r="BT44" s="9">
        <f ca="1">IF(BV42="","",-1*BV42)</f>
        <v>0</v>
      </c>
      <c r="BU44" s="9">
        <f ca="1">IF(BV43="","",-1*BV43)</f>
        <v>5</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-1</v>
      </c>
      <c r="BT45" s="9">
        <f ca="1">IF(BW42="","",-1*BW42)</f>
        <v>-2</v>
      </c>
      <c r="BU45" s="9">
        <f ca="1">IF(BW43="","",-1*BW43)</f>
        <v>3</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0</v>
      </c>
      <c r="BU52" s="8">
        <f t="shared" ca="1" si="64"/>
        <v>1</v>
      </c>
      <c r="BV52" s="8">
        <f t="shared" ca="1" si="64"/>
        <v>0</v>
      </c>
      <c r="BW52" s="8">
        <f t="shared" ca="1" si="64"/>
        <v>3</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1</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1</v>
      </c>
      <c r="BT54" s="9">
        <f t="shared" ca="1" si="65"/>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3</v>
      </c>
      <c r="BT55" s="9">
        <f t="shared" ca="1" si="65"/>
        <v>1</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0</v>
      </c>
      <c r="BT56" s="9">
        <f t="shared" ca="1" si="65"/>
        <v>0</v>
      </c>
      <c r="BU56" s="9">
        <f t="shared" ca="1" si="65"/>
        <v>3</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276"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IF(Planung!$C$24="","",Planung!$C$24)</f>
        <v>Mainz 05</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1" t="str">
        <f ca="1">IF(AA64&gt;0,X64&amp;Sprache!$E$111&amp;Y64,"")</f>
        <v>2:6</v>
      </c>
      <c r="AD64" s="142"/>
      <c r="AE64" s="147">
        <f ca="1">IF($AA64=0,"",IF($X64&gt;$Y64,Einstellungen!$C$4,IF($X64=$Y64,1,0)))</f>
        <v>0</v>
      </c>
      <c r="AF64" s="142">
        <f ca="1">IF($AA64=0,"",IF($X64&lt;$Y64,Einstellungen!$C$4,IF($X64=$Y64,1,0)))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IF(Planung!$C$26="","",Planung!$C$26)</f>
        <v>Inter Mailand</v>
      </c>
      <c r="U65" s="67" t="s">
        <v>8</v>
      </c>
      <c r="V65" s="41" t="str">
        <f ca="1">Planung!$L7</f>
        <v>FC Grönlingen</v>
      </c>
      <c r="W65" s="13" t="str">
        <f ca="1">Planung!$N7</f>
        <v>Inter Mailand</v>
      </c>
      <c r="X65" s="13">
        <f ca="1">IF(AND(Vorrunde!$I13&lt;&gt;"",Vorrunde!$K13&lt;&gt;"",Vorrunde!$F13&lt;&gt;Vorrunde!$H13,$V65&lt;&gt;"",$W65&lt;&gt;""),Vorrunde!$I13,"")</f>
        <v>2</v>
      </c>
      <c r="Y65" s="36">
        <f ca="1">IF(AND(Vorrunde!$I13&lt;&gt;"",Vorrunde!$K13&lt;&gt;"",Vorrunde!$F13&lt;&gt;Vorrunde!$H13,$V65&lt;&gt;"",$W65&lt;&gt;""),Vorrunde!$K13,"")</f>
        <v>4</v>
      </c>
      <c r="Z65" s="35" t="str">
        <f t="shared" ref="Z65:Z73" ca="1" si="66">V65&amp;W65</f>
        <v>FC GrönlingenInter Mailand</v>
      </c>
      <c r="AA65" s="13">
        <f t="shared" ref="AA65:AA128" ca="1" si="67">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IF(Planung!$C$28="","",Planung!$C$28)</f>
        <v>SSV Wildbach</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66"/>
        <v>1. FC NürnbergReal Madrid</v>
      </c>
      <c r="AA66" s="13">
        <f t="shared" ca="1" si="67"/>
        <v>1</v>
      </c>
      <c r="AB66" s="13" t="str">
        <f ca="1">IF(AA66&gt;0,X66&amp;Sprache!$E$111&amp;Y66,"")</f>
        <v>1:4</v>
      </c>
      <c r="AD66" s="143"/>
      <c r="AE66" s="148">
        <f ca="1">IF($AA66=0,"",IF($X66&gt;$Y66,Einstellungen!$C$4,IF($X66=$Y66,1,0)))</f>
        <v>0</v>
      </c>
      <c r="AF66" s="143">
        <f ca="1">IF($AA66=0,"",IF($X66&lt;$Y66,Einstellungen!$C$4,IF($X66=$Y66,1,0)))</f>
        <v>3</v>
      </c>
      <c r="AH66" s="4"/>
      <c r="AI66" s="13"/>
      <c r="AJ66" s="4"/>
      <c r="AK66" s="13"/>
      <c r="AL66" s="13"/>
      <c r="AM66" s="13"/>
      <c r="AN66" s="13"/>
      <c r="AO66" s="13"/>
      <c r="AP66" s="13"/>
      <c r="AQ66" s="13"/>
    </row>
    <row r="67" spans="2:43" s="2" customFormat="1" x14ac:dyDescent="0.2">
      <c r="P67" s="47" t="s">
        <v>10</v>
      </c>
      <c r="Q67" s="62" t="str">
        <f>IF(Planung!$C$30="","",Planung!$C$30)</f>
        <v>Manchester City</v>
      </c>
      <c r="U67" s="67" t="s">
        <v>10</v>
      </c>
      <c r="V67" s="41" t="str">
        <f ca="1">Planung!$L9</f>
        <v>SV Oberredenburg</v>
      </c>
      <c r="W67" s="13" t="str">
        <f ca="1">Planung!$N9</f>
        <v>Paris St. Germain</v>
      </c>
      <c r="X67" s="13">
        <f ca="1">IF(AND(Vorrunde!$I15&lt;&gt;"",Vorrunde!$K15&lt;&gt;"",Vorrunde!$F15&lt;&gt;Vorrunde!$H15,$V67&lt;&gt;"",$W67&lt;&gt;""),Vorrunde!$I15,"")</f>
        <v>2</v>
      </c>
      <c r="Y67" s="36">
        <f ca="1">IF(AND(Vorrunde!$I15&lt;&gt;"",Vorrunde!$K15&lt;&gt;"",Vorrunde!$F15&lt;&gt;Vorrunde!$H15,$V67&lt;&gt;"",$W67&lt;&gt;""),Vorrunde!$K15,"")</f>
        <v>5</v>
      </c>
      <c r="Z67" s="35" t="str">
        <f t="shared" ca="1" si="66"/>
        <v>SV OberredenburgParis St. Germain</v>
      </c>
      <c r="AA67" s="13">
        <f t="shared" ca="1" si="67"/>
        <v>1</v>
      </c>
      <c r="AB67" s="13" t="str">
        <f ca="1">IF(AA67&gt;0,X67&amp;Sprache!$E$111&amp;Y67,"")</f>
        <v>2:5</v>
      </c>
      <c r="AD67" s="143"/>
      <c r="AE67" s="148">
        <f ca="1">IF($AA67=0,"",IF($X67&gt;$Y67,Einstellungen!$C$4,IF($X67=$Y67,1,0)))</f>
        <v>0</v>
      </c>
      <c r="AF67" s="143">
        <f ca="1">IF($AA67=0,"",IF($X67&lt;$Y67,Einstellungen!$C$4,IF($X67=$Y67,1,0)))</f>
        <v>3</v>
      </c>
      <c r="AH67" s="4"/>
      <c r="AI67" s="13"/>
      <c r="AJ67" s="13"/>
      <c r="AK67" s="4"/>
      <c r="AL67" s="13"/>
      <c r="AM67" s="13"/>
      <c r="AN67" s="13"/>
      <c r="AO67" s="13"/>
      <c r="AP67" s="13"/>
      <c r="AQ67" s="13"/>
    </row>
    <row r="68" spans="2:43" s="2" customFormat="1" x14ac:dyDescent="0.2">
      <c r="P68" s="47" t="s">
        <v>11</v>
      </c>
      <c r="Q68" s="62" t="str">
        <f>IF(Planung!$C$32="","",Planung!$C$32)</f>
        <v>FC Grönlingen</v>
      </c>
      <c r="U68" s="67" t="s">
        <v>11</v>
      </c>
      <c r="V68" s="41" t="str">
        <f ca="1">Planung!$L10</f>
        <v>Eintracht Frankfurt</v>
      </c>
      <c r="W68" s="13" t="str">
        <f ca="1">Planung!$N10</f>
        <v>Maibach 1822 eV</v>
      </c>
      <c r="X68" s="13">
        <f ca="1">IF(AND(Vorrunde!$I16&lt;&gt;"",Vorrunde!$K16&lt;&gt;"",Vorrunde!$F16&lt;&gt;Vorrunde!$H16,$V68&lt;&gt;"",$W68&lt;&gt;""),Vorrunde!$I16,"")</f>
        <v>3</v>
      </c>
      <c r="Y68" s="36">
        <f ca="1">IF(AND(Vorrunde!$I16&lt;&gt;"",Vorrunde!$K16&lt;&gt;"",Vorrunde!$F16&lt;&gt;Vorrunde!$H16,$V68&lt;&gt;"",$W68&lt;&gt;""),Vorrunde!$K16,"")</f>
        <v>2</v>
      </c>
      <c r="Z68" s="35" t="str">
        <f t="shared" ca="1" si="66"/>
        <v>Eintracht FrankfurtMaibach 1822 eV</v>
      </c>
      <c r="AA68" s="13">
        <f t="shared" ca="1" si="67"/>
        <v>1</v>
      </c>
      <c r="AB68" s="13" t="str">
        <f ca="1">IF(AA68&gt;0,X68&amp;Sprache!$E$111&amp;Y68,"")</f>
        <v>3:2</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t="s">
        <v>12</v>
      </c>
      <c r="Q69" s="62" t="str">
        <f>IF(Planung!$C$34="","",Planung!$C$34)</f>
        <v/>
      </c>
      <c r="U69" s="67" t="s">
        <v>12</v>
      </c>
      <c r="V69" s="41" t="str">
        <f ca="1">Planung!$L11</f>
        <v>SSV Wildbach</v>
      </c>
      <c r="W69" s="13" t="str">
        <f ca="1">Planung!$N11</f>
        <v>Manchester City</v>
      </c>
      <c r="X69" s="13">
        <f ca="1">IF(AND(Vorrunde!$I17&lt;&gt;"",Vorrunde!$K17&lt;&gt;"",Vorrunde!$F17&lt;&gt;Vorrunde!$H17,$V69&lt;&gt;"",$W69&lt;&gt;""),Vorrunde!$I17,"")</f>
        <v>0</v>
      </c>
      <c r="Y69" s="36">
        <f ca="1">IF(AND(Vorrunde!$I17&lt;&gt;"",Vorrunde!$K17&lt;&gt;"",Vorrunde!$F17&lt;&gt;Vorrunde!$H17,$V69&lt;&gt;"",$W69&lt;&gt;""),Vorrunde!$K17,"")</f>
        <v>5</v>
      </c>
      <c r="Z69" s="35" t="str">
        <f t="shared" ca="1" si="66"/>
        <v>SSV WildbachManchester City</v>
      </c>
      <c r="AA69" s="13">
        <f t="shared" ca="1" si="67"/>
        <v>1</v>
      </c>
      <c r="AB69" s="13" t="str">
        <f ca="1">IF(AA69&gt;0,X69&amp;Sprache!$E$111&amp;Y69,"")</f>
        <v>0:5</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Planung!$L12</f>
        <v>Borussia Dortmund</v>
      </c>
      <c r="W70" s="13" t="str">
        <f ca="1">Planung!$N12</f>
        <v>FSV Rauen</v>
      </c>
      <c r="X70" s="13">
        <f ca="1">IF(AND(Vorrunde!$I18&lt;&gt;"",Vorrunde!$K18&lt;&gt;"",Vorrunde!$F18&lt;&gt;Vorrunde!$H18,$V70&lt;&gt;"",$W70&lt;&gt;""),Vorrunde!$I18,"")</f>
        <v>3</v>
      </c>
      <c r="Y70" s="36">
        <f ca="1">IF(AND(Vorrunde!$I18&lt;&gt;"",Vorrunde!$K18&lt;&gt;"",Vorrunde!$F18&lt;&gt;Vorrunde!$H18,$V70&lt;&gt;"",$W70&lt;&gt;""),Vorrunde!$K18,"")</f>
        <v>1</v>
      </c>
      <c r="Z70" s="35" t="str">
        <f t="shared" ca="1" si="66"/>
        <v>Borussia DortmundFSV Rauen</v>
      </c>
      <c r="AA70" s="13">
        <f t="shared" ca="1" si="67"/>
        <v>1</v>
      </c>
      <c r="AB70" s="13" t="str">
        <f ca="1">IF(AA70&gt;0,X70&amp;Sprache!$E$111&amp;Y70,"")</f>
        <v>3:1</v>
      </c>
      <c r="AD70" s="143"/>
      <c r="AE70" s="148">
        <f ca="1">IF($AA70=0,"",IF($X70&gt;$Y70,Einstellungen!$C$4,IF($X70=$Y70,1,0)))</f>
        <v>3</v>
      </c>
      <c r="AF70" s="143">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HSV</v>
      </c>
      <c r="W71" s="13" t="str">
        <f ca="1">Planung!$N13</f>
        <v>RB Leipzig</v>
      </c>
      <c r="X71" s="13">
        <f ca="1">IF(AND(Vorrunde!$I19&lt;&gt;"",Vorrunde!$K19&lt;&gt;"",Vorrunde!$F19&lt;&gt;Vorrunde!$H19,$V71&lt;&gt;"",$W71&lt;&gt;""),Vorrunde!$I19,"")</f>
        <v>2</v>
      </c>
      <c r="Y71" s="36">
        <f ca="1">IF(AND(Vorrunde!$I19&lt;&gt;"",Vorrunde!$K19&lt;&gt;"",Vorrunde!$F19&lt;&gt;Vorrunde!$H19,$V71&lt;&gt;"",$W71&lt;&gt;""),Vorrunde!$K19,"")</f>
        <v>2</v>
      </c>
      <c r="Z71" s="35" t="str">
        <f t="shared" ca="1" si="66"/>
        <v>HSVRB Leipzig</v>
      </c>
      <c r="AA71" s="13">
        <f t="shared" ca="1" si="67"/>
        <v>1</v>
      </c>
      <c r="AB71" s="13" t="str">
        <f ca="1">IF(AA71&gt;0,X71&amp;Sprache!$E$111&amp;Y71,"")</f>
        <v>2:2</v>
      </c>
      <c r="AD71" s="143"/>
      <c r="AE71" s="148">
        <f ca="1">IF($AA71=0,"",IF($X71&gt;$Y71,Einstellungen!$C$4,IF($X71=$Y71,1,0)))</f>
        <v>1</v>
      </c>
      <c r="AF71" s="143">
        <f ca="1">IF($AA71=0,"",IF($X71&lt;$Y71,Einstellungen!$C$4,IF($X71=$Y71,1,0)))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VFB Essenheim</v>
      </c>
      <c r="W72" s="13" t="str">
        <f ca="1">Planung!$N14</f>
        <v>1. FC Riedwald</v>
      </c>
      <c r="X72" s="13">
        <f ca="1">IF(AND(Vorrunde!$I20&lt;&gt;"",Vorrunde!$K20&lt;&gt;"",Vorrunde!$F20&lt;&gt;Vorrunde!$H20,$V72&lt;&gt;"",$W72&lt;&gt;""),Vorrunde!$I20,"")</f>
        <v>1</v>
      </c>
      <c r="Y72" s="36">
        <f ca="1">IF(AND(Vorrunde!$I20&lt;&gt;"",Vorrunde!$K20&lt;&gt;"",Vorrunde!$F20&lt;&gt;Vorrunde!$H20,$V72&lt;&gt;"",$W72&lt;&gt;""),Vorrunde!$K20,"")</f>
        <v>5</v>
      </c>
      <c r="Z72" s="35" t="str">
        <f t="shared" ca="1" si="66"/>
        <v>VFB Essenheim1. FC Riedwald</v>
      </c>
      <c r="AA72" s="13">
        <f t="shared" ca="1" si="67"/>
        <v>1</v>
      </c>
      <c r="AB72" s="13" t="str">
        <f ca="1">IF(AA72&gt;0,X72&amp;Sprache!$E$111&amp;Y72,"")</f>
        <v>1:5</v>
      </c>
      <c r="AD72" s="143"/>
      <c r="AE72" s="148">
        <f ca="1">IF($AA72=0,"",IF($X72&gt;$Y72,Einstellungen!$C$4,IF($X72=$Y72,1,0)))</f>
        <v>0</v>
      </c>
      <c r="AF72" s="143">
        <f ca="1">IF($AA72=0,"",IF($X72&lt;$Y72,Einstellungen!$C$4,IF($X72=$Y72,1,0)))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Grönlingen</v>
      </c>
      <c r="W73" s="13" t="str">
        <f ca="1">Planung!$N15</f>
        <v>Mainz 05</v>
      </c>
      <c r="X73" s="13">
        <f ca="1">IF(AND(Vorrunde!$I21&lt;&gt;"",Vorrunde!$K21&lt;&gt;"",Vorrunde!$F21&lt;&gt;Vorrunde!$H21,$V73&lt;&gt;"",$W73&lt;&gt;""),Vorrunde!$I21,"")</f>
        <v>0</v>
      </c>
      <c r="Y73" s="36">
        <f ca="1">IF(AND(Vorrunde!$I21&lt;&gt;"",Vorrunde!$K21&lt;&gt;"",Vorrunde!$F21&lt;&gt;Vorrunde!$H21,$V73&lt;&gt;"",$W73&lt;&gt;""),Vorrunde!$K21,"")</f>
        <v>1</v>
      </c>
      <c r="Z73" s="35" t="str">
        <f t="shared" ca="1" si="66"/>
        <v>FC GrönlingenMainz 05</v>
      </c>
      <c r="AA73" s="13">
        <f t="shared" ca="1" si="67"/>
        <v>1</v>
      </c>
      <c r="AB73" s="13" t="str">
        <f ca="1">IF(AA73&gt;0,X73&amp;Sprache!$E$111&amp;Y73,"")</f>
        <v>0:1</v>
      </c>
      <c r="AD73" s="143"/>
      <c r="AE73" s="148">
        <f ca="1">IF($AA73=0,"",IF($X73&gt;$Y73,Einstellungen!$C$4,IF($X73=$Y73,1,0)))</f>
        <v>0</v>
      </c>
      <c r="AF73" s="143">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1. FC Nürnberg</v>
      </c>
      <c r="W74" s="13" t="str">
        <f ca="1">Planung!$N16</f>
        <v>Kickers Rodendorf</v>
      </c>
      <c r="X74" s="13">
        <f ca="1">IF(AND(Vorrunde!$I22&lt;&gt;"",Vorrunde!$K22&lt;&gt;"",Vorrunde!$F22&lt;&gt;Vorrunde!$H22,$V74&lt;&gt;"",$W74&lt;&gt;""),Vorrunde!$I22,"")</f>
        <v>5</v>
      </c>
      <c r="Y74" s="36">
        <f ca="1">IF(AND(Vorrunde!$I22&lt;&gt;"",Vorrunde!$K22&lt;&gt;"",Vorrunde!$F22&lt;&gt;Vorrunde!$H22,$V74&lt;&gt;"",$W74&lt;&gt;""),Vorrunde!$K22,"")</f>
        <v>3</v>
      </c>
      <c r="Z74" s="35" t="str">
        <f ca="1">V74&amp;W74</f>
        <v>1. FC NürnbergKickers Rodendorf</v>
      </c>
      <c r="AA74" s="13">
        <f t="shared" ca="1" si="67"/>
        <v>1</v>
      </c>
      <c r="AB74" s="13" t="str">
        <f ca="1">IF(AA74&gt;0,X74&amp;Sprache!$E$111&amp;Y74,"")</f>
        <v>5:3</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SV Oberredenburg</v>
      </c>
      <c r="W75" s="13" t="str">
        <f ca="1">Planung!$N17</f>
        <v>TSG Saalberg eV</v>
      </c>
      <c r="X75" s="13">
        <f ca="1">IF(AND(Vorrunde!$I23&lt;&gt;"",Vorrunde!$K23&lt;&gt;"",Vorrunde!$F23&lt;&gt;Vorrunde!$H23,$V75&lt;&gt;"",$W75&lt;&gt;""),Vorrunde!$I23,"")</f>
        <v>3</v>
      </c>
      <c r="Y75" s="36">
        <f ca="1">IF(AND(Vorrunde!$I23&lt;&gt;"",Vorrunde!$K23&lt;&gt;"",Vorrunde!$F23&lt;&gt;Vorrunde!$H23,$V75&lt;&gt;"",$W75&lt;&gt;""),Vorrunde!$K23,"")</f>
        <v>2</v>
      </c>
      <c r="Z75" s="35" t="str">
        <f t="shared" ref="Z75:Z93" ca="1" si="68">V75&amp;W75</f>
        <v>SV OberredenburgTSG Saalberg eV</v>
      </c>
      <c r="AA75" s="13">
        <f t="shared" ca="1" si="67"/>
        <v>1</v>
      </c>
      <c r="AB75" s="13" t="str">
        <f ca="1">IF(AA75&gt;0,X75&amp;Sprache!$E$111&amp;Y75,"")</f>
        <v>3:2</v>
      </c>
      <c r="AD75" s="143"/>
      <c r="AE75" s="148">
        <f ca="1">IF($AA75=0,"",IF($X75&gt;$Y75,Einstellungen!$C$4,IF($X75=$Y75,1,0)))</f>
        <v>3</v>
      </c>
      <c r="AF75" s="143">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Eintracht Frankfurt</v>
      </c>
      <c r="X76" s="13">
        <f ca="1">IF(AND(Vorrunde!$I24&lt;&gt;"",Vorrunde!$K24&lt;&gt;"",Vorrunde!$F24&lt;&gt;Vorrunde!$H24,$V76&lt;&gt;"",$W76&lt;&gt;""),Vorrunde!$I24,"")</f>
        <v>2</v>
      </c>
      <c r="Y76" s="36">
        <f ca="1">IF(AND(Vorrunde!$I24&lt;&gt;"",Vorrunde!$K24&lt;&gt;"",Vorrunde!$F24&lt;&gt;Vorrunde!$H24,$V76&lt;&gt;"",$W76&lt;&gt;""),Vorrunde!$K24,"")</f>
        <v>0</v>
      </c>
      <c r="Z76" s="35" t="str">
        <f t="shared" ca="1" si="68"/>
        <v>FC BarcelonaEintracht Frankfurt</v>
      </c>
      <c r="AA76" s="13">
        <f t="shared" ca="1" si="67"/>
        <v>1</v>
      </c>
      <c r="AB76" s="13" t="str">
        <f ca="1">IF(AA76&gt;0,X76&amp;Sprache!$E$111&amp;Y76,"")</f>
        <v>2:0</v>
      </c>
      <c r="AD76" s="143"/>
      <c r="AE76" s="148">
        <f ca="1">IF($AA76=0,"",IF($X76&gt;$Y76,Einstellungen!$C$4,IF($X76=$Y76,1,0)))</f>
        <v>3</v>
      </c>
      <c r="AF76" s="143">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SSV Wildbach</v>
      </c>
      <c r="X77" s="13">
        <f ca="1">IF(AND(Vorrunde!$I25&lt;&gt;"",Vorrunde!$K25&lt;&gt;"",Vorrunde!$F25&lt;&gt;Vorrunde!$H25,$V77&lt;&gt;"",$W77&lt;&gt;""),Vorrunde!$I25,"")</f>
        <v>4</v>
      </c>
      <c r="Y77" s="36">
        <f ca="1">IF(AND(Vorrunde!$I25&lt;&gt;"",Vorrunde!$K25&lt;&gt;"",Vorrunde!$F25&lt;&gt;Vorrunde!$H25,$V77&lt;&gt;"",$W77&lt;&gt;""),Vorrunde!$K25,"")</f>
        <v>0</v>
      </c>
      <c r="Z77" s="35" t="str">
        <f t="shared" ca="1" si="68"/>
        <v>Inter MailandSSV Wildbach</v>
      </c>
      <c r="AA77" s="13">
        <f t="shared" ca="1" si="67"/>
        <v>1</v>
      </c>
      <c r="AB77" s="13" t="str">
        <f ca="1">IF(AA77&gt;0,X77&amp;Sprache!$E$111&amp;Y77,"")</f>
        <v>4:0</v>
      </c>
      <c r="AD77" s="143"/>
      <c r="AE77" s="148">
        <f ca="1">IF($AA77=0,"",IF($X77&gt;$Y77,Einstellungen!$C$4,IF($X77=$Y77,1,0)))</f>
        <v>3</v>
      </c>
      <c r="AF77" s="143">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Planung!$L20</f>
        <v>Real Madrid</v>
      </c>
      <c r="W78" s="13" t="str">
        <f ca="1">Planung!$N20</f>
        <v>Borussia Dortmund</v>
      </c>
      <c r="X78" s="13">
        <f ca="1">IF(AND(Vorrunde!$I26&lt;&gt;"",Vorrunde!$K26&lt;&gt;"",Vorrunde!$F26&lt;&gt;Vorrunde!$H26,$V78&lt;&gt;"",$W78&lt;&gt;""),Vorrunde!$I26,"")</f>
        <v>0</v>
      </c>
      <c r="Y78" s="36">
        <f ca="1">IF(AND(Vorrunde!$I26&lt;&gt;"",Vorrunde!$K26&lt;&gt;"",Vorrunde!$F26&lt;&gt;Vorrunde!$H26,$V78&lt;&gt;"",$W78&lt;&gt;""),Vorrunde!$K26,"")</f>
        <v>1</v>
      </c>
      <c r="Z78" s="35" t="str">
        <f t="shared" ca="1" si="68"/>
        <v>Real MadridBorussia Dortmund</v>
      </c>
      <c r="AA78" s="13">
        <f t="shared" ca="1" si="67"/>
        <v>1</v>
      </c>
      <c r="AB78" s="13" t="str">
        <f ca="1">IF(AA78&gt;0,X78&amp;Sprache!$E$111&amp;Y78,"")</f>
        <v>0:1</v>
      </c>
      <c r="AD78" s="143"/>
      <c r="AE78" s="148">
        <f ca="1">IF($AA78=0,"",IF($X78&gt;$Y78,Einstellungen!$C$4,IF($X78=$Y78,1,0)))</f>
        <v>0</v>
      </c>
      <c r="AF78" s="143">
        <f ca="1">IF($AA78=0,"",IF($X78&lt;$Y78,Einstellungen!$C$4,IF($X78=$Y78,1,0)))</f>
        <v>3</v>
      </c>
    </row>
    <row r="79" spans="2:43" s="2" customFormat="1" x14ac:dyDescent="0.2">
      <c r="B79" s="4"/>
      <c r="C79" s="4"/>
      <c r="D79" s="4"/>
      <c r="E79" s="4"/>
      <c r="F79" s="13"/>
      <c r="G79" s="13"/>
      <c r="H79" s="13"/>
      <c r="I79" s="13"/>
      <c r="J79" s="13"/>
      <c r="K79" s="13"/>
      <c r="L79" s="13"/>
      <c r="M79" s="13"/>
      <c r="U79" s="67" t="s">
        <v>31</v>
      </c>
      <c r="V79" s="41" t="str">
        <f ca="1">Planung!$L21</f>
        <v>Paris St. Germain</v>
      </c>
      <c r="W79" s="13" t="str">
        <f ca="1">Planung!$N21</f>
        <v>HSV</v>
      </c>
      <c r="X79" s="13">
        <f ca="1">IF(AND(Vorrunde!$I27&lt;&gt;"",Vorrunde!$K27&lt;&gt;"",Vorrunde!$F27&lt;&gt;Vorrunde!$H27,$V79&lt;&gt;"",$W79&lt;&gt;""),Vorrunde!$I27,"")</f>
        <v>3</v>
      </c>
      <c r="Y79" s="36">
        <f ca="1">IF(AND(Vorrunde!$I27&lt;&gt;"",Vorrunde!$K27&lt;&gt;"",Vorrunde!$F27&lt;&gt;Vorrunde!$H27,$V79&lt;&gt;"",$W79&lt;&gt;""),Vorrunde!$K27,"")</f>
        <v>2</v>
      </c>
      <c r="Z79" s="35" t="str">
        <f t="shared" ca="1" si="68"/>
        <v>Paris St. GermainHSV</v>
      </c>
      <c r="AA79" s="13">
        <f t="shared" ca="1" si="67"/>
        <v>1</v>
      </c>
      <c r="AB79" s="13" t="str">
        <f ca="1">IF(AA79&gt;0,X79&amp;Sprache!$E$111&amp;Y79,"")</f>
        <v>3:2</v>
      </c>
      <c r="AD79" s="143"/>
      <c r="AE79" s="148">
        <f ca="1">IF($AA79=0,"",IF($X79&gt;$Y79,Einstellungen!$C$4,IF($X79=$Y79,1,0)))</f>
        <v>3</v>
      </c>
      <c r="AF79" s="143">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1. FC Riedwald</v>
      </c>
      <c r="W80" s="13" t="str">
        <f ca="1">Planung!$N22</f>
        <v>Maibach 1822 eV</v>
      </c>
      <c r="X80" s="13">
        <f ca="1">IF(AND(Vorrunde!$I28&lt;&gt;"",Vorrunde!$K28&lt;&gt;"",Vorrunde!$F28&lt;&gt;Vorrunde!$H28,$V80&lt;&gt;"",$W80&lt;&gt;""),Vorrunde!$I28,"")</f>
        <v>2</v>
      </c>
      <c r="Y80" s="36">
        <f ca="1">IF(AND(Vorrunde!$I28&lt;&gt;"",Vorrunde!$K28&lt;&gt;"",Vorrunde!$F28&lt;&gt;Vorrunde!$H28,$V80&lt;&gt;"",$W80&lt;&gt;""),Vorrunde!$K28,"")</f>
        <v>2</v>
      </c>
      <c r="Z80" s="35" t="str">
        <f t="shared" ca="1" si="68"/>
        <v>1. FC RiedwaldMaibach 1822 eV</v>
      </c>
      <c r="AA80" s="13">
        <f t="shared" ca="1" si="67"/>
        <v>1</v>
      </c>
      <c r="AB80" s="13" t="str">
        <f ca="1">IF(AA80&gt;0,X80&amp;Sprache!$E$111&amp;Y80,"")</f>
        <v>2:2</v>
      </c>
      <c r="AD80" s="143"/>
      <c r="AE80" s="148">
        <f ca="1">IF($AA80=0,"",IF($X80&gt;$Y80,Einstellungen!$C$4,IF($X80=$Y80,1,0)))</f>
        <v>1</v>
      </c>
      <c r="AF80" s="143">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Mainz 05</v>
      </c>
      <c r="W81" s="13" t="str">
        <f ca="1">Planung!$N23</f>
        <v>Manchester City</v>
      </c>
      <c r="X81" s="13">
        <f ca="1">IF(AND(Vorrunde!$I29&lt;&gt;"",Vorrunde!$K29&lt;&gt;"",Vorrunde!$F29&lt;&gt;Vorrunde!$H29,$V81&lt;&gt;"",$W81&lt;&gt;""),Vorrunde!$I29,"")</f>
        <v>0</v>
      </c>
      <c r="Y81" s="36">
        <f ca="1">IF(AND(Vorrunde!$I29&lt;&gt;"",Vorrunde!$K29&lt;&gt;"",Vorrunde!$F29&lt;&gt;Vorrunde!$H29,$V81&lt;&gt;"",$W81&lt;&gt;""),Vorrunde!$K29,"")</f>
        <v>1</v>
      </c>
      <c r="Z81" s="35" t="str">
        <f t="shared" ca="1" si="68"/>
        <v>Mainz 05Manchester City</v>
      </c>
      <c r="AA81" s="13">
        <f t="shared" ca="1" si="67"/>
        <v>1</v>
      </c>
      <c r="AB81" s="13" t="str">
        <f ca="1">IF(AA81&gt;0,X81&amp;Sprache!$E$111&amp;Y81,"")</f>
        <v>0:1</v>
      </c>
      <c r="AD81" s="143"/>
      <c r="AE81" s="148">
        <f ca="1">IF($AA81=0,"",IF($X81&gt;$Y81,Einstellungen!$C$4,IF($X81=$Y81,1,0)))</f>
        <v>0</v>
      </c>
      <c r="AF81" s="143">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Planung!$L24</f>
        <v>Kickers Rodendorf</v>
      </c>
      <c r="W82" s="13" t="str">
        <f ca="1">Planung!$N24</f>
        <v>FSV Rauen</v>
      </c>
      <c r="X82" s="13">
        <f ca="1">IF(AND(Vorrunde!$I30&lt;&gt;"",Vorrunde!$K30&lt;&gt;"",Vorrunde!$F30&lt;&gt;Vorrunde!$H30,$V82&lt;&gt;"",$W82&lt;&gt;""),Vorrunde!$I30,"")</f>
        <v>2</v>
      </c>
      <c r="Y82" s="36">
        <f ca="1">IF(AND(Vorrunde!$I30&lt;&gt;"",Vorrunde!$K30&lt;&gt;"",Vorrunde!$F30&lt;&gt;Vorrunde!$H30,$V82&lt;&gt;"",$W82&lt;&gt;""),Vorrunde!$K30,"")</f>
        <v>1</v>
      </c>
      <c r="Z82" s="35" t="str">
        <f t="shared" ca="1" si="68"/>
        <v>Kickers RodendorfFSV Rauen</v>
      </c>
      <c r="AA82" s="13">
        <f t="shared" ca="1" si="67"/>
        <v>1</v>
      </c>
      <c r="AB82" s="13" t="str">
        <f ca="1">IF(AA82&gt;0,X82&amp;Sprache!$E$111&amp;Y82,"")</f>
        <v>2:1</v>
      </c>
      <c r="AD82" s="143"/>
      <c r="AE82" s="148">
        <f ca="1">IF($AA82=0,"",IF($X82&gt;$Y82,Einstellungen!$C$4,IF($X82=$Y82,1,0)))</f>
        <v>3</v>
      </c>
      <c r="AF82" s="143">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TSG Saalberg eV</v>
      </c>
      <c r="W83" s="13" t="str">
        <f ca="1">Planung!$N25</f>
        <v>RB Leipzig</v>
      </c>
      <c r="X83" s="13">
        <f ca="1">IF(AND(Vorrunde!$I31&lt;&gt;"",Vorrunde!$K31&lt;&gt;"",Vorrunde!$F31&lt;&gt;Vorrunde!$H31,$V83&lt;&gt;"",$W83&lt;&gt;""),Vorrunde!$I31,"")</f>
        <v>1</v>
      </c>
      <c r="Y83" s="36">
        <f ca="1">IF(AND(Vorrunde!$I31&lt;&gt;"",Vorrunde!$K31&lt;&gt;"",Vorrunde!$F31&lt;&gt;Vorrunde!$H31,$V83&lt;&gt;"",$W83&lt;&gt;""),Vorrunde!$K31,"")</f>
        <v>4</v>
      </c>
      <c r="Z83" s="35" t="str">
        <f t="shared" ca="1" si="68"/>
        <v>TSG Saalberg eVRB Leipzig</v>
      </c>
      <c r="AA83" s="13">
        <f t="shared" ca="1" si="67"/>
        <v>1</v>
      </c>
      <c r="AB83" s="13" t="str">
        <f ca="1">IF(AA83&gt;0,X83&amp;Sprache!$E$111&amp;Y83,"")</f>
        <v>1:4</v>
      </c>
      <c r="AD83" s="143"/>
      <c r="AE83" s="148">
        <f ca="1">IF($AA83=0,"",IF($X83&gt;$Y83,Einstellungen!$C$4,IF($X83=$Y83,1,0)))</f>
        <v>0</v>
      </c>
      <c r="AF83" s="143">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Eintracht Frankfurt</v>
      </c>
      <c r="W84" s="13" t="str">
        <f ca="1">Planung!$N26</f>
        <v>VFB Essenheim</v>
      </c>
      <c r="X84" s="13">
        <f ca="1">IF(AND(Vorrunde!$I32&lt;&gt;"",Vorrunde!$K32&lt;&gt;"",Vorrunde!$F32&lt;&gt;Vorrunde!$H32,$V84&lt;&gt;"",$W84&lt;&gt;""),Vorrunde!$I32,"")</f>
        <v>3</v>
      </c>
      <c r="Y84" s="36">
        <f ca="1">IF(AND(Vorrunde!$I32&lt;&gt;"",Vorrunde!$K32&lt;&gt;"",Vorrunde!$F32&lt;&gt;Vorrunde!$H32,$V84&lt;&gt;"",$W84&lt;&gt;""),Vorrunde!$K32,"")</f>
        <v>2</v>
      </c>
      <c r="Z84" s="35" t="str">
        <f t="shared" ca="1" si="68"/>
        <v>Eintracht FrankfurtVFB Essenheim</v>
      </c>
      <c r="AA84" s="13">
        <f t="shared" ca="1" si="67"/>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SSV Wildbach</v>
      </c>
      <c r="W85" s="13" t="str">
        <f ca="1">Planung!$N27</f>
        <v>FC Grönlingen</v>
      </c>
      <c r="X85" s="13">
        <f ca="1">IF(AND(Vorrunde!$I33&lt;&gt;"",Vorrunde!$K33&lt;&gt;"",Vorrunde!$F33&lt;&gt;Vorrunde!$H33,$V85&lt;&gt;"",$W85&lt;&gt;""),Vorrunde!$I33,"")</f>
        <v>1</v>
      </c>
      <c r="Y85" s="36">
        <f ca="1">IF(AND(Vorrunde!$I33&lt;&gt;"",Vorrunde!$K33&lt;&gt;"",Vorrunde!$F33&lt;&gt;Vorrunde!$H33,$V85&lt;&gt;"",$W85&lt;&gt;""),Vorrunde!$K33,"")</f>
        <v>4</v>
      </c>
      <c r="Z85" s="35" t="str">
        <f t="shared" ca="1" si="68"/>
        <v>SSV WildbachFC Grönlingen</v>
      </c>
      <c r="AA85" s="13">
        <f t="shared" ca="1" si="67"/>
        <v>1</v>
      </c>
      <c r="AB85" s="13" t="str">
        <f ca="1">IF(AA85&gt;0,X85&amp;Sprache!$E$111&amp;Y85,"")</f>
        <v>1:4</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Planung!$L28</f>
        <v>Borussia Dortmund</v>
      </c>
      <c r="W86" s="13" t="str">
        <f ca="1">Planung!$N28</f>
        <v>1. FC Nürnberg</v>
      </c>
      <c r="X86" s="13">
        <f ca="1">IF(AND(Vorrunde!$I34&lt;&gt;"",Vorrunde!$K34&lt;&gt;"",Vorrunde!$F34&lt;&gt;Vorrunde!$H34,$V86&lt;&gt;"",$W86&lt;&gt;""),Vorrunde!$I34,"")</f>
        <v>2</v>
      </c>
      <c r="Y86" s="36">
        <f ca="1">IF(AND(Vorrunde!$I34&lt;&gt;"",Vorrunde!$K34&lt;&gt;"",Vorrunde!$F34&lt;&gt;Vorrunde!$H34,$V86&lt;&gt;"",$W86&lt;&gt;""),Vorrunde!$K34,"")</f>
        <v>2</v>
      </c>
      <c r="Z86" s="35" t="str">
        <f t="shared" ca="1" si="68"/>
        <v>Borussia Dortmund1. FC Nürnberg</v>
      </c>
      <c r="AA86" s="13">
        <f t="shared" ca="1" si="67"/>
        <v>1</v>
      </c>
      <c r="AB86" s="13" t="str">
        <f ca="1">IF(AA86&gt;0,X86&amp;Sprache!$E$111&amp;Y86,"")</f>
        <v>2:2</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Planung!$L29</f>
        <v>HSV</v>
      </c>
      <c r="W87" s="13" t="str">
        <f ca="1">Planung!$N29</f>
        <v>SV Oberredenburg</v>
      </c>
      <c r="X87" s="13">
        <f ca="1">IF(AND(Vorrunde!$I35&lt;&gt;"",Vorrunde!$K35&lt;&gt;"",Vorrunde!$F35&lt;&gt;Vorrunde!$H35,$V87&lt;&gt;"",$W87&lt;&gt;""),Vorrunde!$I35,"")</f>
        <v>1</v>
      </c>
      <c r="Y87" s="36">
        <f ca="1">IF(AND(Vorrunde!$I35&lt;&gt;"",Vorrunde!$K35&lt;&gt;"",Vorrunde!$F35&lt;&gt;Vorrunde!$H35,$V87&lt;&gt;"",$W87&lt;&gt;""),Vorrunde!$K35,"")</f>
        <v>0</v>
      </c>
      <c r="Z87" s="35" t="str">
        <f t="shared" ca="1" si="68"/>
        <v>HSVSV Oberredenburg</v>
      </c>
      <c r="AA87" s="13">
        <f t="shared" ca="1" si="67"/>
        <v>1</v>
      </c>
      <c r="AB87" s="13" t="str">
        <f ca="1">IF(AA87&gt;0,X87&amp;Sprache!$E$111&amp;Y87,"")</f>
        <v>1:0</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FC Barcelona</v>
      </c>
      <c r="W88" s="13" t="str">
        <f ca="1">Planung!$N30</f>
        <v>Maibach 1822 eV</v>
      </c>
      <c r="X88" s="13">
        <f ca="1">IF(AND(Vorrunde!$I36&lt;&gt;"",Vorrunde!$K36&lt;&gt;"",Vorrunde!$F36&lt;&gt;Vorrunde!$H36,$V88&lt;&gt;"",$W88&lt;&gt;""),Vorrunde!$I36,"")</f>
        <v>3</v>
      </c>
      <c r="Y88" s="36">
        <f ca="1">IF(AND(Vorrunde!$I36&lt;&gt;"",Vorrunde!$K36&lt;&gt;"",Vorrunde!$F36&lt;&gt;Vorrunde!$H36,$V88&lt;&gt;"",$W88&lt;&gt;""),Vorrunde!$K36,"")</f>
        <v>1</v>
      </c>
      <c r="Z88" s="35" t="str">
        <f t="shared" ca="1" si="68"/>
        <v>FC BarcelonaMaibach 1822 eV</v>
      </c>
      <c r="AA88" s="13">
        <f t="shared" ca="1" si="67"/>
        <v>1</v>
      </c>
      <c r="AB88" s="13" t="str">
        <f ca="1">IF(AA88&gt;0,X88&amp;Sprache!$E$111&amp;Y88,"")</f>
        <v>3:1</v>
      </c>
      <c r="AD88" s="143"/>
      <c r="AE88" s="148">
        <f ca="1">IF($AA88=0,"",IF($X88&gt;$Y88,Einstellungen!$C$4,IF($X88=$Y88,1,0)))</f>
        <v>3</v>
      </c>
      <c r="AF88" s="143">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Inter Mailand</v>
      </c>
      <c r="W89" s="13" t="str">
        <f ca="1">Planung!$N31</f>
        <v>Manchester City</v>
      </c>
      <c r="X89" s="13">
        <f ca="1">IF(AND(Vorrunde!$I37&lt;&gt;"",Vorrunde!$K37&lt;&gt;"",Vorrunde!$F37&lt;&gt;Vorrunde!$H37,$V89&lt;&gt;"",$W89&lt;&gt;""),Vorrunde!$I37,"")</f>
        <v>2</v>
      </c>
      <c r="Y89" s="36">
        <f ca="1">IF(AND(Vorrunde!$I37&lt;&gt;"",Vorrunde!$K37&lt;&gt;"",Vorrunde!$F37&lt;&gt;Vorrunde!$H37,$V89&lt;&gt;"",$W89&lt;&gt;""),Vorrunde!$K37,"")</f>
        <v>2</v>
      </c>
      <c r="Z89" s="35" t="str">
        <f t="shared" ca="1" si="68"/>
        <v>Inter MailandManchester City</v>
      </c>
      <c r="AA89" s="13">
        <f t="shared" ca="1" si="67"/>
        <v>1</v>
      </c>
      <c r="AB89" s="13" t="str">
        <f ca="1">IF(AA89&gt;0,X89&amp;Sprache!$E$111&amp;Y89,"")</f>
        <v>2:2</v>
      </c>
      <c r="AD89" s="143"/>
      <c r="AE89" s="148">
        <f ca="1">IF($AA89=0,"",IF($X89&gt;$Y89,Einstellungen!$C$4,IF($X89=$Y89,1,0)))</f>
        <v>1</v>
      </c>
      <c r="AF89" s="143">
        <f ca="1">IF($AA89=0,"",IF($X89&lt;$Y89,Einstellungen!$C$4,IF($X89=$Y89,1,0)))</f>
        <v>1</v>
      </c>
    </row>
    <row r="90" spans="2:32" s="2" customFormat="1" x14ac:dyDescent="0.2">
      <c r="B90" s="4"/>
      <c r="C90" s="4"/>
      <c r="D90" s="4"/>
      <c r="E90" s="4"/>
      <c r="F90" s="13"/>
      <c r="G90" s="13"/>
      <c r="H90" s="13"/>
      <c r="I90" s="13"/>
      <c r="J90" s="13"/>
      <c r="K90" s="13"/>
      <c r="L90" s="13"/>
      <c r="M90" s="13"/>
      <c r="U90" s="67" t="s">
        <v>42</v>
      </c>
      <c r="V90" s="41" t="str">
        <f ca="1">Planung!$L32</f>
        <v>Real Madrid</v>
      </c>
      <c r="W90" s="13" t="str">
        <f ca="1">Planung!$N32</f>
        <v>FSV Rauen</v>
      </c>
      <c r="X90" s="13">
        <f ca="1">IF(AND(Vorrunde!$I38&lt;&gt;"",Vorrunde!$K38&lt;&gt;"",Vorrunde!$F38&lt;&gt;Vorrunde!$H38,$V90&lt;&gt;"",$W90&lt;&gt;""),Vorrunde!$I38,"")</f>
        <v>4</v>
      </c>
      <c r="Y90" s="36">
        <f ca="1">IF(AND(Vorrunde!$I38&lt;&gt;"",Vorrunde!$K38&lt;&gt;"",Vorrunde!$F38&lt;&gt;Vorrunde!$H38,$V90&lt;&gt;"",$W90&lt;&gt;""),Vorrunde!$K38,"")</f>
        <v>0</v>
      </c>
      <c r="Z90" s="35" t="str">
        <f t="shared" ca="1" si="68"/>
        <v>Real MadridFSV Rauen</v>
      </c>
      <c r="AA90" s="13">
        <f t="shared" ca="1" si="67"/>
        <v>1</v>
      </c>
      <c r="AB90" s="13" t="str">
        <f ca="1">IF(AA90&gt;0,X90&amp;Sprache!$E$111&amp;Y90,"")</f>
        <v>4:0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Planung!$L33</f>
        <v>Paris St. Germain</v>
      </c>
      <c r="W91" s="13" t="str">
        <f ca="1">Planung!$N33</f>
        <v>RB Leipzig</v>
      </c>
      <c r="X91" s="13">
        <f ca="1">IF(AND(Vorrunde!$I39&lt;&gt;"",Vorrunde!$K39&lt;&gt;"",Vorrunde!$F39&lt;&gt;Vorrunde!$H39,$V91&lt;&gt;"",$W91&lt;&gt;""),Vorrunde!$I39,"")</f>
        <v>3</v>
      </c>
      <c r="Y91" s="36">
        <f ca="1">IF(AND(Vorrunde!$I39&lt;&gt;"",Vorrunde!$K39&lt;&gt;"",Vorrunde!$F39&lt;&gt;Vorrunde!$H39,$V91&lt;&gt;"",$W91&lt;&gt;""),Vorrunde!$K39,"")</f>
        <v>1</v>
      </c>
      <c r="Z91" s="35" t="str">
        <f t="shared" ca="1" si="68"/>
        <v>Paris St. GermainRB Leipzig</v>
      </c>
      <c r="AA91" s="13">
        <f t="shared" ca="1" si="67"/>
        <v>1</v>
      </c>
      <c r="AB91" s="13" t="str">
        <f ca="1">IF(AA91&gt;0,X91&amp;Sprache!$E$111&amp;Y91,"")</f>
        <v>3:1</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Planung!$L34</f>
        <v>Eintracht Frankfurt</v>
      </c>
      <c r="W92" s="13" t="str">
        <f ca="1">Planung!$N34</f>
        <v>1. FC Riedwald</v>
      </c>
      <c r="X92" s="13">
        <f ca="1">IF(AND(Vorrunde!$I40&lt;&gt;"",Vorrunde!$K40&lt;&gt;"",Vorrunde!$F40&lt;&gt;Vorrunde!$H40,$V92&lt;&gt;"",$W92&lt;&gt;""),Vorrunde!$I40,"")</f>
        <v>6</v>
      </c>
      <c r="Y92" s="36">
        <f ca="1">IF(AND(Vorrunde!$I40&lt;&gt;"",Vorrunde!$K40&lt;&gt;"",Vorrunde!$F40&lt;&gt;Vorrunde!$H40,$V92&lt;&gt;"",$W92&lt;&gt;""),Vorrunde!$K40,"")</f>
        <v>2</v>
      </c>
      <c r="Z92" s="35" t="str">
        <f t="shared" ca="1" si="68"/>
        <v>Eintracht Frankfurt1. FC Riedwald</v>
      </c>
      <c r="AA92" s="13">
        <f t="shared" ca="1" si="67"/>
        <v>1</v>
      </c>
      <c r="AB92" s="13" t="str">
        <f ca="1">IF(AA92&gt;0,X92&amp;Sprache!$E$111&amp;Y92,"")</f>
        <v>6:2</v>
      </c>
      <c r="AD92" s="143"/>
      <c r="AE92" s="148">
        <f ca="1">IF($AA92=0,"",IF($X92&gt;$Y92,Einstellungen!$C$4,IF($X92=$Y92,1,0)))</f>
        <v>3</v>
      </c>
      <c r="AF92" s="143">
        <f ca="1">IF($AA92=0,"",IF($X92&lt;$Y92,Einstellungen!$C$4,IF($X92=$Y92,1,0)))</f>
        <v>0</v>
      </c>
    </row>
    <row r="93" spans="2:32" s="2" customFormat="1" x14ac:dyDescent="0.2">
      <c r="B93" s="4"/>
      <c r="C93" s="4"/>
      <c r="D93" s="4"/>
      <c r="E93" s="4"/>
      <c r="F93" s="13"/>
      <c r="G93" s="13"/>
      <c r="H93" s="13"/>
      <c r="I93" s="13"/>
      <c r="J93" s="13"/>
      <c r="K93" s="13"/>
      <c r="L93" s="13"/>
      <c r="M93" s="13"/>
      <c r="U93" s="67" t="s">
        <v>45</v>
      </c>
      <c r="V93" s="41" t="str">
        <f ca="1">Planung!$L35</f>
        <v>SSV Wildbach</v>
      </c>
      <c r="W93" s="13" t="str">
        <f ca="1">Planung!$N35</f>
        <v>Mainz 05</v>
      </c>
      <c r="X93" s="13">
        <f ca="1">IF(AND(Vorrunde!$I41&lt;&gt;"",Vorrunde!$K41&lt;&gt;"",Vorrunde!$F41&lt;&gt;Vorrunde!$H41,$V93&lt;&gt;"",$W93&lt;&gt;""),Vorrunde!$I41,"")</f>
        <v>2</v>
      </c>
      <c r="Y93" s="36">
        <f ca="1">IF(AND(Vorrunde!$I41&lt;&gt;"",Vorrunde!$K41&lt;&gt;"",Vorrunde!$F41&lt;&gt;Vorrunde!$H41,$V93&lt;&gt;"",$W93&lt;&gt;""),Vorrunde!$K41,"")</f>
        <v>2</v>
      </c>
      <c r="Z93" s="35" t="str">
        <f t="shared" ca="1" si="68"/>
        <v>SSV WildbachMainz 05</v>
      </c>
      <c r="AA93" s="13">
        <f t="shared" ca="1" si="67"/>
        <v>1</v>
      </c>
      <c r="AB93" s="13" t="str">
        <f ca="1">IF(AA93&gt;0,X93&amp;Sprache!$E$111&amp;Y93,"")</f>
        <v>2:2</v>
      </c>
      <c r="AD93" s="143"/>
      <c r="AE93" s="148">
        <f ca="1">IF($AA93=0,"",IF($X93&gt;$Y93,Einstellungen!$C$4,IF($X93=$Y93,1,0)))</f>
        <v>1</v>
      </c>
      <c r="AF93" s="143">
        <f ca="1">IF($AA93=0,"",IF($X93&lt;$Y93,Einstellungen!$C$4,IF($X93=$Y93,1,0)))</f>
        <v>1</v>
      </c>
    </row>
    <row r="94" spans="2:32" s="2" customFormat="1" x14ac:dyDescent="0.2">
      <c r="B94" s="4"/>
      <c r="C94" s="4"/>
      <c r="D94" s="4"/>
      <c r="E94" s="4"/>
      <c r="F94" s="13"/>
      <c r="G94" s="13"/>
      <c r="H94" s="13"/>
      <c r="I94" s="13"/>
      <c r="J94" s="13"/>
      <c r="K94" s="13"/>
      <c r="L94" s="13"/>
      <c r="M94" s="13"/>
      <c r="U94" s="67" t="s">
        <v>46</v>
      </c>
      <c r="V94" s="41" t="str">
        <f ca="1">Planung!$L36</f>
        <v>Borussia Dortmund</v>
      </c>
      <c r="W94" s="13" t="str">
        <f ca="1">Planung!$N36</f>
        <v>Kickers Rodendorf</v>
      </c>
      <c r="X94" s="13">
        <f ca="1">IF(AND(Vorrunde!$I42&lt;&gt;"",Vorrunde!$K42&lt;&gt;"",Vorrunde!$F42&lt;&gt;Vorrunde!$H42,$V94&lt;&gt;"",$W94&lt;&gt;""),Vorrunde!$I42,"")</f>
        <v>4</v>
      </c>
      <c r="Y94" s="36">
        <f ca="1">IF(AND(Vorrunde!$I42&lt;&gt;"",Vorrunde!$K42&lt;&gt;"",Vorrunde!$F42&lt;&gt;Vorrunde!$H42,$V94&lt;&gt;"",$W94&lt;&gt;""),Vorrunde!$K42,"")</f>
        <v>1</v>
      </c>
      <c r="Z94" s="35" t="str">
        <f t="shared" ref="Z94:Z123" ca="1" si="69">V94&amp;W94</f>
        <v>Borussia DortmundKickers Rodendorf</v>
      </c>
      <c r="AA94" s="13">
        <f t="shared" ref="AA94:AA124" ca="1" si="70">IF(AND(V94&lt;&gt;"",W94&lt;&gt;"",V94&lt;&gt;W94,X94&lt;&gt;"",Y94&lt;&gt;""),1,0)</f>
        <v>1</v>
      </c>
      <c r="AB94" s="13" t="str">
        <f ca="1">IF(AA94&gt;0,X94&amp;Sprache!$E$111&amp;Y94,"")</f>
        <v>4:1</v>
      </c>
      <c r="AD94" s="143"/>
      <c r="AE94" s="148">
        <f ca="1">IF($AA94=0,"",IF($X94&gt;$Y94,Einstellungen!$C$4,IF($X94=$Y94,1,0)))</f>
        <v>3</v>
      </c>
      <c r="AF94" s="143">
        <f ca="1">IF($AA94=0,"",IF($X94&lt;$Y94,Einstellungen!$C$4,IF($X94=$Y94,1,0)))</f>
        <v>0</v>
      </c>
    </row>
    <row r="95" spans="2:32" s="2" customFormat="1" x14ac:dyDescent="0.2">
      <c r="B95" s="4"/>
      <c r="C95" s="4"/>
      <c r="D95" s="4"/>
      <c r="E95" s="4"/>
      <c r="F95" s="13"/>
      <c r="G95" s="13"/>
      <c r="H95" s="13"/>
      <c r="I95" s="13"/>
      <c r="J95" s="13"/>
      <c r="K95" s="13"/>
      <c r="L95" s="13"/>
      <c r="M95" s="13"/>
      <c r="U95" s="67" t="s">
        <v>47</v>
      </c>
      <c r="V95" s="41" t="str">
        <f ca="1">Planung!$L37</f>
        <v>HSV</v>
      </c>
      <c r="W95" s="13" t="str">
        <f ca="1">Planung!$N37</f>
        <v>TSG Saalberg eV</v>
      </c>
      <c r="X95" s="13">
        <f ca="1">IF(AND(Vorrunde!$I43&lt;&gt;"",Vorrunde!$K43&lt;&gt;"",Vorrunde!$F43&lt;&gt;Vorrunde!$H43,$V95&lt;&gt;"",$W95&lt;&gt;""),Vorrunde!$I43,"")</f>
        <v>3</v>
      </c>
      <c r="Y95" s="36">
        <f ca="1">IF(AND(Vorrunde!$I43&lt;&gt;"",Vorrunde!$K43&lt;&gt;"",Vorrunde!$F43&lt;&gt;Vorrunde!$H43,$V95&lt;&gt;"",$W95&lt;&gt;""),Vorrunde!$K43,"")</f>
        <v>2</v>
      </c>
      <c r="Z95" s="35" t="str">
        <f t="shared" ca="1" si="69"/>
        <v>HSVTSG Saalberg eV</v>
      </c>
      <c r="AA95" s="13">
        <f t="shared" ca="1" si="70"/>
        <v>1</v>
      </c>
      <c r="AB95" s="13" t="str">
        <f ca="1">IF(AA95&gt;0,X95&amp;Sprache!$E$111&amp;Y95,"")</f>
        <v>3:2</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Planung!$L38</f>
        <v>Maibach 1822 eV</v>
      </c>
      <c r="W96" s="13" t="str">
        <f ca="1">Planung!$N38</f>
        <v>VFB Essenheim</v>
      </c>
      <c r="X96" s="13">
        <f ca="1">IF(AND(Vorrunde!$I44&lt;&gt;"",Vorrunde!$K44&lt;&gt;"",Vorrunde!$F44&lt;&gt;Vorrunde!$H44,$V96&lt;&gt;"",$W96&lt;&gt;""),Vorrunde!$I44,"")</f>
        <v>3</v>
      </c>
      <c r="Y96" s="36">
        <f ca="1">IF(AND(Vorrunde!$I44&lt;&gt;"",Vorrunde!$K44&lt;&gt;"",Vorrunde!$F44&lt;&gt;Vorrunde!$H44,$V96&lt;&gt;"",$W96&lt;&gt;""),Vorrunde!$K44,"")</f>
        <v>5</v>
      </c>
      <c r="Z96" s="35" t="str">
        <f t="shared" ca="1" si="69"/>
        <v>Maibach 1822 eVVFB Essenheim</v>
      </c>
      <c r="AA96" s="13">
        <f t="shared" ca="1" si="70"/>
        <v>1</v>
      </c>
      <c r="AB96" s="13" t="str">
        <f ca="1">IF(AA96&gt;0,X96&amp;Sprache!$E$111&amp;Y96,"")</f>
        <v>3:5</v>
      </c>
      <c r="AD96" s="143"/>
      <c r="AE96" s="148">
        <f ca="1">IF($AA96=0,"",IF($X96&gt;$Y96,Einstellungen!$C$4,IF($X96=$Y96,1,0)))</f>
        <v>0</v>
      </c>
      <c r="AF96" s="143">
        <f ca="1">IF($AA96=0,"",IF($X96&lt;$Y96,Einstellungen!$C$4,IF($X96=$Y96,1,0)))</f>
        <v>3</v>
      </c>
    </row>
    <row r="97" spans="2:32" s="2" customFormat="1" x14ac:dyDescent="0.2">
      <c r="B97" s="4"/>
      <c r="C97" s="4"/>
      <c r="D97" s="4"/>
      <c r="E97" s="4"/>
      <c r="F97" s="13"/>
      <c r="G97" s="13"/>
      <c r="H97" s="13"/>
      <c r="I97" s="13"/>
      <c r="J97" s="13"/>
      <c r="K97" s="13"/>
      <c r="L97" s="13"/>
      <c r="M97" s="13"/>
      <c r="U97" s="67" t="s">
        <v>49</v>
      </c>
      <c r="V97" s="41" t="str">
        <f ca="1">Planung!$L39</f>
        <v>Manchester City</v>
      </c>
      <c r="W97" s="13" t="str">
        <f ca="1">Planung!$N39</f>
        <v>FC Grönlingen</v>
      </c>
      <c r="X97" s="13">
        <f ca="1">IF(AND(Vorrunde!$I45&lt;&gt;"",Vorrunde!$K45&lt;&gt;"",Vorrunde!$F45&lt;&gt;Vorrunde!$H45,$V97&lt;&gt;"",$W97&lt;&gt;""),Vorrunde!$I45,"")</f>
        <v>4</v>
      </c>
      <c r="Y97" s="36">
        <f ca="1">IF(AND(Vorrunde!$I45&lt;&gt;"",Vorrunde!$K45&lt;&gt;"",Vorrunde!$F45&lt;&gt;Vorrunde!$H45,$V97&lt;&gt;"",$W97&lt;&gt;""),Vorrunde!$K45,"")</f>
        <v>2</v>
      </c>
      <c r="Z97" s="35" t="str">
        <f t="shared" ca="1" si="69"/>
        <v>Manchester CityFC Grönlingen</v>
      </c>
      <c r="AA97" s="13">
        <f t="shared" ca="1" si="70"/>
        <v>1</v>
      </c>
      <c r="AB97" s="13" t="str">
        <f ca="1">IF(AA97&gt;0,X97&amp;Sprache!$E$111&amp;Y97,"")</f>
        <v>4:2</v>
      </c>
      <c r="AD97" s="143"/>
      <c r="AE97" s="148">
        <f ca="1">IF($AA97=0,"",IF($X97&gt;$Y97,Einstellungen!$C$4,IF($X97=$Y97,1,0)))</f>
        <v>3</v>
      </c>
      <c r="AF97" s="143">
        <f ca="1">IF($AA97=0,"",IF($X97&lt;$Y97,Einstellungen!$C$4,IF($X97=$Y97,1,0)))</f>
        <v>0</v>
      </c>
    </row>
    <row r="98" spans="2:32" s="2" customFormat="1" x14ac:dyDescent="0.2">
      <c r="B98" s="4"/>
      <c r="C98" s="4"/>
      <c r="D98" s="4"/>
      <c r="E98" s="4"/>
      <c r="F98" s="13"/>
      <c r="G98" s="13"/>
      <c r="H98" s="13"/>
      <c r="I98" s="13"/>
      <c r="J98" s="13"/>
      <c r="K98" s="13"/>
      <c r="L98" s="13"/>
      <c r="M98" s="13"/>
      <c r="U98" s="67" t="s">
        <v>50</v>
      </c>
      <c r="V98" s="41" t="str">
        <f ca="1">Planung!$L40</f>
        <v>FSV Rauen</v>
      </c>
      <c r="W98" s="13" t="str">
        <f ca="1">Planung!$N40</f>
        <v>1. FC Nürnberg</v>
      </c>
      <c r="X98" s="13">
        <f ca="1">IF(AND(Vorrunde!$I46&lt;&gt;"",Vorrunde!$K46&lt;&gt;"",Vorrunde!$F46&lt;&gt;Vorrunde!$H46,$V98&lt;&gt;"",$W98&lt;&gt;""),Vorrunde!$I46,"")</f>
        <v>3</v>
      </c>
      <c r="Y98" s="36">
        <f ca="1">IF(AND(Vorrunde!$I46&lt;&gt;"",Vorrunde!$K46&lt;&gt;"",Vorrunde!$F46&lt;&gt;Vorrunde!$H46,$V98&lt;&gt;"",$W98&lt;&gt;""),Vorrunde!$K46,"")</f>
        <v>4</v>
      </c>
      <c r="Z98" s="35" t="str">
        <f t="shared" ca="1" si="69"/>
        <v>FSV Rauen1. FC Nürnberg</v>
      </c>
      <c r="AA98" s="13">
        <f t="shared" ca="1" si="70"/>
        <v>1</v>
      </c>
      <c r="AB98" s="13" t="str">
        <f ca="1">IF(AA98&gt;0,X98&amp;Sprache!$E$111&amp;Y98,"")</f>
        <v>3:4</v>
      </c>
      <c r="AD98" s="143"/>
      <c r="AE98" s="148">
        <f ca="1">IF($AA98=0,"",IF($X98&gt;$Y98,Einstellungen!$C$4,IF($X98=$Y98,1,0)))</f>
        <v>0</v>
      </c>
      <c r="AF98" s="143">
        <f ca="1">IF($AA98=0,"",IF($X98&lt;$Y98,Einstellungen!$C$4,IF($X98=$Y98,1,0)))</f>
        <v>3</v>
      </c>
    </row>
    <row r="99" spans="2:32" s="2" customFormat="1" x14ac:dyDescent="0.2">
      <c r="B99" s="4"/>
      <c r="C99" s="4"/>
      <c r="D99" s="4"/>
      <c r="E99" s="4"/>
      <c r="F99" s="13"/>
      <c r="G99" s="13"/>
      <c r="H99" s="13"/>
      <c r="I99" s="13"/>
      <c r="J99" s="13"/>
      <c r="K99" s="13"/>
      <c r="L99" s="13"/>
      <c r="M99" s="13"/>
      <c r="U99" s="67" t="s">
        <v>51</v>
      </c>
      <c r="V99" s="41" t="str">
        <f ca="1">Planung!$L41</f>
        <v>RB Leipzig</v>
      </c>
      <c r="W99" s="13" t="str">
        <f ca="1">Planung!$N41</f>
        <v>SV Oberredenburg</v>
      </c>
      <c r="X99" s="13">
        <f ca="1">IF(AND(Vorrunde!$I47&lt;&gt;"",Vorrunde!$K47&lt;&gt;"",Vorrunde!$F47&lt;&gt;Vorrunde!$H47,$V99&lt;&gt;"",$W99&lt;&gt;""),Vorrunde!$I47,"")</f>
        <v>3</v>
      </c>
      <c r="Y99" s="36">
        <f ca="1">IF(AND(Vorrunde!$I47&lt;&gt;"",Vorrunde!$K47&lt;&gt;"",Vorrunde!$F47&lt;&gt;Vorrunde!$H47,$V99&lt;&gt;"",$W99&lt;&gt;""),Vorrunde!$K47,"")</f>
        <v>0</v>
      </c>
      <c r="Z99" s="35" t="str">
        <f t="shared" ca="1" si="69"/>
        <v>RB LeipzigSV Oberredenburg</v>
      </c>
      <c r="AA99" s="13">
        <f t="shared" ca="1" si="70"/>
        <v>1</v>
      </c>
      <c r="AB99" s="13" t="str">
        <f ca="1">IF(AA99&gt;0,X99&amp;Sprache!$E$111&amp;Y99,"")</f>
        <v>3:0</v>
      </c>
      <c r="AD99" s="143"/>
      <c r="AE99" s="148">
        <f ca="1">IF($AA99=0,"",IF($X99&gt;$Y99,Einstellungen!$C$4,IF($X99=$Y99,1,0)))</f>
        <v>3</v>
      </c>
      <c r="AF99" s="143">
        <f ca="1">IF($AA99=0,"",IF($X99&lt;$Y99,Einstellungen!$C$4,IF($X99=$Y99,1,0)))</f>
        <v>0</v>
      </c>
    </row>
    <row r="100" spans="2:32" s="2" customFormat="1" x14ac:dyDescent="0.2">
      <c r="B100" s="4"/>
      <c r="C100" s="4"/>
      <c r="D100" s="4"/>
      <c r="E100" s="4"/>
      <c r="F100" s="13"/>
      <c r="G100" s="13"/>
      <c r="H100" s="13"/>
      <c r="I100" s="13"/>
      <c r="J100" s="13"/>
      <c r="K100" s="13"/>
      <c r="L100" s="13"/>
      <c r="M100" s="13"/>
      <c r="U100" s="67" t="s">
        <v>60</v>
      </c>
      <c r="V100" s="41" t="str">
        <f ca="1">Planung!$L42</f>
        <v>1. FC Riedwald</v>
      </c>
      <c r="W100" s="13" t="str">
        <f ca="1">Planung!$N42</f>
        <v>FC Barcelona</v>
      </c>
      <c r="X100" s="13">
        <f ca="1">IF(AND(Vorrunde!$I48&lt;&gt;"",Vorrunde!$K48&lt;&gt;"",Vorrunde!$F48&lt;&gt;Vorrunde!$H48,$V100&lt;&gt;"",$W100&lt;&gt;""),Vorrunde!$I48,"")</f>
        <v>1</v>
      </c>
      <c r="Y100" s="36">
        <f ca="1">IF(AND(Vorrunde!$I48&lt;&gt;"",Vorrunde!$K48&lt;&gt;"",Vorrunde!$F48&lt;&gt;Vorrunde!$H48,$V100&lt;&gt;"",$W100&lt;&gt;""),Vorrunde!$K48,"")</f>
        <v>6</v>
      </c>
      <c r="Z100" s="35" t="str">
        <f t="shared" ca="1" si="69"/>
        <v>1. FC RiedwaldFC Barcelona</v>
      </c>
      <c r="AA100" s="13">
        <f t="shared" ca="1" si="70"/>
        <v>1</v>
      </c>
      <c r="AB100" s="13" t="str">
        <f ca="1">IF(AA100&gt;0,X100&amp;Sprache!$E$111&amp;Y100,"")</f>
        <v>1:6</v>
      </c>
      <c r="AD100" s="143"/>
      <c r="AE100" s="148">
        <f ca="1">IF($AA100=0,"",IF($X100&gt;$Y100,Einstellungen!$C$4,IF($X100=$Y100,1,0)))</f>
        <v>0</v>
      </c>
      <c r="AF100" s="143">
        <f ca="1">IF($AA100=0,"",IF($X100&lt;$Y100,Einstellungen!$C$4,IF($X100=$Y100,1,0)))</f>
        <v>3</v>
      </c>
    </row>
    <row r="101" spans="2:32" s="2" customFormat="1" x14ac:dyDescent="0.2">
      <c r="B101" s="4"/>
      <c r="C101" s="4"/>
      <c r="D101" s="4"/>
      <c r="E101" s="4"/>
      <c r="F101" s="13"/>
      <c r="G101" s="13"/>
      <c r="H101" s="13"/>
      <c r="I101" s="13"/>
      <c r="J101" s="13"/>
      <c r="K101" s="13"/>
      <c r="L101" s="13"/>
      <c r="M101" s="13"/>
      <c r="U101" s="67" t="s">
        <v>61</v>
      </c>
      <c r="V101" s="41" t="str">
        <f ca="1">Planung!$L43</f>
        <v>Mainz 05</v>
      </c>
      <c r="W101" s="13" t="str">
        <f ca="1">Planung!$N43</f>
        <v>Inter Mailand</v>
      </c>
      <c r="X101" s="13">
        <f ca="1">IF(AND(Vorrunde!$I49&lt;&gt;"",Vorrunde!$K49&lt;&gt;"",Vorrunde!$F49&lt;&gt;Vorrunde!$H49,$V101&lt;&gt;"",$W101&lt;&gt;""),Vorrunde!$I49,"")</f>
        <v>2</v>
      </c>
      <c r="Y101" s="36">
        <f ca="1">IF(AND(Vorrunde!$I49&lt;&gt;"",Vorrunde!$K49&lt;&gt;"",Vorrunde!$F49&lt;&gt;Vorrunde!$H49,$V101&lt;&gt;"",$W101&lt;&gt;""),Vorrunde!$K49,"")</f>
        <v>3</v>
      </c>
      <c r="Z101" s="35" t="str">
        <f t="shared" ca="1" si="69"/>
        <v>Mainz 05Inter Mailand</v>
      </c>
      <c r="AA101" s="13">
        <f t="shared" ca="1" si="70"/>
        <v>1</v>
      </c>
      <c r="AB101" s="13" t="str">
        <f ca="1">IF(AA101&gt;0,X101&amp;Sprache!$E$111&amp;Y101,"")</f>
        <v>2:3</v>
      </c>
      <c r="AD101" s="143"/>
      <c r="AE101" s="148">
        <f ca="1">IF($AA101=0,"",IF($X101&gt;$Y101,Einstellungen!$C$4,IF($X101=$Y101,1,0)))</f>
        <v>0</v>
      </c>
      <c r="AF101" s="143">
        <f ca="1">IF($AA101=0,"",IF($X101&lt;$Y101,Einstellungen!$C$4,IF($X101=$Y101,1,0)))</f>
        <v>3</v>
      </c>
    </row>
    <row r="102" spans="2:32" s="2" customFormat="1" x14ac:dyDescent="0.2">
      <c r="B102" s="4"/>
      <c r="C102" s="4"/>
      <c r="D102" s="4"/>
      <c r="E102" s="4"/>
      <c r="F102" s="13"/>
      <c r="G102" s="13"/>
      <c r="H102" s="13"/>
      <c r="I102" s="13"/>
      <c r="J102" s="13"/>
      <c r="K102" s="13"/>
      <c r="L102" s="13"/>
      <c r="M102" s="13"/>
      <c r="U102" s="67" t="s">
        <v>62</v>
      </c>
      <c r="V102" s="41" t="str">
        <f ca="1">Planung!$L44</f>
        <v>Kickers Rodendorf</v>
      </c>
      <c r="W102" s="13" t="str">
        <f ca="1">Planung!$N44</f>
        <v>Real Madrid</v>
      </c>
      <c r="X102" s="13">
        <f ca="1">IF(AND(Vorrunde!$I50&lt;&gt;"",Vorrunde!$K50&lt;&gt;"",Vorrunde!$F50&lt;&gt;Vorrunde!$H50,$V102&lt;&gt;"",$W102&lt;&gt;""),Vorrunde!$I50,"")</f>
        <v>1</v>
      </c>
      <c r="Y102" s="36">
        <f ca="1">IF(AND(Vorrunde!$I50&lt;&gt;"",Vorrunde!$K50&lt;&gt;"",Vorrunde!$F50&lt;&gt;Vorrunde!$H50,$V102&lt;&gt;"",$W102&lt;&gt;""),Vorrunde!$K50,"")</f>
        <v>5</v>
      </c>
      <c r="Z102" s="35" t="str">
        <f t="shared" ca="1" si="69"/>
        <v>Kickers RodendorfReal Madrid</v>
      </c>
      <c r="AA102" s="13">
        <f t="shared" ca="1" si="70"/>
        <v>1</v>
      </c>
      <c r="AB102" s="13" t="str">
        <f ca="1">IF(AA102&gt;0,X102&amp;Sprache!$E$111&amp;Y102,"")</f>
        <v>1:5</v>
      </c>
      <c r="AD102" s="143"/>
      <c r="AE102" s="148">
        <f ca="1">IF($AA102=0,"",IF($X102&gt;$Y102,Einstellungen!$C$4,IF($X102=$Y102,1,0)))</f>
        <v>0</v>
      </c>
      <c r="AF102" s="143">
        <f ca="1">IF($AA102=0,"",IF($X102&lt;$Y102,Einstellungen!$C$4,IF($X102=$Y102,1,0)))</f>
        <v>3</v>
      </c>
    </row>
    <row r="103" spans="2:32" s="2" customFormat="1" x14ac:dyDescent="0.2">
      <c r="B103" s="4"/>
      <c r="C103" s="4"/>
      <c r="D103" s="4"/>
      <c r="E103" s="4"/>
      <c r="F103" s="13"/>
      <c r="G103" s="13"/>
      <c r="H103" s="13"/>
      <c r="I103" s="13"/>
      <c r="J103" s="13"/>
      <c r="K103" s="13"/>
      <c r="L103" s="13"/>
      <c r="M103" s="13"/>
      <c r="U103" s="67" t="s">
        <v>63</v>
      </c>
      <c r="V103" s="41" t="str">
        <f ca="1">Planung!$L45</f>
        <v>TSG Saalberg eV</v>
      </c>
      <c r="W103" s="13" t="str">
        <f ca="1">Planung!$N45</f>
        <v>Paris St. Germain</v>
      </c>
      <c r="X103" s="13">
        <f ca="1">IF(AND(Vorrunde!$I51&lt;&gt;"",Vorrunde!$K51&lt;&gt;"",Vorrunde!$F51&lt;&gt;Vorrunde!$H51,$V103&lt;&gt;"",$W103&lt;&gt;""),Vorrunde!$I51,"")</f>
        <v>0</v>
      </c>
      <c r="Y103" s="36">
        <f ca="1">IF(AND(Vorrunde!$I51&lt;&gt;"",Vorrunde!$K51&lt;&gt;"",Vorrunde!$F51&lt;&gt;Vorrunde!$H51,$V103&lt;&gt;"",$W103&lt;&gt;""),Vorrunde!$K51,"")</f>
        <v>7</v>
      </c>
      <c r="Z103" s="35" t="str">
        <f t="shared" ca="1" si="69"/>
        <v>TSG Saalberg eVParis St. Germain</v>
      </c>
      <c r="AA103" s="13">
        <f t="shared" ca="1" si="70"/>
        <v>1</v>
      </c>
      <c r="AB103" s="13" t="str">
        <f ca="1">IF(AA103&gt;0,X103&amp;Sprache!$E$111&amp;Y103,"")</f>
        <v>0:7</v>
      </c>
      <c r="AD103" s="143"/>
      <c r="AE103" s="148">
        <f ca="1">IF($AA103=0,"",IF($X103&gt;$Y103,Einstellungen!$C$4,IF($X103=$Y103,1,0)))</f>
        <v>0</v>
      </c>
      <c r="AF103" s="143">
        <f ca="1">IF($AA103=0,"",IF($X103&lt;$Y103,Einstellungen!$C$4,IF($X103=$Y103,1,0)))</f>
        <v>3</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69"/>
        <v/>
      </c>
      <c r="AA104" s="13">
        <f t="shared" ca="1" si="70"/>
        <v>0</v>
      </c>
      <c r="AB104" s="13" t="str">
        <f ca="1">IF(AA104&gt;0,X104&amp;Sprache!$E$111&amp;Y104,"")</f>
        <v/>
      </c>
      <c r="AD104" s="143"/>
      <c r="AE104" s="148" t="str">
        <f ca="1">IF($AA104=0,"",IF($X104&gt;$Y104,Einstellungen!$C$4,IF($X104=$Y104,1,0)))</f>
        <v/>
      </c>
      <c r="AF104" s="143"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69"/>
        <v/>
      </c>
      <c r="AA105" s="13">
        <f t="shared" ca="1" si="70"/>
        <v>0</v>
      </c>
      <c r="AB105" s="13" t="str">
        <f ca="1">IF(AA105&gt;0,X105&amp;Sprache!$E$111&amp;Y105,"")</f>
        <v/>
      </c>
      <c r="AD105" s="143"/>
      <c r="AE105" s="148" t="str">
        <f ca="1">IF($AA105=0,"",IF($X105&gt;$Y105,Einstellungen!$C$4,IF($X105=$Y105,1,0)))</f>
        <v/>
      </c>
      <c r="AF105" s="143"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69"/>
        <v/>
      </c>
      <c r="AA106" s="13">
        <f t="shared" ca="1" si="70"/>
        <v>0</v>
      </c>
      <c r="AB106" s="13" t="str">
        <f ca="1">IF(AA106&gt;0,X106&amp;Sprache!$E$111&amp;Y106,"")</f>
        <v/>
      </c>
      <c r="AD106" s="143"/>
      <c r="AE106" s="148" t="str">
        <f ca="1">IF($AA106=0,"",IF($X106&gt;$Y106,Einstellungen!$C$4,IF($X106=$Y106,1,0)))</f>
        <v/>
      </c>
      <c r="AF106" s="143"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69"/>
        <v/>
      </c>
      <c r="AA107" s="13">
        <f t="shared" ca="1" si="70"/>
        <v>0</v>
      </c>
      <c r="AB107" s="13" t="str">
        <f ca="1">IF(AA107&gt;0,X107&amp;Sprache!$E$111&amp;Y107,"")</f>
        <v/>
      </c>
      <c r="AD107" s="143"/>
      <c r="AE107" s="148" t="str">
        <f ca="1">IF($AA107=0,"",IF($X107&gt;$Y107,Einstellungen!$C$4,IF($X107=$Y107,1,0)))</f>
        <v/>
      </c>
      <c r="AF107" s="143" t="str">
        <f ca="1">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69"/>
        <v/>
      </c>
      <c r="AA108" s="13">
        <f t="shared" ca="1" si="70"/>
        <v>0</v>
      </c>
      <c r="AB108" s="13" t="str">
        <f ca="1">IF(AA108&gt;0,X108&amp;Sprache!$E$111&amp;Y108,"")</f>
        <v/>
      </c>
      <c r="AD108" s="143"/>
      <c r="AE108" s="148" t="str">
        <f ca="1">IF($AA108=0,"",IF($X108&gt;$Y108,Einstellungen!$C$4,IF($X108=$Y108,1,0)))</f>
        <v/>
      </c>
      <c r="AF108" s="143" t="str">
        <f ca="1">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 ca="1">Planung!$L51</f>
        <v/>
      </c>
      <c r="W109" s="13" t="str">
        <f ca="1">Planung!$N51</f>
        <v/>
      </c>
      <c r="X109" s="13" t="str">
        <f ca="1">IF(AND(Vorrunde!$I57&lt;&gt;"",Vorrunde!$K57&lt;&gt;"",Vorrunde!$F57&lt;&gt;Vorrunde!$H57,$V109&lt;&gt;"",$W109&lt;&gt;""),Vorrunde!$I57,"")</f>
        <v/>
      </c>
      <c r="Y109" s="36" t="str">
        <f ca="1">IF(AND(Vorrunde!$I57&lt;&gt;"",Vorrunde!$K57&lt;&gt;"",Vorrunde!$F57&lt;&gt;Vorrunde!$H57,$V109&lt;&gt;"",$W109&lt;&gt;""),Vorrunde!$K57,"")</f>
        <v/>
      </c>
      <c r="Z109" s="35" t="str">
        <f t="shared" ca="1" si="69"/>
        <v/>
      </c>
      <c r="AA109" s="13">
        <f t="shared" ca="1" si="70"/>
        <v>0</v>
      </c>
      <c r="AB109" s="13" t="str">
        <f ca="1">IF(AA109&gt;0,X109&amp;Sprache!$E$111&amp;Y109,"")</f>
        <v/>
      </c>
      <c r="AD109" s="143"/>
      <c r="AE109" s="148" t="str">
        <f ca="1">IF($AA109=0,"",IF($X109&gt;$Y109,Einstellungen!$C$4,IF($X109=$Y109,1,0)))</f>
        <v/>
      </c>
      <c r="AF109" s="143" t="str">
        <f ca="1">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 ca="1">Planung!$L52</f>
        <v/>
      </c>
      <c r="W110" s="13" t="str">
        <f ca="1">Planung!$N52</f>
        <v/>
      </c>
      <c r="X110" s="13" t="str">
        <f ca="1">IF(AND(Vorrunde!$I58&lt;&gt;"",Vorrunde!$K58&lt;&gt;"",Vorrunde!$F58&lt;&gt;Vorrunde!$H58,$V110&lt;&gt;"",$W110&lt;&gt;""),Vorrunde!$I58,"")</f>
        <v/>
      </c>
      <c r="Y110" s="36" t="str">
        <f ca="1">IF(AND(Vorrunde!$I58&lt;&gt;"",Vorrunde!$K58&lt;&gt;"",Vorrunde!$F58&lt;&gt;Vorrunde!$H58,$V110&lt;&gt;"",$W110&lt;&gt;""),Vorrunde!$K58,"")</f>
        <v/>
      </c>
      <c r="Z110" s="35" t="str">
        <f t="shared" ca="1" si="69"/>
        <v/>
      </c>
      <c r="AA110" s="13">
        <f t="shared" ca="1" si="70"/>
        <v>0</v>
      </c>
      <c r="AB110" s="13" t="str">
        <f ca="1">IF(AA110&gt;0,X110&amp;Sprache!$E$111&amp;Y110,"")</f>
        <v/>
      </c>
      <c r="AD110" s="143"/>
      <c r="AE110" s="148" t="str">
        <f ca="1">IF($AA110=0,"",IF($X110&gt;$Y110,Einstellungen!$C$4,IF($X110=$Y110,1,0)))</f>
        <v/>
      </c>
      <c r="AF110" s="143" t="str">
        <f ca="1">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 ca="1">Planung!$L53</f>
        <v/>
      </c>
      <c r="W111" s="13" t="str">
        <f ca="1">Planung!$N53</f>
        <v/>
      </c>
      <c r="X111" s="13" t="str">
        <f ca="1">IF(AND(Vorrunde!$I59&lt;&gt;"",Vorrunde!$K59&lt;&gt;"",Vorrunde!$F59&lt;&gt;Vorrunde!$H59,$V111&lt;&gt;"",$W111&lt;&gt;""),Vorrunde!$I59,"")</f>
        <v/>
      </c>
      <c r="Y111" s="36" t="str">
        <f ca="1">IF(AND(Vorrunde!$I59&lt;&gt;"",Vorrunde!$K59&lt;&gt;"",Vorrunde!$F59&lt;&gt;Vorrunde!$H59,$V111&lt;&gt;"",$W111&lt;&gt;""),Vorrunde!$K59,"")</f>
        <v/>
      </c>
      <c r="Z111" s="35" t="str">
        <f t="shared" ca="1" si="69"/>
        <v/>
      </c>
      <c r="AA111" s="13">
        <f t="shared" ca="1" si="70"/>
        <v>0</v>
      </c>
      <c r="AB111" s="13" t="str">
        <f ca="1">IF(AA111&gt;0,X111&amp;Sprache!$E$111&amp;Y111,"")</f>
        <v/>
      </c>
      <c r="AD111" s="143"/>
      <c r="AE111" s="148" t="str">
        <f ca="1">IF($AA111=0,"",IF($X111&gt;$Y111,Einstellungen!$C$4,IF($X111=$Y111,1,0)))</f>
        <v/>
      </c>
      <c r="AF111" s="143" t="str">
        <f ca="1">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 ca="1">Planung!$L54</f>
        <v/>
      </c>
      <c r="W112" s="13" t="str">
        <f ca="1">Planung!$N54</f>
        <v/>
      </c>
      <c r="X112" s="13" t="str">
        <f ca="1">IF(AND(Vorrunde!$I60&lt;&gt;"",Vorrunde!$K60&lt;&gt;"",Vorrunde!$F60&lt;&gt;Vorrunde!$H60,$V112&lt;&gt;"",$W112&lt;&gt;""),Vorrunde!$I60,"")</f>
        <v/>
      </c>
      <c r="Y112" s="36" t="str">
        <f ca="1">IF(AND(Vorrunde!$I60&lt;&gt;"",Vorrunde!$K60&lt;&gt;"",Vorrunde!$F60&lt;&gt;Vorrunde!$H60,$V112&lt;&gt;"",$W112&lt;&gt;""),Vorrunde!$K60,"")</f>
        <v/>
      </c>
      <c r="Z112" s="35" t="str">
        <f t="shared" ca="1" si="69"/>
        <v/>
      </c>
      <c r="AA112" s="13">
        <f t="shared" ca="1" si="70"/>
        <v>0</v>
      </c>
      <c r="AB112" s="13" t="str">
        <f ca="1">IF(AA112&gt;0,X112&amp;Sprache!$E$111&amp;Y112,"")</f>
        <v/>
      </c>
      <c r="AD112" s="143"/>
      <c r="AE112" s="148" t="str">
        <f ca="1">IF($AA112=0,"",IF($X112&gt;$Y112,Einstellungen!$C$4,IF($X112=$Y112,1,0)))</f>
        <v/>
      </c>
      <c r="AF112" s="143" t="str">
        <f ca="1">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 ca="1">Planung!$L55</f>
        <v/>
      </c>
      <c r="W113" s="13" t="str">
        <f ca="1">Planung!$N55</f>
        <v/>
      </c>
      <c r="X113" s="13" t="str">
        <f ca="1">IF(AND(Vorrunde!$I61&lt;&gt;"",Vorrunde!$K61&lt;&gt;"",Vorrunde!$F61&lt;&gt;Vorrunde!$H61,$V113&lt;&gt;"",$W113&lt;&gt;""),Vorrunde!$I61,"")</f>
        <v/>
      </c>
      <c r="Y113" s="36" t="str">
        <f ca="1">IF(AND(Vorrunde!$I61&lt;&gt;"",Vorrunde!$K61&lt;&gt;"",Vorrunde!$F61&lt;&gt;Vorrunde!$H61,$V113&lt;&gt;"",$W113&lt;&gt;""),Vorrunde!$K61,"")</f>
        <v/>
      </c>
      <c r="Z113" s="35" t="str">
        <f t="shared" ca="1" si="69"/>
        <v/>
      </c>
      <c r="AA113" s="13">
        <f t="shared" ca="1" si="70"/>
        <v>0</v>
      </c>
      <c r="AB113" s="13" t="str">
        <f ca="1">IF(AA113&gt;0,X113&amp;Sprache!$E$111&amp;Y113,"")</f>
        <v/>
      </c>
      <c r="AD113" s="143"/>
      <c r="AE113" s="148" t="str">
        <f ca="1">IF($AA113=0,"",IF($X113&gt;$Y113,Einstellungen!$C$4,IF($X113=$Y113,1,0)))</f>
        <v/>
      </c>
      <c r="AF113" s="143" t="str">
        <f ca="1">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 ca="1">Planung!$L56</f>
        <v/>
      </c>
      <c r="W114" s="13" t="str">
        <f ca="1">Planung!$N56</f>
        <v/>
      </c>
      <c r="X114" s="13" t="str">
        <f ca="1">IF(AND(Vorrunde!$I62&lt;&gt;"",Vorrunde!$K62&lt;&gt;"",Vorrunde!$F62&lt;&gt;Vorrunde!$H62,$V114&lt;&gt;"",$W114&lt;&gt;""),Vorrunde!$I62,"")</f>
        <v/>
      </c>
      <c r="Y114" s="36" t="str">
        <f ca="1">IF(AND(Vorrunde!$I62&lt;&gt;"",Vorrunde!$K62&lt;&gt;"",Vorrunde!$F62&lt;&gt;Vorrunde!$H62,$V114&lt;&gt;"",$W114&lt;&gt;""),Vorrunde!$K62,"")</f>
        <v/>
      </c>
      <c r="Z114" s="35" t="str">
        <f t="shared" ca="1" si="69"/>
        <v/>
      </c>
      <c r="AA114" s="13">
        <f t="shared" ca="1" si="70"/>
        <v>0</v>
      </c>
      <c r="AB114" s="13" t="str">
        <f ca="1">IF(AA114&gt;0,X114&amp;Sprache!$E$111&amp;Y114,"")</f>
        <v/>
      </c>
      <c r="AD114" s="143"/>
      <c r="AE114" s="148" t="str">
        <f ca="1">IF($AA114=0,"",IF($X114&gt;$Y114,Einstellungen!$C$4,IF($X114=$Y114,1,0)))</f>
        <v/>
      </c>
      <c r="AF114" s="143" t="str">
        <f ca="1">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 ca="1">Planung!$L57</f>
        <v/>
      </c>
      <c r="W115" s="13" t="str">
        <f ca="1">Planung!$N57</f>
        <v/>
      </c>
      <c r="X115" s="13" t="str">
        <f ca="1">IF(AND(Vorrunde!$I63&lt;&gt;"",Vorrunde!$K63&lt;&gt;"",Vorrunde!$F63&lt;&gt;Vorrunde!$H63,$V115&lt;&gt;"",$W115&lt;&gt;""),Vorrunde!$I63,"")</f>
        <v/>
      </c>
      <c r="Y115" s="36" t="str">
        <f ca="1">IF(AND(Vorrunde!$I63&lt;&gt;"",Vorrunde!$K63&lt;&gt;"",Vorrunde!$F63&lt;&gt;Vorrunde!$H63,$V115&lt;&gt;"",$W115&lt;&gt;""),Vorrunde!$K63,"")</f>
        <v/>
      </c>
      <c r="Z115" s="35" t="str">
        <f t="shared" ca="1" si="69"/>
        <v/>
      </c>
      <c r="AA115" s="13">
        <f t="shared" ca="1" si="70"/>
        <v>0</v>
      </c>
      <c r="AB115" s="13" t="str">
        <f ca="1">IF(AA115&gt;0,X115&amp;Sprache!$E$111&amp;Y115,"")</f>
        <v/>
      </c>
      <c r="AD115" s="143"/>
      <c r="AE115" s="148" t="str">
        <f ca="1">IF($AA115=0,"",IF($X115&gt;$Y115,Einstellungen!$C$4,IF($X115=$Y115,1,0)))</f>
        <v/>
      </c>
      <c r="AF115" s="143" t="str">
        <f ca="1">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 ca="1">Planung!$L58</f>
        <v/>
      </c>
      <c r="W116" s="13" t="str">
        <f ca="1">Planung!$N58</f>
        <v/>
      </c>
      <c r="X116" s="13" t="str">
        <f ca="1">IF(AND(Vorrunde!$I64&lt;&gt;"",Vorrunde!$K64&lt;&gt;"",Vorrunde!$F64&lt;&gt;Vorrunde!$H64,$V116&lt;&gt;"",$W116&lt;&gt;""),Vorrunde!$I64,"")</f>
        <v/>
      </c>
      <c r="Y116" s="36" t="str">
        <f ca="1">IF(AND(Vorrunde!$I64&lt;&gt;"",Vorrunde!$K64&lt;&gt;"",Vorrunde!$F64&lt;&gt;Vorrunde!$H64,$V116&lt;&gt;"",$W116&lt;&gt;""),Vorrunde!$K64,"")</f>
        <v/>
      </c>
      <c r="Z116" s="35" t="str">
        <f t="shared" ca="1" si="69"/>
        <v/>
      </c>
      <c r="AA116" s="13">
        <f t="shared" ca="1" si="70"/>
        <v>0</v>
      </c>
      <c r="AB116" s="13" t="str">
        <f ca="1">IF(AA116&gt;0,X116&amp;Sprache!$E$111&amp;Y116,"")</f>
        <v/>
      </c>
      <c r="AD116" s="143"/>
      <c r="AE116" s="148" t="str">
        <f ca="1">IF($AA116=0,"",IF($X116&gt;$Y116,Einstellungen!$C$4,IF($X116=$Y116,1,0)))</f>
        <v/>
      </c>
      <c r="AF116" s="143" t="str">
        <f ca="1">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 ca="1">Planung!$L59</f>
        <v/>
      </c>
      <c r="W117" s="13" t="str">
        <f ca="1">Planung!$N59</f>
        <v/>
      </c>
      <c r="X117" s="13" t="str">
        <f ca="1">IF(AND(Vorrunde!$I65&lt;&gt;"",Vorrunde!$K65&lt;&gt;"",Vorrunde!$F65&lt;&gt;Vorrunde!$H65,$V117&lt;&gt;"",$W117&lt;&gt;""),Vorrunde!$I65,"")</f>
        <v/>
      </c>
      <c r="Y117" s="36" t="str">
        <f ca="1">IF(AND(Vorrunde!$I65&lt;&gt;"",Vorrunde!$K65&lt;&gt;"",Vorrunde!$F65&lt;&gt;Vorrunde!$H65,$V117&lt;&gt;"",$W117&lt;&gt;""),Vorrunde!$K65,"")</f>
        <v/>
      </c>
      <c r="Z117" s="35" t="str">
        <f t="shared" ca="1" si="69"/>
        <v/>
      </c>
      <c r="AA117" s="13">
        <f t="shared" ca="1" si="70"/>
        <v>0</v>
      </c>
      <c r="AB117" s="13" t="str">
        <f ca="1">IF(AA117&gt;0,X117&amp;Sprache!$E$111&amp;Y117,"")</f>
        <v/>
      </c>
      <c r="AD117" s="143"/>
      <c r="AE117" s="148" t="str">
        <f ca="1">IF($AA117=0,"",IF($X117&gt;$Y117,Einstellungen!$C$4,IF($X117=$Y117,1,0)))</f>
        <v/>
      </c>
      <c r="AF117" s="143" t="str">
        <f ca="1">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 ca="1">Planung!$L60</f>
        <v/>
      </c>
      <c r="W118" s="13" t="str">
        <f ca="1">Planung!$N60</f>
        <v/>
      </c>
      <c r="X118" s="13" t="str">
        <f ca="1">IF(AND(Vorrunde!$I66&lt;&gt;"",Vorrunde!$K66&lt;&gt;"",Vorrunde!$F66&lt;&gt;Vorrunde!$H66,$V118&lt;&gt;"",$W118&lt;&gt;""),Vorrunde!$I66,"")</f>
        <v/>
      </c>
      <c r="Y118" s="36" t="str">
        <f ca="1">IF(AND(Vorrunde!$I66&lt;&gt;"",Vorrunde!$K66&lt;&gt;"",Vorrunde!$F66&lt;&gt;Vorrunde!$H66,$V118&lt;&gt;"",$W118&lt;&gt;""),Vorrunde!$K66,"")</f>
        <v/>
      </c>
      <c r="Z118" s="35" t="str">
        <f t="shared" ca="1" si="69"/>
        <v/>
      </c>
      <c r="AA118" s="13">
        <f t="shared" ca="1" si="70"/>
        <v>0</v>
      </c>
      <c r="AB118" s="13" t="str">
        <f ca="1">IF(AA118&gt;0,X118&amp;Sprache!$E$111&amp;Y118,"")</f>
        <v/>
      </c>
      <c r="AD118" s="143"/>
      <c r="AE118" s="148" t="str">
        <f ca="1">IF($AA118=0,"",IF($X118&gt;$Y118,Einstellungen!$C$4,IF($X118=$Y118,1,0)))</f>
        <v/>
      </c>
      <c r="AF118" s="143" t="str">
        <f ca="1">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 ca="1">Planung!$L61</f>
        <v/>
      </c>
      <c r="W119" s="13" t="str">
        <f ca="1">Planung!$N61</f>
        <v/>
      </c>
      <c r="X119" s="13" t="str">
        <f ca="1">IF(AND(Vorrunde!$I67&lt;&gt;"",Vorrunde!$K67&lt;&gt;"",Vorrunde!$F67&lt;&gt;Vorrunde!$H67,$V119&lt;&gt;"",$W119&lt;&gt;""),Vorrunde!$I67,"")</f>
        <v/>
      </c>
      <c r="Y119" s="36" t="str">
        <f ca="1">IF(AND(Vorrunde!$I67&lt;&gt;"",Vorrunde!$K67&lt;&gt;"",Vorrunde!$F67&lt;&gt;Vorrunde!$H67,$V119&lt;&gt;"",$W119&lt;&gt;""),Vorrunde!$K67,"")</f>
        <v/>
      </c>
      <c r="Z119" s="35" t="str">
        <f t="shared" ca="1" si="69"/>
        <v/>
      </c>
      <c r="AA119" s="13">
        <f t="shared" ca="1" si="70"/>
        <v>0</v>
      </c>
      <c r="AB119" s="13" t="str">
        <f ca="1">IF(AA119&gt;0,X119&amp;Sprache!$E$111&amp;Y119,"")</f>
        <v/>
      </c>
      <c r="AD119" s="143"/>
      <c r="AE119" s="148" t="str">
        <f ca="1">IF($AA119=0,"",IF($X119&gt;$Y119,Einstellungen!$C$4,IF($X119=$Y119,1,0)))</f>
        <v/>
      </c>
      <c r="AF119" s="143" t="str">
        <f ca="1">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 ca="1">Planung!$L62</f>
        <v/>
      </c>
      <c r="W120" s="13" t="str">
        <f ca="1">Planung!$N62</f>
        <v/>
      </c>
      <c r="X120" s="13" t="str">
        <f ca="1">IF(AND(Vorrunde!$I68&lt;&gt;"",Vorrunde!$K68&lt;&gt;"",Vorrunde!$F68&lt;&gt;Vorrunde!$H68,$V120&lt;&gt;"",$W120&lt;&gt;""),Vorrunde!$I68,"")</f>
        <v/>
      </c>
      <c r="Y120" s="36" t="str">
        <f ca="1">IF(AND(Vorrunde!$I68&lt;&gt;"",Vorrunde!$K68&lt;&gt;"",Vorrunde!$F68&lt;&gt;Vorrunde!$H68,$V120&lt;&gt;"",$W120&lt;&gt;""),Vorrunde!$K68,"")</f>
        <v/>
      </c>
      <c r="Z120" s="35" t="str">
        <f t="shared" ca="1" si="69"/>
        <v/>
      </c>
      <c r="AA120" s="13">
        <f t="shared" ca="1" si="70"/>
        <v>0</v>
      </c>
      <c r="AB120" s="13" t="str">
        <f ca="1">IF(AA120&gt;0,X120&amp;Sprache!$E$111&amp;Y120,"")</f>
        <v/>
      </c>
      <c r="AD120" s="143"/>
      <c r="AE120" s="148" t="str">
        <f ca="1">IF($AA120=0,"",IF($X120&gt;$Y120,Einstellungen!$C$4,IF($X120=$Y120,1,0)))</f>
        <v/>
      </c>
      <c r="AF120" s="143" t="str">
        <f ca="1">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 ca="1">Planung!$L63</f>
        <v/>
      </c>
      <c r="W121" s="13" t="str">
        <f ca="1">Planung!$N63</f>
        <v/>
      </c>
      <c r="X121" s="13" t="str">
        <f ca="1">IF(AND(Vorrunde!$I69&lt;&gt;"",Vorrunde!$K69&lt;&gt;"",Vorrunde!$F69&lt;&gt;Vorrunde!$H69,$V121&lt;&gt;"",$W121&lt;&gt;""),Vorrunde!$I69,"")</f>
        <v/>
      </c>
      <c r="Y121" s="36" t="str">
        <f ca="1">IF(AND(Vorrunde!$I69&lt;&gt;"",Vorrunde!$K69&lt;&gt;"",Vorrunde!$F69&lt;&gt;Vorrunde!$H69,$V121&lt;&gt;"",$W121&lt;&gt;""),Vorrunde!$K69,"")</f>
        <v/>
      </c>
      <c r="Z121" s="35" t="str">
        <f t="shared" ca="1" si="69"/>
        <v/>
      </c>
      <c r="AA121" s="13">
        <f t="shared" ca="1" si="70"/>
        <v>0</v>
      </c>
      <c r="AB121" s="13" t="str">
        <f ca="1">IF(AA121&gt;0,X121&amp;Sprache!$E$111&amp;Y121,"")</f>
        <v/>
      </c>
      <c r="AD121" s="143"/>
      <c r="AE121" s="148" t="str">
        <f ca="1">IF($AA121=0,"",IF($X121&gt;$Y121,Einstellungen!$C$4,IF($X121=$Y121,1,0)))</f>
        <v/>
      </c>
      <c r="AF121" s="143" t="str">
        <f ca="1">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 ca="1">Planung!$L64</f>
        <v/>
      </c>
      <c r="W122" s="13" t="str">
        <f ca="1">Planung!$N64</f>
        <v/>
      </c>
      <c r="X122" s="13" t="str">
        <f ca="1">IF(AND(Vorrunde!$I70&lt;&gt;"",Vorrunde!$K70&lt;&gt;"",Vorrunde!$F70&lt;&gt;Vorrunde!$H70,$V122&lt;&gt;"",$W122&lt;&gt;""),Vorrunde!$I70,"")</f>
        <v/>
      </c>
      <c r="Y122" s="36" t="str">
        <f ca="1">IF(AND(Vorrunde!$I70&lt;&gt;"",Vorrunde!$K70&lt;&gt;"",Vorrunde!$F70&lt;&gt;Vorrunde!$H70,$V122&lt;&gt;"",$W122&lt;&gt;""),Vorrunde!$K70,"")</f>
        <v/>
      </c>
      <c r="Z122" s="35" t="str">
        <f t="shared" ca="1" si="69"/>
        <v/>
      </c>
      <c r="AA122" s="13">
        <f t="shared" ca="1" si="70"/>
        <v>0</v>
      </c>
      <c r="AB122" s="13" t="str">
        <f ca="1">IF(AA122&gt;0,X122&amp;Sprache!$E$111&amp;Y122,"")</f>
        <v/>
      </c>
      <c r="AD122" s="143"/>
      <c r="AE122" s="148" t="str">
        <f ca="1">IF($AA122=0,"",IF($X122&gt;$Y122,Einstellungen!$C$4,IF($X122=$Y122,1,0)))</f>
        <v/>
      </c>
      <c r="AF122" s="143" t="str">
        <f ca="1">IF($AA122=0,"",IF($X122&lt;$Y122,Einstellungen!$C$4,IF($X122=$Y122,1,0)))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Planung!$L65</f>
        <v/>
      </c>
      <c r="W123" s="13" t="str">
        <f ca="1">Planung!$N65</f>
        <v/>
      </c>
      <c r="X123" s="13" t="str">
        <f ca="1">IF(AND(Vorrunde!$I71&lt;&gt;"",Vorrunde!$K71&lt;&gt;"",Vorrunde!$F71&lt;&gt;Vorrunde!$H71,$V123&lt;&gt;"",$W123&lt;&gt;""),Vorrunde!$I71,"")</f>
        <v/>
      </c>
      <c r="Y123" s="36" t="str">
        <f ca="1">IF(AND(Vorrunde!$I71&lt;&gt;"",Vorrunde!$K71&lt;&gt;"",Vorrunde!$F71&lt;&gt;Vorrunde!$H71,$V123&lt;&gt;"",$W123&lt;&gt;""),Vorrunde!$K71,"")</f>
        <v/>
      </c>
      <c r="Z123" s="35" t="str">
        <f t="shared" ca="1" si="69"/>
        <v/>
      </c>
      <c r="AA123" s="13">
        <f t="shared" ca="1" si="70"/>
        <v>0</v>
      </c>
      <c r="AB123" s="13" t="str">
        <f ca="1">IF(AA123&gt;0,X123&amp;Sprache!$E$111&amp;Y123,"")</f>
        <v/>
      </c>
      <c r="AD123" s="143"/>
      <c r="AE123" s="148" t="str">
        <f ca="1">IF($AA123=0,"",IF($X123&gt;$Y123,Einstellungen!$C$4,IF($X123=$Y123,1,0)))</f>
        <v/>
      </c>
      <c r="AF123" s="143" t="str">
        <f ca="1">IF($AA123=0,"",IF($X123&lt;$Y123,Einstellungen!$C$4,IF($X123=$Y123,1,0)))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70"/>
        <v>0</v>
      </c>
      <c r="AB124" s="293" t="str">
        <f>""</f>
        <v/>
      </c>
      <c r="AC124" s="296"/>
      <c r="AD124" s="297"/>
      <c r="AE124" s="298" t="str">
        <f>IF($AA124=0,"",IF($X124&gt;$Y124,Einstellungen!$C$4,IF($X124=$Y124,1,0)))</f>
        <v/>
      </c>
      <c r="AF124" s="297"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FC BarcelonaVFB Essenheim</v>
      </c>
      <c r="AA136" s="33">
        <f ca="1">AA64</f>
        <v>1</v>
      </c>
      <c r="AB136" s="13" t="str">
        <f ca="1">IF(AA136&gt;0,Y64&amp;Sprache!$E$111&amp;X64,"")</f>
        <v>6:2</v>
      </c>
      <c r="AD136" s="143"/>
    </row>
    <row r="137" spans="2:32" x14ac:dyDescent="0.2">
      <c r="Y137" s="67" t="s">
        <v>8</v>
      </c>
      <c r="Z137" s="35" t="str">
        <f ca="1">W65&amp;V65</f>
        <v>Inter MailandFC Grönlingen</v>
      </c>
      <c r="AA137" s="13">
        <f t="shared" ref="AA137:AA200" ca="1" si="72">AA65</f>
        <v>1</v>
      </c>
      <c r="AB137" s="13" t="str">
        <f ca="1">IF(AA137&gt;0,Y65&amp;Sprache!$E$111&amp;X65,"")</f>
        <v>4:2</v>
      </c>
      <c r="AC137" s="2"/>
      <c r="AD137" s="143"/>
    </row>
    <row r="138" spans="2:32" x14ac:dyDescent="0.2">
      <c r="Y138" s="67" t="s">
        <v>9</v>
      </c>
      <c r="Z138" s="35" t="str">
        <f t="shared" ref="Z138:Z201" ca="1" si="73">W66&amp;V66</f>
        <v>Real Madrid1. FC Nürnberg</v>
      </c>
      <c r="AA138" s="13">
        <f t="shared" ca="1" si="72"/>
        <v>1</v>
      </c>
      <c r="AB138" s="13" t="str">
        <f ca="1">IF(AA138&gt;0,Y66&amp;Sprache!$E$111&amp;X66,"")</f>
        <v>4:1</v>
      </c>
      <c r="AC138" s="2"/>
      <c r="AD138" s="143"/>
    </row>
    <row r="139" spans="2:32" x14ac:dyDescent="0.2">
      <c r="Y139" s="67" t="s">
        <v>10</v>
      </c>
      <c r="Z139" s="35" t="str">
        <f t="shared" ca="1" si="73"/>
        <v>Paris St. GermainSV Oberredenburg</v>
      </c>
      <c r="AA139" s="13">
        <f t="shared" ca="1" si="72"/>
        <v>1</v>
      </c>
      <c r="AB139" s="13" t="str">
        <f ca="1">IF(AA139&gt;0,Y67&amp;Sprache!$E$111&amp;X67,"")</f>
        <v>5:2</v>
      </c>
      <c r="AC139" s="2"/>
      <c r="AD139" s="143"/>
    </row>
    <row r="140" spans="2:32" x14ac:dyDescent="0.2">
      <c r="Y140" s="67" t="s">
        <v>11</v>
      </c>
      <c r="Z140" s="35" t="str">
        <f t="shared" ca="1" si="73"/>
        <v>Maibach 1822 eVEintracht Frankfurt</v>
      </c>
      <c r="AA140" s="13">
        <f t="shared" ca="1" si="72"/>
        <v>1</v>
      </c>
      <c r="AB140" s="13" t="str">
        <f ca="1">IF(AA140&gt;0,Y68&amp;Sprache!$E$111&amp;X68,"")</f>
        <v>2:3</v>
      </c>
      <c r="AC140" s="2"/>
      <c r="AD140" s="143"/>
    </row>
    <row r="141" spans="2:32" x14ac:dyDescent="0.2">
      <c r="Y141" s="67" t="s">
        <v>12</v>
      </c>
      <c r="Z141" s="35" t="str">
        <f t="shared" ca="1" si="73"/>
        <v>Manchester CitySSV Wildbach</v>
      </c>
      <c r="AA141" s="13">
        <f t="shared" ca="1" si="72"/>
        <v>1</v>
      </c>
      <c r="AB141" s="13" t="str">
        <f ca="1">IF(AA141&gt;0,Y69&amp;Sprache!$E$111&amp;X69,"")</f>
        <v>5:0</v>
      </c>
      <c r="AC141" s="2"/>
      <c r="AD141" s="143"/>
    </row>
    <row r="142" spans="2:32" x14ac:dyDescent="0.2">
      <c r="Y142" s="67" t="s">
        <v>17</v>
      </c>
      <c r="Z142" s="35" t="str">
        <f t="shared" ca="1" si="73"/>
        <v>FSV RauenBorussia Dortmund</v>
      </c>
      <c r="AA142" s="13">
        <f t="shared" ca="1" si="72"/>
        <v>1</v>
      </c>
      <c r="AB142" s="13" t="str">
        <f ca="1">IF(AA142&gt;0,Y70&amp;Sprache!$E$111&amp;X70,"")</f>
        <v>1:3</v>
      </c>
      <c r="AC142" s="2"/>
      <c r="AD142" s="143"/>
    </row>
    <row r="143" spans="2:32" x14ac:dyDescent="0.2">
      <c r="Y143" s="67" t="s">
        <v>18</v>
      </c>
      <c r="Z143" s="35" t="str">
        <f t="shared" ca="1" si="73"/>
        <v>RB LeipzigHSV</v>
      </c>
      <c r="AA143" s="13">
        <f t="shared" ca="1" si="72"/>
        <v>1</v>
      </c>
      <c r="AB143" s="13" t="str">
        <f ca="1">IF(AA143&gt;0,Y71&amp;Sprache!$E$111&amp;X71,"")</f>
        <v>2:2</v>
      </c>
      <c r="AC143" s="2"/>
      <c r="AD143" s="143"/>
    </row>
    <row r="144" spans="2:32" x14ac:dyDescent="0.2">
      <c r="Y144" s="67" t="s">
        <v>19</v>
      </c>
      <c r="Z144" s="35" t="str">
        <f t="shared" ca="1" si="73"/>
        <v>1. FC RiedwaldVFB Essenheim</v>
      </c>
      <c r="AA144" s="13">
        <f t="shared" ca="1" si="72"/>
        <v>1</v>
      </c>
      <c r="AB144" s="13" t="str">
        <f ca="1">IF(AA144&gt;0,Y72&amp;Sprache!$E$111&amp;X72,"")</f>
        <v>5:1</v>
      </c>
      <c r="AC144" s="2"/>
      <c r="AD144" s="143"/>
    </row>
    <row r="145" spans="25:30" x14ac:dyDescent="0.2">
      <c r="Y145" s="67" t="s">
        <v>25</v>
      </c>
      <c r="Z145" s="35" t="str">
        <f t="shared" ca="1" si="73"/>
        <v>Mainz 05FC Grönlingen</v>
      </c>
      <c r="AA145" s="13">
        <f t="shared" ca="1" si="72"/>
        <v>1</v>
      </c>
      <c r="AB145" s="13" t="str">
        <f ca="1">IF(AA145&gt;0,Y73&amp;Sprache!$E$111&amp;X73,"")</f>
        <v>1:0</v>
      </c>
      <c r="AC145" s="2"/>
      <c r="AD145" s="143"/>
    </row>
    <row r="146" spans="25:30" x14ac:dyDescent="0.2">
      <c r="Y146" s="67" t="s">
        <v>26</v>
      </c>
      <c r="Z146" s="35" t="str">
        <f t="shared" ca="1" si="73"/>
        <v>Kickers Rodendorf1. FC Nürnberg</v>
      </c>
      <c r="AA146" s="13">
        <f t="shared" ca="1" si="72"/>
        <v>1</v>
      </c>
      <c r="AB146" s="13" t="str">
        <f ca="1">IF(AA146&gt;0,Y74&amp;Sprache!$E$111&amp;X74,"")</f>
        <v>3:5</v>
      </c>
      <c r="AC146" s="2"/>
      <c r="AD146" s="143"/>
    </row>
    <row r="147" spans="25:30" x14ac:dyDescent="0.2">
      <c r="Y147" s="67" t="s">
        <v>27</v>
      </c>
      <c r="Z147" s="35" t="str">
        <f t="shared" ca="1" si="73"/>
        <v>TSG Saalberg eVSV Oberredenburg</v>
      </c>
      <c r="AA147" s="13">
        <f t="shared" ca="1" si="72"/>
        <v>1</v>
      </c>
      <c r="AB147" s="13" t="str">
        <f ca="1">IF(AA147&gt;0,Y75&amp;Sprache!$E$111&amp;X75,"")</f>
        <v>2:3</v>
      </c>
      <c r="AC147" s="2"/>
      <c r="AD147" s="143"/>
    </row>
    <row r="148" spans="25:30" x14ac:dyDescent="0.2">
      <c r="Y148" s="67" t="s">
        <v>28</v>
      </c>
      <c r="Z148" s="35" t="str">
        <f t="shared" ca="1" si="73"/>
        <v>Eintracht FrankfurtFC Barcelona</v>
      </c>
      <c r="AA148" s="13">
        <f t="shared" ca="1" si="72"/>
        <v>1</v>
      </c>
      <c r="AB148" s="13" t="str">
        <f ca="1">IF(AA148&gt;0,Y76&amp;Sprache!$E$111&amp;X76,"")</f>
        <v>0:2</v>
      </c>
      <c r="AC148" s="2"/>
      <c r="AD148" s="143"/>
    </row>
    <row r="149" spans="25:30" x14ac:dyDescent="0.2">
      <c r="Y149" s="67" t="s">
        <v>29</v>
      </c>
      <c r="Z149" s="35" t="str">
        <f t="shared" ca="1" si="73"/>
        <v>SSV WildbachInter Mailand</v>
      </c>
      <c r="AA149" s="13">
        <f t="shared" ca="1" si="72"/>
        <v>1</v>
      </c>
      <c r="AB149" s="13" t="str">
        <f ca="1">IF(AA149&gt;0,Y77&amp;Sprache!$E$111&amp;X77,"")</f>
        <v>0:4</v>
      </c>
      <c r="AC149" s="2"/>
      <c r="AD149" s="143"/>
    </row>
    <row r="150" spans="25:30" x14ac:dyDescent="0.2">
      <c r="Y150" s="67" t="s">
        <v>30</v>
      </c>
      <c r="Z150" s="35" t="str">
        <f t="shared" ca="1" si="73"/>
        <v>Borussia DortmundReal Madrid</v>
      </c>
      <c r="AA150" s="13">
        <f t="shared" ca="1" si="72"/>
        <v>1</v>
      </c>
      <c r="AB150" s="13" t="str">
        <f ca="1">IF(AA150&gt;0,Y78&amp;Sprache!$E$111&amp;X78,"")</f>
        <v>1:0</v>
      </c>
      <c r="AC150" s="2"/>
      <c r="AD150" s="143"/>
    </row>
    <row r="151" spans="25:30" x14ac:dyDescent="0.2">
      <c r="Y151" s="67" t="s">
        <v>31</v>
      </c>
      <c r="Z151" s="35" t="str">
        <f t="shared" ca="1" si="73"/>
        <v>HSVParis St. Germain</v>
      </c>
      <c r="AA151" s="13">
        <f t="shared" ca="1" si="72"/>
        <v>1</v>
      </c>
      <c r="AB151" s="13" t="str">
        <f ca="1">IF(AA151&gt;0,Y79&amp;Sprache!$E$111&amp;X79,"")</f>
        <v>2:3</v>
      </c>
      <c r="AC151" s="2"/>
      <c r="AD151" s="143"/>
    </row>
    <row r="152" spans="25:30" x14ac:dyDescent="0.2">
      <c r="Y152" s="67" t="s">
        <v>32</v>
      </c>
      <c r="Z152" s="35" t="str">
        <f t="shared" ca="1" si="73"/>
        <v>Maibach 1822 eV1. FC Riedwald</v>
      </c>
      <c r="AA152" s="13">
        <f t="shared" ca="1" si="72"/>
        <v>1</v>
      </c>
      <c r="AB152" s="13" t="str">
        <f ca="1">IF(AA152&gt;0,Y80&amp;Sprache!$E$111&amp;X80,"")</f>
        <v>2:2</v>
      </c>
      <c r="AC152" s="2"/>
      <c r="AD152" s="143"/>
    </row>
    <row r="153" spans="25:30" x14ac:dyDescent="0.2">
      <c r="Y153" s="67" t="s">
        <v>33</v>
      </c>
      <c r="Z153" s="35" t="str">
        <f t="shared" ca="1" si="73"/>
        <v>Manchester CityMainz 05</v>
      </c>
      <c r="AA153" s="13">
        <f t="shared" ca="1" si="72"/>
        <v>1</v>
      </c>
      <c r="AB153" s="13" t="str">
        <f ca="1">IF(AA153&gt;0,Y81&amp;Sprache!$E$111&amp;X81,"")</f>
        <v>1:0</v>
      </c>
      <c r="AC153" s="2"/>
      <c r="AD153" s="143"/>
    </row>
    <row r="154" spans="25:30" x14ac:dyDescent="0.2">
      <c r="Y154" s="67" t="s">
        <v>34</v>
      </c>
      <c r="Z154" s="35" t="str">
        <f t="shared" ca="1" si="73"/>
        <v>FSV RauenKickers Rodendorf</v>
      </c>
      <c r="AA154" s="13">
        <f t="shared" ca="1" si="72"/>
        <v>1</v>
      </c>
      <c r="AB154" s="13" t="str">
        <f ca="1">IF(AA154&gt;0,Y82&amp;Sprache!$E$111&amp;X82,"")</f>
        <v>1:2</v>
      </c>
      <c r="AC154" s="2"/>
      <c r="AD154" s="143"/>
    </row>
    <row r="155" spans="25:30" x14ac:dyDescent="0.2">
      <c r="Y155" s="67" t="s">
        <v>35</v>
      </c>
      <c r="Z155" s="35" t="str">
        <f t="shared" ca="1" si="73"/>
        <v>RB LeipzigTSG Saalberg eV</v>
      </c>
      <c r="AA155" s="13">
        <f t="shared" ca="1" si="72"/>
        <v>1</v>
      </c>
      <c r="AB155" s="13" t="str">
        <f ca="1">IF(AA155&gt;0,Y83&amp;Sprache!$E$111&amp;X83,"")</f>
        <v>4:1</v>
      </c>
      <c r="AC155" s="2"/>
      <c r="AD155" s="143"/>
    </row>
    <row r="156" spans="25:30" x14ac:dyDescent="0.2">
      <c r="Y156" s="67" t="s">
        <v>36</v>
      </c>
      <c r="Z156" s="35" t="str">
        <f t="shared" ca="1" si="73"/>
        <v>VFB EssenheimEintracht Frankfurt</v>
      </c>
      <c r="AA156" s="13">
        <f t="shared" ca="1" si="72"/>
        <v>1</v>
      </c>
      <c r="AB156" s="13" t="str">
        <f ca="1">IF(AA156&gt;0,Y84&amp;Sprache!$E$111&amp;X84,"")</f>
        <v>2:3</v>
      </c>
      <c r="AC156" s="2"/>
      <c r="AD156" s="143"/>
    </row>
    <row r="157" spans="25:30" x14ac:dyDescent="0.2">
      <c r="Y157" s="67" t="s">
        <v>37</v>
      </c>
      <c r="Z157" s="35" t="str">
        <f t="shared" ca="1" si="73"/>
        <v>FC GrönlingenSSV Wildbach</v>
      </c>
      <c r="AA157" s="13">
        <f t="shared" ca="1" si="72"/>
        <v>1</v>
      </c>
      <c r="AB157" s="13" t="str">
        <f ca="1">IF(AA157&gt;0,Y85&amp;Sprache!$E$111&amp;X85,"")</f>
        <v>4:1</v>
      </c>
      <c r="AC157" s="2"/>
      <c r="AD157" s="143"/>
    </row>
    <row r="158" spans="25:30" x14ac:dyDescent="0.2">
      <c r="Y158" s="67" t="s">
        <v>38</v>
      </c>
      <c r="Z158" s="35" t="str">
        <f t="shared" ca="1" si="73"/>
        <v>1. FC NürnbergBorussia Dortmund</v>
      </c>
      <c r="AA158" s="13">
        <f t="shared" ca="1" si="72"/>
        <v>1</v>
      </c>
      <c r="AB158" s="13" t="str">
        <f ca="1">IF(AA158&gt;0,Y86&amp;Sprache!$E$111&amp;X86,"")</f>
        <v>2:2</v>
      </c>
      <c r="AC158" s="2"/>
      <c r="AD158" s="143"/>
    </row>
    <row r="159" spans="25:30" x14ac:dyDescent="0.2">
      <c r="Y159" s="67" t="s">
        <v>39</v>
      </c>
      <c r="Z159" s="35" t="str">
        <f t="shared" ca="1" si="73"/>
        <v>SV OberredenburgHSV</v>
      </c>
      <c r="AA159" s="13">
        <f t="shared" ca="1" si="72"/>
        <v>1</v>
      </c>
      <c r="AB159" s="13" t="str">
        <f ca="1">IF(AA159&gt;0,Y87&amp;Sprache!$E$111&amp;X87,"")</f>
        <v>0:1</v>
      </c>
      <c r="AC159" s="2"/>
      <c r="AD159" s="143"/>
    </row>
    <row r="160" spans="25:30" x14ac:dyDescent="0.2">
      <c r="Y160" s="67" t="s">
        <v>40</v>
      </c>
      <c r="Z160" s="35" t="str">
        <f t="shared" ca="1" si="73"/>
        <v>Maibach 1822 eVFC Barcelona</v>
      </c>
      <c r="AA160" s="13">
        <f t="shared" ca="1" si="72"/>
        <v>1</v>
      </c>
      <c r="AB160" s="13" t="str">
        <f ca="1">IF(AA160&gt;0,Y88&amp;Sprache!$E$111&amp;X88,"")</f>
        <v>1:3</v>
      </c>
      <c r="AC160" s="2"/>
      <c r="AD160" s="143"/>
    </row>
    <row r="161" spans="25:30" x14ac:dyDescent="0.2">
      <c r="Y161" s="67" t="s">
        <v>41</v>
      </c>
      <c r="Z161" s="35" t="str">
        <f t="shared" ca="1" si="73"/>
        <v>Manchester CityInter Mailand</v>
      </c>
      <c r="AA161" s="13">
        <f t="shared" ca="1" si="72"/>
        <v>1</v>
      </c>
      <c r="AB161" s="13" t="str">
        <f ca="1">IF(AA161&gt;0,Y89&amp;Sprache!$E$111&amp;X89,"")</f>
        <v>2:2</v>
      </c>
      <c r="AC161" s="2"/>
      <c r="AD161" s="143"/>
    </row>
    <row r="162" spans="25:30" x14ac:dyDescent="0.2">
      <c r="Y162" s="67" t="s">
        <v>42</v>
      </c>
      <c r="Z162" s="35" t="str">
        <f t="shared" ca="1" si="73"/>
        <v>FSV RauenReal Madrid</v>
      </c>
      <c r="AA162" s="13">
        <f t="shared" ca="1" si="72"/>
        <v>1</v>
      </c>
      <c r="AB162" s="13" t="str">
        <f ca="1">IF(AA162&gt;0,Y90&amp;Sprache!$E$111&amp;X90,"")</f>
        <v>0:4</v>
      </c>
      <c r="AC162" s="2"/>
      <c r="AD162" s="143"/>
    </row>
    <row r="163" spans="25:30" x14ac:dyDescent="0.2">
      <c r="Y163" s="67" t="s">
        <v>43</v>
      </c>
      <c r="Z163" s="35" t="str">
        <f t="shared" ca="1" si="73"/>
        <v>RB LeipzigParis St. Germain</v>
      </c>
      <c r="AA163" s="13">
        <f t="shared" ca="1" si="72"/>
        <v>1</v>
      </c>
      <c r="AB163" s="13" t="str">
        <f ca="1">IF(AA163&gt;0,Y91&amp;Sprache!$E$111&amp;X91,"")</f>
        <v>1:3</v>
      </c>
      <c r="AC163" s="2"/>
      <c r="AD163" s="143"/>
    </row>
    <row r="164" spans="25:30" x14ac:dyDescent="0.2">
      <c r="Y164" s="67" t="s">
        <v>44</v>
      </c>
      <c r="Z164" s="35" t="str">
        <f t="shared" ca="1" si="73"/>
        <v>1. FC RiedwaldEintracht Frankfurt</v>
      </c>
      <c r="AA164" s="13">
        <f t="shared" ca="1" si="72"/>
        <v>1</v>
      </c>
      <c r="AB164" s="13" t="str">
        <f ca="1">IF(AA164&gt;0,Y92&amp;Sprache!$E$111&amp;X92,"")</f>
        <v>2:6</v>
      </c>
      <c r="AC164" s="2"/>
      <c r="AD164" s="143"/>
    </row>
    <row r="165" spans="25:30" x14ac:dyDescent="0.2">
      <c r="Y165" s="67" t="s">
        <v>45</v>
      </c>
      <c r="Z165" s="35" t="str">
        <f t="shared" ca="1" si="73"/>
        <v>Mainz 05SSV Wildbach</v>
      </c>
      <c r="AA165" s="13">
        <f t="shared" ca="1" si="72"/>
        <v>1</v>
      </c>
      <c r="AB165" s="13" t="str">
        <f ca="1">IF(AA165&gt;0,Y93&amp;Sprache!$E$111&amp;X93,"")</f>
        <v>2:2</v>
      </c>
      <c r="AC165" s="2"/>
      <c r="AD165" s="143"/>
    </row>
    <row r="166" spans="25:30" x14ac:dyDescent="0.2">
      <c r="Y166" s="67" t="s">
        <v>46</v>
      </c>
      <c r="Z166" s="35" t="str">
        <f t="shared" ca="1" si="73"/>
        <v>Kickers RodendorfBorussia Dortmund</v>
      </c>
      <c r="AA166" s="13">
        <f t="shared" ca="1" si="72"/>
        <v>1</v>
      </c>
      <c r="AB166" s="13" t="str">
        <f ca="1">IF(AA166&gt;0,Y94&amp;Sprache!$E$111&amp;X94,"")</f>
        <v>1:4</v>
      </c>
      <c r="AC166" s="2"/>
      <c r="AD166" s="143"/>
    </row>
    <row r="167" spans="25:30" x14ac:dyDescent="0.2">
      <c r="Y167" s="67" t="s">
        <v>47</v>
      </c>
      <c r="Z167" s="35" t="str">
        <f t="shared" ca="1" si="73"/>
        <v>TSG Saalberg eVHSV</v>
      </c>
      <c r="AA167" s="13">
        <f t="shared" ca="1" si="72"/>
        <v>1</v>
      </c>
      <c r="AB167" s="13" t="str">
        <f ca="1">IF(AA167&gt;0,Y95&amp;Sprache!$E$111&amp;X95,"")</f>
        <v>2:3</v>
      </c>
      <c r="AC167" s="2"/>
      <c r="AD167" s="143"/>
    </row>
    <row r="168" spans="25:30" x14ac:dyDescent="0.2">
      <c r="Y168" s="67" t="s">
        <v>48</v>
      </c>
      <c r="Z168" s="35" t="str">
        <f t="shared" ca="1" si="73"/>
        <v>VFB EssenheimMaibach 1822 eV</v>
      </c>
      <c r="AA168" s="13">
        <f t="shared" ca="1" si="72"/>
        <v>1</v>
      </c>
      <c r="AB168" s="13" t="str">
        <f ca="1">IF(AA168&gt;0,Y96&amp;Sprache!$E$111&amp;X96,"")</f>
        <v>5:3</v>
      </c>
      <c r="AC168" s="2"/>
      <c r="AD168" s="143"/>
    </row>
    <row r="169" spans="25:30" x14ac:dyDescent="0.2">
      <c r="Y169" s="67" t="s">
        <v>49</v>
      </c>
      <c r="Z169" s="35" t="str">
        <f t="shared" ca="1" si="73"/>
        <v>FC GrönlingenManchester City</v>
      </c>
      <c r="AA169" s="13">
        <f t="shared" ca="1" si="72"/>
        <v>1</v>
      </c>
      <c r="AB169" s="13" t="str">
        <f ca="1">IF(AA169&gt;0,Y97&amp;Sprache!$E$111&amp;X97,"")</f>
        <v>2:4</v>
      </c>
      <c r="AC169" s="2"/>
      <c r="AD169" s="143"/>
    </row>
    <row r="170" spans="25:30" x14ac:dyDescent="0.2">
      <c r="Y170" s="67" t="s">
        <v>50</v>
      </c>
      <c r="Z170" s="35" t="str">
        <f t="shared" ca="1" si="73"/>
        <v>1. FC NürnbergFSV Rauen</v>
      </c>
      <c r="AA170" s="13">
        <f t="shared" ca="1" si="72"/>
        <v>1</v>
      </c>
      <c r="AB170" s="13" t="str">
        <f ca="1">IF(AA170&gt;0,Y98&amp;Sprache!$E$111&amp;X98,"")</f>
        <v>4:3</v>
      </c>
      <c r="AC170" s="2"/>
      <c r="AD170" s="143"/>
    </row>
    <row r="171" spans="25:30" x14ac:dyDescent="0.2">
      <c r="Y171" s="67" t="s">
        <v>51</v>
      </c>
      <c r="Z171" s="35" t="str">
        <f t="shared" ca="1" si="73"/>
        <v>SV OberredenburgRB Leipzig</v>
      </c>
      <c r="AA171" s="13">
        <f t="shared" ca="1" si="72"/>
        <v>1</v>
      </c>
      <c r="AB171" s="13" t="str">
        <f ca="1">IF(AA171&gt;0,Y99&amp;Sprache!$E$111&amp;X99,"")</f>
        <v>0:3</v>
      </c>
      <c r="AC171" s="2"/>
      <c r="AD171" s="143"/>
    </row>
    <row r="172" spans="25:30" x14ac:dyDescent="0.2">
      <c r="Y172" s="67" t="s">
        <v>60</v>
      </c>
      <c r="Z172" s="35" t="str">
        <f t="shared" ca="1" si="73"/>
        <v>FC Barcelona1. FC Riedwald</v>
      </c>
      <c r="AA172" s="13">
        <f t="shared" ca="1" si="72"/>
        <v>1</v>
      </c>
      <c r="AB172" s="13" t="str">
        <f ca="1">IF(AA172&gt;0,Y100&amp;Sprache!$E$111&amp;X100,"")</f>
        <v>6:1</v>
      </c>
      <c r="AC172" s="2"/>
      <c r="AD172" s="143"/>
    </row>
    <row r="173" spans="25:30" x14ac:dyDescent="0.2">
      <c r="Y173" s="67" t="s">
        <v>61</v>
      </c>
      <c r="Z173" s="35" t="str">
        <f t="shared" ca="1" si="73"/>
        <v>Inter MailandMainz 05</v>
      </c>
      <c r="AA173" s="13">
        <f t="shared" ca="1" si="72"/>
        <v>1</v>
      </c>
      <c r="AB173" s="13" t="str">
        <f ca="1">IF(AA173&gt;0,Y101&amp;Sprache!$E$111&amp;X101,"")</f>
        <v>3:2</v>
      </c>
      <c r="AC173" s="2"/>
      <c r="AD173" s="143"/>
    </row>
    <row r="174" spans="25:30" x14ac:dyDescent="0.2">
      <c r="Y174" s="67" t="s">
        <v>62</v>
      </c>
      <c r="Z174" s="35" t="str">
        <f t="shared" ca="1" si="73"/>
        <v>Real MadridKickers Rodendorf</v>
      </c>
      <c r="AA174" s="13">
        <f t="shared" ca="1" si="72"/>
        <v>1</v>
      </c>
      <c r="AB174" s="13" t="str">
        <f ca="1">IF(AA174&gt;0,Y102&amp;Sprache!$E$111&amp;X102,"")</f>
        <v>5:1</v>
      </c>
      <c r="AC174" s="2"/>
      <c r="AD174" s="143"/>
    </row>
    <row r="175" spans="25:30" x14ac:dyDescent="0.2">
      <c r="Y175" s="67" t="s">
        <v>63</v>
      </c>
      <c r="Z175" s="35" t="str">
        <f t="shared" ca="1" si="73"/>
        <v>Paris St. GermainTSG Saalberg eV</v>
      </c>
      <c r="AA175" s="13">
        <f t="shared" ca="1" si="72"/>
        <v>1</v>
      </c>
      <c r="AB175" s="13" t="str">
        <f ca="1">IF(AA175&gt;0,Y103&amp;Sprache!$E$111&amp;X103,"")</f>
        <v>7:0</v>
      </c>
      <c r="AC175" s="2"/>
      <c r="AD175" s="143"/>
    </row>
    <row r="176" spans="25:30" x14ac:dyDescent="0.2">
      <c r="Y176" s="67" t="s">
        <v>64</v>
      </c>
      <c r="Z176" s="35" t="str">
        <f t="shared" ca="1" si="73"/>
        <v/>
      </c>
      <c r="AA176" s="13">
        <f t="shared" ca="1" si="72"/>
        <v>0</v>
      </c>
      <c r="AB176" s="13" t="str">
        <f ca="1">IF(AA176&gt;0,Y104&amp;Sprache!$E$111&amp;X104,"")</f>
        <v/>
      </c>
      <c r="AC176" s="2"/>
      <c r="AD176" s="143"/>
    </row>
    <row r="177" spans="25:30" x14ac:dyDescent="0.2">
      <c r="Y177" s="67" t="s">
        <v>65</v>
      </c>
      <c r="Z177" s="35" t="str">
        <f t="shared" ca="1" si="73"/>
        <v/>
      </c>
      <c r="AA177" s="13">
        <f t="shared" ca="1" si="72"/>
        <v>0</v>
      </c>
      <c r="AB177" s="13" t="str">
        <f ca="1">IF(AA177&gt;0,Y105&amp;Sprache!$E$111&amp;X105,"")</f>
        <v/>
      </c>
      <c r="AC177" s="2"/>
      <c r="AD177" s="143"/>
    </row>
    <row r="178" spans="25:30" x14ac:dyDescent="0.2">
      <c r="Y178" s="67" t="s">
        <v>66</v>
      </c>
      <c r="Z178" s="35" t="str">
        <f t="shared" ca="1" si="73"/>
        <v/>
      </c>
      <c r="AA178" s="13">
        <f t="shared" ca="1" si="72"/>
        <v>0</v>
      </c>
      <c r="AB178" s="13" t="str">
        <f ca="1">IF(AA178&gt;0,Y106&amp;Sprache!$E$111&amp;X106,"")</f>
        <v/>
      </c>
      <c r="AC178" s="2"/>
      <c r="AD178" s="143"/>
    </row>
    <row r="179" spans="25:30" x14ac:dyDescent="0.2">
      <c r="Y179" s="67" t="s">
        <v>67</v>
      </c>
      <c r="Z179" s="35" t="str">
        <f t="shared" ca="1" si="73"/>
        <v/>
      </c>
      <c r="AA179" s="13">
        <f t="shared" ca="1" si="72"/>
        <v>0</v>
      </c>
      <c r="AB179" s="13" t="str">
        <f ca="1">IF(AA179&gt;0,Y107&amp;Sprache!$E$111&amp;X107,"")</f>
        <v/>
      </c>
      <c r="AC179" s="2"/>
      <c r="AD179" s="143"/>
    </row>
    <row r="180" spans="25:30" x14ac:dyDescent="0.2">
      <c r="Y180" s="67" t="s">
        <v>68</v>
      </c>
      <c r="Z180" s="35" t="str">
        <f t="shared" ca="1" si="73"/>
        <v/>
      </c>
      <c r="AA180" s="13">
        <f t="shared" ca="1" si="72"/>
        <v>0</v>
      </c>
      <c r="AB180" s="13" t="str">
        <f ca="1">IF(AA180&gt;0,Y108&amp;Sprache!$E$111&amp;X108,"")</f>
        <v/>
      </c>
      <c r="AC180" s="2"/>
      <c r="AD180" s="143"/>
    </row>
    <row r="181" spans="25:30" x14ac:dyDescent="0.2">
      <c r="Y181" s="67" t="s">
        <v>69</v>
      </c>
      <c r="Z181" s="35" t="str">
        <f t="shared" ca="1" si="73"/>
        <v/>
      </c>
      <c r="AA181" s="13">
        <f t="shared" ca="1" si="72"/>
        <v>0</v>
      </c>
      <c r="AB181" s="13" t="str">
        <f ca="1">IF(AA181&gt;0,Y109&amp;Sprache!$E$111&amp;X109,"")</f>
        <v/>
      </c>
      <c r="AC181" s="2"/>
      <c r="AD181" s="143"/>
    </row>
    <row r="182" spans="25:30" x14ac:dyDescent="0.2">
      <c r="Y182" s="67" t="s">
        <v>70</v>
      </c>
      <c r="Z182" s="35" t="str">
        <f t="shared" ca="1" si="73"/>
        <v/>
      </c>
      <c r="AA182" s="13">
        <f t="shared" ca="1" si="72"/>
        <v>0</v>
      </c>
      <c r="AB182" s="13" t="str">
        <f ca="1">IF(AA182&gt;0,Y110&amp;Sprache!$E$111&amp;X110,"")</f>
        <v/>
      </c>
      <c r="AC182" s="2"/>
      <c r="AD182" s="143"/>
    </row>
    <row r="183" spans="25:30" x14ac:dyDescent="0.2">
      <c r="Y183" s="67" t="s">
        <v>71</v>
      </c>
      <c r="Z183" s="35" t="str">
        <f t="shared" ca="1" si="73"/>
        <v/>
      </c>
      <c r="AA183" s="13">
        <f t="shared" ca="1" si="72"/>
        <v>0</v>
      </c>
      <c r="AB183" s="13" t="str">
        <f ca="1">IF(AA183&gt;0,Y111&amp;Sprache!$E$111&amp;X111,"")</f>
        <v/>
      </c>
      <c r="AC183" s="2"/>
      <c r="AD183" s="143"/>
    </row>
    <row r="184" spans="25:30" x14ac:dyDescent="0.2">
      <c r="Y184" s="67" t="s">
        <v>72</v>
      </c>
      <c r="Z184" s="35" t="str">
        <f t="shared" ca="1" si="73"/>
        <v/>
      </c>
      <c r="AA184" s="13">
        <f t="shared" ca="1" si="72"/>
        <v>0</v>
      </c>
      <c r="AB184" s="13" t="str">
        <f ca="1">IF(AA184&gt;0,Y112&amp;Sprache!$E$111&amp;X112,"")</f>
        <v/>
      </c>
      <c r="AC184" s="2"/>
      <c r="AD184" s="143"/>
    </row>
    <row r="185" spans="25:30" x14ac:dyDescent="0.2">
      <c r="Y185" s="67" t="s">
        <v>73</v>
      </c>
      <c r="Z185" s="35" t="str">
        <f t="shared" ca="1" si="73"/>
        <v/>
      </c>
      <c r="AA185" s="13">
        <f t="shared" ca="1" si="72"/>
        <v>0</v>
      </c>
      <c r="AB185" s="13" t="str">
        <f ca="1">IF(AA185&gt;0,Y113&amp;Sprache!$E$111&amp;X113,"")</f>
        <v/>
      </c>
      <c r="AC185" s="2"/>
      <c r="AD185" s="143"/>
    </row>
    <row r="186" spans="25:30" x14ac:dyDescent="0.2">
      <c r="Y186" s="67" t="s">
        <v>74</v>
      </c>
      <c r="Z186" s="35" t="str">
        <f t="shared" ca="1" si="73"/>
        <v/>
      </c>
      <c r="AA186" s="13">
        <f t="shared" ca="1" si="72"/>
        <v>0</v>
      </c>
      <c r="AB186" s="13" t="str">
        <f ca="1">IF(AA186&gt;0,Y114&amp;Sprache!$E$111&amp;X114,"")</f>
        <v/>
      </c>
      <c r="AC186" s="2"/>
      <c r="AD186" s="143"/>
    </row>
    <row r="187" spans="25:30" x14ac:dyDescent="0.2">
      <c r="Y187" s="67" t="s">
        <v>75</v>
      </c>
      <c r="Z187" s="35" t="str">
        <f t="shared" ca="1" si="73"/>
        <v/>
      </c>
      <c r="AA187" s="13">
        <f t="shared" ca="1" si="72"/>
        <v>0</v>
      </c>
      <c r="AB187" s="13" t="str">
        <f ca="1">IF(AA187&gt;0,Y115&amp;Sprache!$E$111&amp;X115,"")</f>
        <v/>
      </c>
      <c r="AC187" s="2"/>
      <c r="AD187" s="143"/>
    </row>
    <row r="188" spans="25:30" x14ac:dyDescent="0.2">
      <c r="Y188" s="67" t="s">
        <v>76</v>
      </c>
      <c r="Z188" s="35" t="str">
        <f t="shared" ca="1" si="73"/>
        <v/>
      </c>
      <c r="AA188" s="13">
        <f t="shared" ca="1" si="72"/>
        <v>0</v>
      </c>
      <c r="AB188" s="13" t="str">
        <f ca="1">IF(AA188&gt;0,Y116&amp;Sprache!$E$111&amp;X116,"")</f>
        <v/>
      </c>
      <c r="AC188" s="2"/>
      <c r="AD188" s="143"/>
    </row>
    <row r="189" spans="25:30" x14ac:dyDescent="0.2">
      <c r="Y189" s="67" t="s">
        <v>77</v>
      </c>
      <c r="Z189" s="35" t="str">
        <f t="shared" ca="1" si="73"/>
        <v/>
      </c>
      <c r="AA189" s="13">
        <f t="shared" ca="1" si="72"/>
        <v>0</v>
      </c>
      <c r="AB189" s="13" t="str">
        <f ca="1">IF(AA189&gt;0,Y117&amp;Sprache!$E$111&amp;X117,"")</f>
        <v/>
      </c>
      <c r="AC189" s="2"/>
      <c r="AD189" s="143"/>
    </row>
    <row r="190" spans="25:30" x14ac:dyDescent="0.2">
      <c r="Y190" s="67" t="s">
        <v>78</v>
      </c>
      <c r="Z190" s="35" t="str">
        <f t="shared" ca="1" si="73"/>
        <v/>
      </c>
      <c r="AA190" s="13">
        <f t="shared" ca="1" si="72"/>
        <v>0</v>
      </c>
      <c r="AB190" s="13" t="str">
        <f ca="1">IF(AA190&gt;0,Y118&amp;Sprache!$E$111&amp;X118,"")</f>
        <v/>
      </c>
      <c r="AC190" s="2"/>
      <c r="AD190" s="143"/>
    </row>
    <row r="191" spans="25:30" x14ac:dyDescent="0.2">
      <c r="Y191" s="67" t="s">
        <v>79</v>
      </c>
      <c r="Z191" s="35" t="str">
        <f t="shared" ca="1" si="73"/>
        <v/>
      </c>
      <c r="AA191" s="13">
        <f t="shared" ca="1" si="72"/>
        <v>0</v>
      </c>
      <c r="AB191" s="13" t="str">
        <f ca="1">IF(AA191&gt;0,Y119&amp;Sprache!$E$111&amp;X119,"")</f>
        <v/>
      </c>
      <c r="AC191" s="2"/>
      <c r="AD191" s="143"/>
    </row>
    <row r="192" spans="25:30" x14ac:dyDescent="0.2">
      <c r="Y192" s="67" t="s">
        <v>80</v>
      </c>
      <c r="Z192" s="35" t="str">
        <f t="shared" ca="1" si="73"/>
        <v/>
      </c>
      <c r="AA192" s="13">
        <f t="shared" ca="1" si="72"/>
        <v>0</v>
      </c>
      <c r="AB192" s="13" t="str">
        <f ca="1">IF(AA192&gt;0,Y120&amp;Sprache!$E$111&amp;X120,"")</f>
        <v/>
      </c>
      <c r="AC192" s="2"/>
      <c r="AD192" s="143"/>
    </row>
    <row r="193" spans="25:30" x14ac:dyDescent="0.2">
      <c r="Y193" s="67" t="s">
        <v>81</v>
      </c>
      <c r="Z193" s="35" t="str">
        <f t="shared" ca="1" si="73"/>
        <v/>
      </c>
      <c r="AA193" s="13">
        <f t="shared" ca="1" si="72"/>
        <v>0</v>
      </c>
      <c r="AB193" s="13" t="str">
        <f ca="1">IF(AA193&gt;0,Y121&amp;Sprache!$E$111&amp;X121,"")</f>
        <v/>
      </c>
      <c r="AC193" s="2"/>
      <c r="AD193" s="143"/>
    </row>
    <row r="194" spans="25:30" x14ac:dyDescent="0.2">
      <c r="Y194" s="67" t="s">
        <v>82</v>
      </c>
      <c r="Z194" s="35" t="str">
        <f t="shared" ca="1" si="73"/>
        <v/>
      </c>
      <c r="AA194" s="13">
        <f t="shared" ca="1" si="72"/>
        <v>0</v>
      </c>
      <c r="AB194" s="13" t="str">
        <f ca="1">IF(AA194&gt;0,Y122&amp;Sprache!$E$111&amp;X122,"")</f>
        <v/>
      </c>
      <c r="AC194" s="2"/>
      <c r="AD194" s="143"/>
    </row>
    <row r="195" spans="25:30" x14ac:dyDescent="0.2">
      <c r="Y195" s="67" t="s">
        <v>83</v>
      </c>
      <c r="Z195" s="35" t="str">
        <f t="shared" ca="1" si="73"/>
        <v/>
      </c>
      <c r="AA195" s="13">
        <f t="shared" ca="1" si="72"/>
        <v>0</v>
      </c>
      <c r="AB195" s="13" t="str">
        <f ca="1">IF(AA195&gt;0,Y123&amp;Sprache!$E$111&amp;X123,"")</f>
        <v/>
      </c>
      <c r="AC195" s="2"/>
      <c r="AD195" s="143"/>
    </row>
    <row r="196" spans="25:30" x14ac:dyDescent="0.2">
      <c r="Y196" s="67" t="s">
        <v>84</v>
      </c>
      <c r="Z196" s="35" t="str">
        <f t="shared" si="73"/>
        <v/>
      </c>
      <c r="AA196" s="13">
        <f t="shared" si="72"/>
        <v>0</v>
      </c>
      <c r="AB196" s="13" t="str">
        <f>IF(AA196&gt;0,Y124&amp;Sprache!$E$111&amp;X124,"")</f>
        <v/>
      </c>
      <c r="AC196" s="2"/>
      <c r="AD196" s="143"/>
    </row>
    <row r="197" spans="25:30" x14ac:dyDescent="0.2">
      <c r="Y197" s="67" t="s">
        <v>85</v>
      </c>
      <c r="Z197" s="35" t="str">
        <f t="shared" si="73"/>
        <v/>
      </c>
      <c r="AA197" s="13">
        <f t="shared" si="72"/>
        <v>0</v>
      </c>
      <c r="AB197" s="13" t="str">
        <f>IF(AA197&gt;0,Y125&amp;Sprache!$E$111&amp;X125,"")</f>
        <v/>
      </c>
      <c r="AC197" s="2"/>
      <c r="AD197" s="143"/>
    </row>
    <row r="198" spans="25:30" x14ac:dyDescent="0.2">
      <c r="Y198" s="67" t="s">
        <v>86</v>
      </c>
      <c r="Z198" s="35" t="str">
        <f t="shared" si="73"/>
        <v/>
      </c>
      <c r="AA198" s="13">
        <f t="shared" si="72"/>
        <v>0</v>
      </c>
      <c r="AB198" s="13" t="str">
        <f>IF(AA198&gt;0,Y126&amp;Sprache!$E$111&amp;X126,"")</f>
        <v/>
      </c>
      <c r="AC198" s="2"/>
      <c r="AD198" s="143"/>
    </row>
    <row r="199" spans="25:30" x14ac:dyDescent="0.2">
      <c r="Y199" s="67" t="s">
        <v>87</v>
      </c>
      <c r="Z199" s="35" t="str">
        <f t="shared" si="73"/>
        <v/>
      </c>
      <c r="AA199" s="13">
        <f t="shared" si="72"/>
        <v>0</v>
      </c>
      <c r="AB199" s="13" t="str">
        <f>IF(AA199&gt;0,Y127&amp;Sprache!$E$111&amp;X127,"")</f>
        <v/>
      </c>
      <c r="AC199" s="2"/>
      <c r="AD199" s="143"/>
    </row>
    <row r="200" spans="25:30" x14ac:dyDescent="0.2">
      <c r="Y200" s="67" t="s">
        <v>88</v>
      </c>
      <c r="Z200" s="35" t="str">
        <f t="shared" si="73"/>
        <v/>
      </c>
      <c r="AA200" s="13">
        <f t="shared" si="72"/>
        <v>0</v>
      </c>
      <c r="AB200" s="13" t="str">
        <f>IF(AA200&gt;0,Y128&amp;Sprache!$E$111&amp;X128,"")</f>
        <v/>
      </c>
      <c r="AC200" s="2"/>
      <c r="AD200" s="143"/>
    </row>
    <row r="201" spans="25:30" x14ac:dyDescent="0.2">
      <c r="Y201" s="67" t="s">
        <v>89</v>
      </c>
      <c r="Z201" s="35" t="str">
        <f t="shared" si="73"/>
        <v/>
      </c>
      <c r="AA201" s="13">
        <f t="shared" ref="AA201:AA207" si="74">AA129</f>
        <v>0</v>
      </c>
      <c r="AB201" s="13" t="str">
        <f>IF(AA201&gt;0,Y129&amp;Sprache!$E$111&amp;X129,"")</f>
        <v/>
      </c>
      <c r="AC201" s="2"/>
      <c r="AD201" s="143"/>
    </row>
    <row r="202" spans="25:30" x14ac:dyDescent="0.2">
      <c r="Y202" s="67" t="s">
        <v>90</v>
      </c>
      <c r="Z202" s="35" t="str">
        <f t="shared" ref="Z202:Z206" si="75">W130&amp;V130</f>
        <v/>
      </c>
      <c r="AA202" s="13">
        <f t="shared" si="74"/>
        <v>0</v>
      </c>
      <c r="AB202" s="13" t="str">
        <f>IF(AA202&gt;0,Y130&amp;Sprache!$E$111&amp;X130,"")</f>
        <v/>
      </c>
      <c r="AC202" s="2"/>
      <c r="AD202" s="143"/>
    </row>
    <row r="203" spans="25:30" x14ac:dyDescent="0.2">
      <c r="Y203" s="67" t="s">
        <v>91</v>
      </c>
      <c r="Z203" s="35" t="str">
        <f t="shared" si="75"/>
        <v/>
      </c>
      <c r="AA203" s="13">
        <f t="shared" si="74"/>
        <v>0</v>
      </c>
      <c r="AB203" s="13" t="str">
        <f>IF(AA203&gt;0,Y131&amp;Sprache!$E$111&amp;X131,"")</f>
        <v/>
      </c>
      <c r="AC203" s="2"/>
      <c r="AD203" s="143"/>
    </row>
    <row r="204" spans="25:30" x14ac:dyDescent="0.2">
      <c r="Y204" s="67" t="s">
        <v>92</v>
      </c>
      <c r="Z204" s="35" t="str">
        <f t="shared" si="75"/>
        <v/>
      </c>
      <c r="AA204" s="13">
        <f t="shared" si="74"/>
        <v>0</v>
      </c>
      <c r="AB204" s="13" t="str">
        <f>IF(AA204&gt;0,Y132&amp;Sprache!$E$111&amp;X132,"")</f>
        <v/>
      </c>
      <c r="AC204" s="2"/>
      <c r="AD204" s="143"/>
    </row>
    <row r="205" spans="25:30" x14ac:dyDescent="0.2">
      <c r="Y205" s="67" t="s">
        <v>93</v>
      </c>
      <c r="Z205" s="35" t="str">
        <f t="shared" si="75"/>
        <v/>
      </c>
      <c r="AA205" s="13">
        <f t="shared" si="74"/>
        <v>0</v>
      </c>
      <c r="AB205" s="13" t="str">
        <f>IF(AA205&gt;0,Y133&amp;Sprache!$E$111&amp;X133,"")</f>
        <v/>
      </c>
      <c r="AC205" s="2"/>
      <c r="AD205" s="143"/>
    </row>
    <row r="206" spans="25:30" x14ac:dyDescent="0.2">
      <c r="Y206" s="67" t="s">
        <v>94</v>
      </c>
      <c r="Z206" s="35" t="str">
        <f t="shared" si="75"/>
        <v/>
      </c>
      <c r="AA206" s="13">
        <f t="shared" si="74"/>
        <v>0</v>
      </c>
      <c r="AB206" s="13" t="str">
        <f>IF(AA206&gt;0,Y134&amp;Sprache!$E$111&amp;X134,"")</f>
        <v/>
      </c>
      <c r="AC206" s="2"/>
      <c r="AD206" s="143"/>
    </row>
    <row r="207" spans="25:30" ht="12.75" thickBot="1" x14ac:dyDescent="0.25">
      <c r="Y207" s="68" t="s">
        <v>95</v>
      </c>
      <c r="Z207" s="37" t="str">
        <f>W135&amp;V135</f>
        <v/>
      </c>
      <c r="AA207" s="38">
        <f t="shared" si="74"/>
        <v>0</v>
      </c>
      <c r="AB207" s="144" t="str">
        <f>IF(AA207&gt;0,Y135&amp;Sprache!$E$111&amp;X135,"")</f>
        <v/>
      </c>
      <c r="AC207" s="146"/>
      <c r="AD207" s="145"/>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4</v>
      </c>
      <c r="D4" s="13">
        <f ca="1">E4+ROW()/1000+(F4="")*10</f>
        <v>4.0039999999999996</v>
      </c>
      <c r="E4" s="251">
        <f ca="1">IF($AI$15,RANK(AH17,AH$17:AH$25,1),RANK(X17,X$17:X$25,1))</f>
        <v>4</v>
      </c>
      <c r="F4" s="1" t="str">
        <f>$Q64</f>
        <v>Kickers Rodendorf</v>
      </c>
      <c r="G4" s="1">
        <f t="shared" ref="G4:G12" ca="1" si="1">SUMIFS($X$64:$X$135,$V$64:$V$135,$F4)+SUMIFS($Y$64:$Y$135,$W$64:$W$135,$F4)</f>
        <v>7</v>
      </c>
      <c r="H4" s="1">
        <f t="shared" ref="H4:H12" ca="1" si="2">SUMIFS($Y$64:$Y$135,$V$64:$V$135,$F4)+SUMIFS($X$64:$X$135,$W$64:$W$135,$F4)</f>
        <v>15</v>
      </c>
      <c r="I4" s="13">
        <f t="shared" ref="I4:I12" ca="1" si="3">G4-H4</f>
        <v>-8</v>
      </c>
      <c r="J4" s="1">
        <f ca="1">SUMIF($V$64:$V$135,F4,$AE$64:$AE$135)+SUMIF($W$64:$W$135,F4,$AF$64:$AF$135)</f>
        <v>3</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0</v>
      </c>
      <c r="N4" s="1">
        <f t="shared" ref="N4:N12" ca="1" si="7">SUMPRODUCT(($V$64:$V$135=F4)*($X$64:$X$135&lt;$Y$64:$Y$135))+SUMPRODUCT(($W$64:$W$135=F4)*($X$64:$X$135&gt;$Y$64:$Y$135))</f>
        <v>3</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1.0504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1.0504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1.0504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1.0504</v>
      </c>
      <c r="AP4" s="644">
        <f ca="1">RANK($AO4,$AO$4:$AO$12,1)</f>
        <v>1</v>
      </c>
    </row>
    <row r="5" spans="1:42" s="2" customFormat="1" x14ac:dyDescent="0.2">
      <c r="A5" s="238"/>
      <c r="B5" s="1">
        <v>2</v>
      </c>
      <c r="C5" s="22">
        <f t="shared" ref="C5:C12" ca="1" si="11">RANK(D5,$D$4:$D$12,1)</f>
        <v>2</v>
      </c>
      <c r="D5" s="13">
        <f t="shared" ref="D5:D12" ca="1" si="12">E5+ROW()/1000+(F5="")*10</f>
        <v>2.0049999999999999</v>
      </c>
      <c r="E5" s="251">
        <f t="shared" ref="E5:E12" ca="1" si="13">IF($AI$15,RANK(AH18,AH$17:AH$25,1),RANK(X18,X$17:X$25,1))</f>
        <v>2</v>
      </c>
      <c r="F5" s="1" t="str">
        <f t="shared" ref="F5:F12" si="14">$Q65</f>
        <v>Real Madrid</v>
      </c>
      <c r="G5" s="1">
        <f t="shared" ca="1" si="1"/>
        <v>13</v>
      </c>
      <c r="H5" s="1">
        <f t="shared" ca="1" si="2"/>
        <v>3</v>
      </c>
      <c r="I5" s="13">
        <f t="shared" ca="1" si="3"/>
        <v>10</v>
      </c>
      <c r="J5" s="1">
        <f t="shared" ref="J5:J12" ca="1" si="15">SUMIF($V$64:$V$135,F5,$AE$64:$AE$135)+SUMIF($W$64:$W$135,F5,$AF$64:$AF$135)</f>
        <v>9</v>
      </c>
      <c r="K5" s="1">
        <f t="shared" ca="1" si="4"/>
        <v>4</v>
      </c>
      <c r="L5" s="1">
        <f t="shared" ca="1" si="5"/>
        <v>3</v>
      </c>
      <c r="M5" s="1">
        <f t="shared" ca="1" si="6"/>
        <v>0</v>
      </c>
      <c r="N5" s="1">
        <f t="shared" ca="1" si="7"/>
        <v>1</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1.0505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1.0505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1.0505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1.0505</v>
      </c>
      <c r="AP5" s="644">
        <f t="shared" ref="AP5:AP12" ca="1" si="28">RANK($AO5,$AO$4:$AO$12,1)</f>
        <v>2</v>
      </c>
    </row>
    <row r="6" spans="1:42" s="2" customFormat="1" x14ac:dyDescent="0.2">
      <c r="A6" s="238"/>
      <c r="B6" s="1">
        <v>3</v>
      </c>
      <c r="C6" s="22">
        <f t="shared" ca="1" si="11"/>
        <v>1</v>
      </c>
      <c r="D6" s="13">
        <f t="shared" ca="1" si="12"/>
        <v>1.006</v>
      </c>
      <c r="E6" s="251">
        <f t="shared" ca="1" si="13"/>
        <v>1</v>
      </c>
      <c r="F6" s="1" t="str">
        <f t="shared" si="14"/>
        <v>Borussia Dortmund</v>
      </c>
      <c r="G6" s="1">
        <f t="shared" ca="1" si="1"/>
        <v>10</v>
      </c>
      <c r="H6" s="1">
        <f t="shared" ca="1" si="2"/>
        <v>4</v>
      </c>
      <c r="I6" s="13">
        <f t="shared" ca="1" si="3"/>
        <v>6</v>
      </c>
      <c r="J6" s="1">
        <f t="shared" ca="1" si="15"/>
        <v>10</v>
      </c>
      <c r="K6" s="1">
        <f t="shared" ca="1" si="4"/>
        <v>4</v>
      </c>
      <c r="L6" s="1">
        <f t="shared" ca="1" si="5"/>
        <v>3</v>
      </c>
      <c r="M6" s="1">
        <f t="shared" ca="1" si="6"/>
        <v>1</v>
      </c>
      <c r="N6" s="1">
        <f t="shared" ca="1" si="7"/>
        <v>0</v>
      </c>
      <c r="O6" s="24"/>
      <c r="P6" s="25"/>
      <c r="V6" s="1"/>
      <c r="W6" s="641" t="str">
        <f t="shared" ca="1" si="16"/>
        <v/>
      </c>
      <c r="X6" s="642" t="str">
        <f t="shared" ca="1" si="17"/>
        <v/>
      </c>
      <c r="Y6" s="639">
        <f t="shared" ca="1" si="18"/>
        <v>99999</v>
      </c>
      <c r="Z6" s="639">
        <f ca="1">RANK(Y6,Y$4:Y$12,1)+INDEX($E$4:$E$12,MATCH(W6,$F$4:$F$12,0))/100+ROW()/10000</f>
        <v>1.0506</v>
      </c>
      <c r="AA6" s="644">
        <f t="shared" ca="1" si="19"/>
        <v>3</v>
      </c>
      <c r="AB6" s="641" t="str">
        <f t="shared" ca="1" si="8"/>
        <v/>
      </c>
      <c r="AC6" s="642" t="str">
        <f t="shared" ca="1" si="20"/>
        <v/>
      </c>
      <c r="AD6" s="643">
        <f t="shared" ca="1" si="21"/>
        <v>99999</v>
      </c>
      <c r="AE6" s="639">
        <f ca="1">RANK(AD6,AD$4:AD$12,1)+INDEX($E$4:$E$12,MATCH(AB6,$F$4:$F$12,0))/100+ROW()/10000</f>
        <v>1.0506</v>
      </c>
      <c r="AF6" s="639">
        <f t="shared" ca="1" si="22"/>
        <v>3</v>
      </c>
      <c r="AG6" s="641" t="str">
        <f t="shared" ca="1" si="9"/>
        <v/>
      </c>
      <c r="AH6" s="642" t="str">
        <f t="shared" ca="1" si="23"/>
        <v/>
      </c>
      <c r="AI6" s="643">
        <f t="shared" ca="1" si="24"/>
        <v>99999</v>
      </c>
      <c r="AJ6" s="639">
        <f ca="1">RANK(AI6,AI$4:AI$12,1)+INDEX($E$4:$E$12,MATCH(AG6,$F$4:$F$12,0))/100+ROW()/10000</f>
        <v>1.0506</v>
      </c>
      <c r="AK6" s="644">
        <f t="shared" ca="1" si="25"/>
        <v>3</v>
      </c>
      <c r="AL6" s="642" t="str">
        <f t="shared" ca="1" si="10"/>
        <v/>
      </c>
      <c r="AM6" s="642" t="str">
        <f t="shared" ca="1" si="26"/>
        <v/>
      </c>
      <c r="AN6" s="643">
        <f t="shared" ca="1" si="27"/>
        <v>99999</v>
      </c>
      <c r="AO6" s="639">
        <f ca="1">RANK(AN6,AN$4:AN$12,1)+INDEX($E$4:$E$12,MATCH(AL6,$F$4:$F$12,0))/100+ROW()/10000</f>
        <v>1.0506</v>
      </c>
      <c r="AP6" s="644">
        <f t="shared" ca="1" si="28"/>
        <v>3</v>
      </c>
    </row>
    <row r="7" spans="1:42" s="2" customFormat="1" x14ac:dyDescent="0.2">
      <c r="A7" s="238"/>
      <c r="B7" s="1">
        <v>4</v>
      </c>
      <c r="C7" s="22">
        <f t="shared" ca="1" si="11"/>
        <v>5</v>
      </c>
      <c r="D7" s="13">
        <f t="shared" ca="1" si="12"/>
        <v>9.0069999999999997</v>
      </c>
      <c r="E7" s="251">
        <f t="shared" ca="1" si="13"/>
        <v>9</v>
      </c>
      <c r="F7" s="1" t="str">
        <f t="shared" si="14"/>
        <v>FSV Rauen</v>
      </c>
      <c r="G7" s="1">
        <f t="shared" ca="1" si="1"/>
        <v>5</v>
      </c>
      <c r="H7" s="1">
        <f t="shared" ca="1" si="2"/>
        <v>13</v>
      </c>
      <c r="I7" s="13">
        <f t="shared" ca="1" si="3"/>
        <v>-8</v>
      </c>
      <c r="J7" s="1">
        <f t="shared" ca="1" si="15"/>
        <v>0</v>
      </c>
      <c r="K7" s="1">
        <f t="shared" ca="1" si="4"/>
        <v>4</v>
      </c>
      <c r="L7" s="1">
        <f t="shared" ca="1" si="5"/>
        <v>0</v>
      </c>
      <c r="M7" s="1">
        <f t="shared" ca="1" si="6"/>
        <v>0</v>
      </c>
      <c r="N7" s="1">
        <f t="shared" ca="1" si="7"/>
        <v>4</v>
      </c>
      <c r="O7" s="24"/>
      <c r="P7" s="25"/>
      <c r="V7" s="1"/>
      <c r="W7" s="641" t="str">
        <f t="shared" ca="1" si="16"/>
        <v/>
      </c>
      <c r="X7" s="642" t="str">
        <f t="shared" ca="1" si="17"/>
        <v/>
      </c>
      <c r="Y7" s="639">
        <f t="shared" ca="1" si="18"/>
        <v>99999</v>
      </c>
      <c r="Z7" s="639">
        <f ca="1">RANK(Y7,Y$4:Y$12,1)+INDEX($E$4:$E$12,MATCH(W7,$F$4:$F$12,0))/100+ROW()/10000</f>
        <v>1.0507</v>
      </c>
      <c r="AA7" s="644">
        <f t="shared" ca="1" si="19"/>
        <v>4</v>
      </c>
      <c r="AB7" s="641" t="str">
        <f t="shared" ca="1" si="8"/>
        <v/>
      </c>
      <c r="AC7" s="642" t="str">
        <f t="shared" ca="1" si="20"/>
        <v/>
      </c>
      <c r="AD7" s="643">
        <f t="shared" ca="1" si="21"/>
        <v>99999</v>
      </c>
      <c r="AE7" s="639">
        <f ca="1">RANK(AD7,AD$4:AD$12,1)+INDEX($E$4:$E$12,MATCH(AB7,$F$4:$F$12,0))/100+ROW()/10000</f>
        <v>1.0507</v>
      </c>
      <c r="AF7" s="639">
        <f t="shared" ca="1" si="22"/>
        <v>4</v>
      </c>
      <c r="AG7" s="641" t="str">
        <f t="shared" ca="1" si="9"/>
        <v/>
      </c>
      <c r="AH7" s="642" t="str">
        <f t="shared" ca="1" si="23"/>
        <v/>
      </c>
      <c r="AI7" s="643">
        <f t="shared" ca="1" si="24"/>
        <v>99999</v>
      </c>
      <c r="AJ7" s="639">
        <f ca="1">RANK(AI7,AI$4:AI$12,1)+INDEX($E$4:$E$12,MATCH(AG7,$F$4:$F$12,0))/100+ROW()/10000</f>
        <v>1.0507</v>
      </c>
      <c r="AK7" s="644">
        <f t="shared" ca="1" si="25"/>
        <v>4</v>
      </c>
      <c r="AL7" s="642" t="str">
        <f t="shared" ca="1" si="10"/>
        <v/>
      </c>
      <c r="AM7" s="642" t="str">
        <f t="shared" ca="1" si="26"/>
        <v/>
      </c>
      <c r="AN7" s="643">
        <f t="shared" ca="1" si="27"/>
        <v>99999</v>
      </c>
      <c r="AO7" s="639">
        <f ca="1">RANK(AN7,AN$4:AN$12,1)+INDEX($E$4:$E$12,MATCH(AL7,$F$4:$F$12,0))/100+ROW()/10000</f>
        <v>1.0507</v>
      </c>
      <c r="AP7" s="644">
        <f t="shared" ca="1" si="28"/>
        <v>4</v>
      </c>
    </row>
    <row r="8" spans="1:42" s="2" customFormat="1" x14ac:dyDescent="0.2">
      <c r="A8" s="238"/>
      <c r="B8" s="1">
        <v>5</v>
      </c>
      <c r="C8" s="22">
        <f t="shared" ca="1" si="11"/>
        <v>3</v>
      </c>
      <c r="D8" s="13">
        <f t="shared" ca="1" si="12"/>
        <v>3.008</v>
      </c>
      <c r="E8" s="251">
        <f t="shared" ca="1" si="13"/>
        <v>3</v>
      </c>
      <c r="F8" s="1" t="str">
        <f t="shared" si="14"/>
        <v>1. FC Nürnberg</v>
      </c>
      <c r="G8" s="1">
        <f t="shared" ca="1" si="1"/>
        <v>12</v>
      </c>
      <c r="H8" s="1">
        <f t="shared" ca="1" si="2"/>
        <v>12</v>
      </c>
      <c r="I8" s="13">
        <f t="shared" ca="1" si="3"/>
        <v>0</v>
      </c>
      <c r="J8" s="1">
        <f t="shared" ca="1" si="15"/>
        <v>7</v>
      </c>
      <c r="K8" s="1">
        <f t="shared" ca="1" si="4"/>
        <v>4</v>
      </c>
      <c r="L8" s="1">
        <f t="shared" ca="1" si="5"/>
        <v>2</v>
      </c>
      <c r="M8" s="1">
        <f t="shared" ca="1" si="6"/>
        <v>1</v>
      </c>
      <c r="N8" s="1">
        <f t="shared" ca="1" si="7"/>
        <v>1</v>
      </c>
      <c r="P8" s="25"/>
      <c r="W8" s="641" t="str">
        <f t="shared" ca="1" si="16"/>
        <v/>
      </c>
      <c r="X8" s="642" t="str">
        <f t="shared" ca="1" si="17"/>
        <v/>
      </c>
      <c r="Y8" s="639">
        <f t="shared" ca="1" si="18"/>
        <v>99999</v>
      </c>
      <c r="Z8" s="639">
        <f t="shared" ref="Z8:Z12" ca="1" si="29">RANK(Y8,Y$4:Y$12,1)+INDEX($E$4:$E$12,MATCH(W8,$F$4:$F$12,0))/100+ROW()/10000</f>
        <v>1.0508</v>
      </c>
      <c r="AA8" s="644">
        <f t="shared" ca="1" si="19"/>
        <v>5</v>
      </c>
      <c r="AB8" s="641" t="str">
        <f t="shared" ca="1" si="8"/>
        <v/>
      </c>
      <c r="AC8" s="642" t="str">
        <f t="shared" ca="1" si="20"/>
        <v/>
      </c>
      <c r="AD8" s="643">
        <f t="shared" ca="1" si="21"/>
        <v>99999</v>
      </c>
      <c r="AE8" s="639">
        <f t="shared" ref="AE8:AE12" ca="1" si="30">RANK(AD8,AD$4:AD$12,1)+INDEX($E$4:$E$12,MATCH(AB8,$F$4:$F$12,0))/100+ROW()/10000</f>
        <v>1.0508</v>
      </c>
      <c r="AF8" s="639">
        <f t="shared" ca="1" si="22"/>
        <v>5</v>
      </c>
      <c r="AG8" s="641" t="str">
        <f t="shared" ca="1" si="9"/>
        <v/>
      </c>
      <c r="AH8" s="642" t="str">
        <f t="shared" ca="1" si="23"/>
        <v/>
      </c>
      <c r="AI8" s="643">
        <f t="shared" ca="1" si="24"/>
        <v>99999</v>
      </c>
      <c r="AJ8" s="639">
        <f t="shared" ref="AJ8:AJ12" ca="1" si="31">RANK(AI8,AI$4:AI$12,1)+INDEX($E$4:$E$12,MATCH(AG8,$F$4:$F$12,0))/100+ROW()/10000</f>
        <v>1.0508</v>
      </c>
      <c r="AK8" s="644">
        <f t="shared" ca="1" si="25"/>
        <v>5</v>
      </c>
      <c r="AL8" s="642" t="str">
        <f t="shared" ca="1" si="10"/>
        <v/>
      </c>
      <c r="AM8" s="642" t="str">
        <f t="shared" ca="1" si="26"/>
        <v/>
      </c>
      <c r="AN8" s="643">
        <f t="shared" ca="1" si="27"/>
        <v>99999</v>
      </c>
      <c r="AO8" s="639">
        <f t="shared" ref="AO8:AO12" ca="1" si="32">RANK(AN8,AN$4:AN$12,1)+INDEX($E$4:$E$12,MATCH(AL8,$F$4:$F$12,0))/100+ROW()/10000</f>
        <v>1.0508</v>
      </c>
      <c r="AP8" s="644">
        <f t="shared" ca="1" si="28"/>
        <v>5</v>
      </c>
    </row>
    <row r="9" spans="1:42" s="2" customFormat="1" x14ac:dyDescent="0.2">
      <c r="A9" s="238"/>
      <c r="B9" s="1">
        <v>6</v>
      </c>
      <c r="C9" s="22">
        <f t="shared" ca="1" si="11"/>
        <v>6</v>
      </c>
      <c r="D9" s="13">
        <f t="shared" ca="1" si="12"/>
        <v>15.009</v>
      </c>
      <c r="E9" s="251">
        <f t="shared" ca="1" si="13"/>
        <v>5</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1.0508999999999999</v>
      </c>
      <c r="AA9" s="644">
        <f t="shared" ca="1" si="19"/>
        <v>6</v>
      </c>
      <c r="AB9" s="641" t="str">
        <f t="shared" ca="1" si="8"/>
        <v/>
      </c>
      <c r="AC9" s="642" t="str">
        <f t="shared" ca="1" si="20"/>
        <v/>
      </c>
      <c r="AD9" s="643">
        <f t="shared" ca="1" si="21"/>
        <v>99999</v>
      </c>
      <c r="AE9" s="639">
        <f t="shared" ca="1" si="30"/>
        <v>1.0508999999999999</v>
      </c>
      <c r="AF9" s="639">
        <f t="shared" ca="1" si="22"/>
        <v>6</v>
      </c>
      <c r="AG9" s="641" t="str">
        <f t="shared" ca="1" si="9"/>
        <v/>
      </c>
      <c r="AH9" s="642" t="str">
        <f t="shared" ca="1" si="23"/>
        <v/>
      </c>
      <c r="AI9" s="643">
        <f t="shared" ca="1" si="24"/>
        <v>99999</v>
      </c>
      <c r="AJ9" s="639">
        <f t="shared" ca="1" si="31"/>
        <v>1.0508999999999999</v>
      </c>
      <c r="AK9" s="644">
        <f t="shared" ca="1" si="25"/>
        <v>6</v>
      </c>
      <c r="AL9" s="642" t="str">
        <f t="shared" ca="1" si="10"/>
        <v/>
      </c>
      <c r="AM9" s="642" t="str">
        <f t="shared" ca="1" si="26"/>
        <v/>
      </c>
      <c r="AN9" s="643">
        <f t="shared" ca="1" si="27"/>
        <v>99999</v>
      </c>
      <c r="AO9" s="639">
        <f t="shared" ca="1" si="32"/>
        <v>1.0508999999999999</v>
      </c>
      <c r="AP9" s="644">
        <f t="shared" ca="1" si="28"/>
        <v>6</v>
      </c>
    </row>
    <row r="10" spans="1:42" s="2" customFormat="1" x14ac:dyDescent="0.2">
      <c r="A10" s="238"/>
      <c r="B10" s="1">
        <v>7</v>
      </c>
      <c r="C10" s="22">
        <f t="shared" ca="1" si="11"/>
        <v>7</v>
      </c>
      <c r="D10" s="13">
        <f t="shared" ca="1" si="12"/>
        <v>16.009999999999998</v>
      </c>
      <c r="E10" s="251">
        <f t="shared" ca="1" si="13"/>
        <v>6</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1.0509999999999999</v>
      </c>
      <c r="AA10" s="644">
        <f t="shared" ca="1" si="19"/>
        <v>7</v>
      </c>
      <c r="AB10" s="641" t="str">
        <f t="shared" ca="1" si="8"/>
        <v/>
      </c>
      <c r="AC10" s="642" t="str">
        <f t="shared" ca="1" si="20"/>
        <v/>
      </c>
      <c r="AD10" s="643">
        <f t="shared" ca="1" si="21"/>
        <v>99999</v>
      </c>
      <c r="AE10" s="639">
        <f t="shared" ca="1" si="30"/>
        <v>1.0509999999999999</v>
      </c>
      <c r="AF10" s="639">
        <f t="shared" ca="1" si="22"/>
        <v>7</v>
      </c>
      <c r="AG10" s="641" t="str">
        <f t="shared" ca="1" si="9"/>
        <v/>
      </c>
      <c r="AH10" s="642" t="str">
        <f t="shared" ca="1" si="23"/>
        <v/>
      </c>
      <c r="AI10" s="643">
        <f t="shared" ca="1" si="24"/>
        <v>99999</v>
      </c>
      <c r="AJ10" s="639">
        <f t="shared" ca="1" si="31"/>
        <v>1.0509999999999999</v>
      </c>
      <c r="AK10" s="644">
        <f t="shared" ca="1" si="25"/>
        <v>7</v>
      </c>
      <c r="AL10" s="642" t="str">
        <f t="shared" ca="1" si="10"/>
        <v/>
      </c>
      <c r="AM10" s="642" t="str">
        <f t="shared" ca="1" si="26"/>
        <v/>
      </c>
      <c r="AN10" s="643">
        <f t="shared" ca="1" si="27"/>
        <v>99999</v>
      </c>
      <c r="AO10" s="639">
        <f t="shared" ca="1" si="32"/>
        <v>1.0509999999999999</v>
      </c>
      <c r="AP10" s="644">
        <f t="shared" ca="1" si="28"/>
        <v>7</v>
      </c>
    </row>
    <row r="11" spans="1:42" s="2" customFormat="1" x14ac:dyDescent="0.2">
      <c r="A11" s="238"/>
      <c r="B11" s="1">
        <v>8</v>
      </c>
      <c r="C11" s="22">
        <f t="shared" ca="1" si="11"/>
        <v>8</v>
      </c>
      <c r="D11" s="13">
        <f t="shared" ca="1" si="12"/>
        <v>16.010999999999999</v>
      </c>
      <c r="E11" s="251">
        <f t="shared" ca="1" si="13"/>
        <v>6</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1.0511000000000001</v>
      </c>
      <c r="AA11" s="644">
        <f t="shared" ca="1" si="19"/>
        <v>8</v>
      </c>
      <c r="AB11" s="641" t="str">
        <f t="shared" ca="1" si="8"/>
        <v/>
      </c>
      <c r="AC11" s="642" t="str">
        <f t="shared" ca="1" si="20"/>
        <v/>
      </c>
      <c r="AD11" s="643">
        <f t="shared" ca="1" si="21"/>
        <v>99999</v>
      </c>
      <c r="AE11" s="639">
        <f t="shared" ca="1" si="30"/>
        <v>1.0511000000000001</v>
      </c>
      <c r="AF11" s="639">
        <f t="shared" ca="1" si="22"/>
        <v>8</v>
      </c>
      <c r="AG11" s="641" t="str">
        <f t="shared" ca="1" si="9"/>
        <v/>
      </c>
      <c r="AH11" s="642" t="str">
        <f t="shared" ca="1" si="23"/>
        <v/>
      </c>
      <c r="AI11" s="643">
        <f t="shared" ca="1" si="24"/>
        <v>99999</v>
      </c>
      <c r="AJ11" s="639">
        <f t="shared" ca="1" si="31"/>
        <v>1.0511000000000001</v>
      </c>
      <c r="AK11" s="644">
        <f t="shared" ca="1" si="25"/>
        <v>8</v>
      </c>
      <c r="AL11" s="642" t="str">
        <f t="shared" ca="1" si="10"/>
        <v/>
      </c>
      <c r="AM11" s="642" t="str">
        <f t="shared" ca="1" si="26"/>
        <v/>
      </c>
      <c r="AN11" s="643">
        <f t="shared" ca="1" si="27"/>
        <v>99999</v>
      </c>
      <c r="AO11" s="639">
        <f t="shared" ca="1" si="32"/>
        <v>1.0511000000000001</v>
      </c>
      <c r="AP11" s="644">
        <f t="shared" ca="1" si="28"/>
        <v>8</v>
      </c>
    </row>
    <row r="12" spans="1:42" s="2" customFormat="1" ht="12.75" thickBot="1" x14ac:dyDescent="0.25">
      <c r="A12" s="238"/>
      <c r="B12" s="1">
        <v>9</v>
      </c>
      <c r="C12" s="23">
        <f t="shared" ca="1" si="11"/>
        <v>9</v>
      </c>
      <c r="D12" s="13">
        <f t="shared" ca="1" si="12"/>
        <v>16.012</v>
      </c>
      <c r="E12" s="251">
        <f t="shared" ca="1" si="13"/>
        <v>6</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1.0512000000000001</v>
      </c>
      <c r="AA12" s="648">
        <f t="shared" ca="1" si="19"/>
        <v>9</v>
      </c>
      <c r="AB12" s="645" t="str">
        <f t="shared" ca="1" si="8"/>
        <v/>
      </c>
      <c r="AC12" s="646" t="str">
        <f t="shared" ca="1" si="20"/>
        <v/>
      </c>
      <c r="AD12" s="649">
        <f t="shared" ca="1" si="21"/>
        <v>99999</v>
      </c>
      <c r="AE12" s="647">
        <f t="shared" ca="1" si="30"/>
        <v>1.0512000000000001</v>
      </c>
      <c r="AF12" s="647">
        <f t="shared" ca="1" si="22"/>
        <v>9</v>
      </c>
      <c r="AG12" s="645" t="str">
        <f t="shared" ca="1" si="9"/>
        <v/>
      </c>
      <c r="AH12" s="646" t="str">
        <f t="shared" ca="1" si="23"/>
        <v/>
      </c>
      <c r="AI12" s="649">
        <f t="shared" ca="1" si="24"/>
        <v>99999</v>
      </c>
      <c r="AJ12" s="647">
        <f t="shared" ca="1" si="31"/>
        <v>1.0512000000000001</v>
      </c>
      <c r="AK12" s="648">
        <f t="shared" ca="1" si="25"/>
        <v>9</v>
      </c>
      <c r="AL12" s="646" t="str">
        <f t="shared" ca="1" si="10"/>
        <v/>
      </c>
      <c r="AM12" s="646" t="str">
        <f t="shared" ca="1" si="26"/>
        <v/>
      </c>
      <c r="AN12" s="649">
        <f t="shared" ca="1" si="27"/>
        <v>99999</v>
      </c>
      <c r="AO12" s="647">
        <f t="shared" ca="1" si="32"/>
        <v>1.0512000000000001</v>
      </c>
      <c r="AP12" s="648">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Kickers Rodendorf</v>
      </c>
      <c r="D17" s="1">
        <f t="shared" ref="D17:G25" ca="1" si="33">K4</f>
        <v>4</v>
      </c>
      <c r="E17" s="1">
        <f t="shared" ca="1" si="33"/>
        <v>1</v>
      </c>
      <c r="F17" s="1">
        <f t="shared" ca="1" si="33"/>
        <v>0</v>
      </c>
      <c r="G17" s="1">
        <f t="shared" ca="1" si="33"/>
        <v>3</v>
      </c>
      <c r="H17" s="1">
        <f t="shared" ref="H17:K25" ca="1" si="34">G4</f>
        <v>7</v>
      </c>
      <c r="I17" s="1">
        <f t="shared" ca="1" si="34"/>
        <v>15</v>
      </c>
      <c r="J17" s="13">
        <f t="shared" ca="1" si="34"/>
        <v>-8</v>
      </c>
      <c r="K17" s="1">
        <f t="shared" ca="1" si="34"/>
        <v>3</v>
      </c>
      <c r="L17" s="30">
        <f t="shared" ref="L17:L25" ca="1" si="35">K17*$F$64+(J17+$H$65)*$F$65+H17*$F$66</f>
        <v>3492007</v>
      </c>
      <c r="M17" s="14">
        <f ca="1">IF($AI$15,COUNTIF($K$17:$K$25,K17),COUNTIF($L$17:$L$25,L17))</f>
        <v>1</v>
      </c>
      <c r="N17" s="14">
        <f t="array" aca="1" ref="N17" ca="1">IF($AI$15,SUM(($K$17:$K$25&gt;=K17)/COUNTIF($K$17:$K$25,$K$17:$K$25)),SUM(($L$17:$L$25&gt;=L17)/COUNTIF($L$17:$L$25,$L$17:$L$25)))</f>
        <v>4</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4.0108999999999995</v>
      </c>
      <c r="Y17" s="13">
        <f>Vorrunde!$AI32</f>
        <v>0</v>
      </c>
      <c r="Z17" s="1">
        <f ca="1">RANK($W17,$W$17:$W$25)+(9-$Y17)/10</f>
        <v>1.9</v>
      </c>
      <c r="AA17" s="1">
        <f ca="1">SUM(E30:BP30)</f>
        <v>0</v>
      </c>
      <c r="AB17" s="1">
        <f ca="1">SUM(E41:BP41)</f>
        <v>0</v>
      </c>
      <c r="AC17" s="1">
        <f ca="1">SUM(E52:BP52)</f>
        <v>0</v>
      </c>
      <c r="AD17" s="245">
        <f ca="1">RANK($K17,$K$17:$K$25)</f>
        <v>4</v>
      </c>
      <c r="AE17" s="30">
        <f t="shared" ref="AE17:AE22" ca="1" si="45">(J17+$H$65)*$F$65+H17*$F$66</f>
        <v>492007</v>
      </c>
      <c r="AF17" s="1">
        <f ca="1">RANK($AE17,$AE$17:$AE$25)</f>
        <v>5</v>
      </c>
      <c r="AG17" s="1">
        <f ca="1">RANK($W17,$W$17:$W$25)</f>
        <v>1</v>
      </c>
      <c r="AH17" s="247">
        <f ca="1">AD17+AG17/100+AF17/10000+(10-Y17)/1000000</f>
        <v>4.0105099999999991</v>
      </c>
      <c r="AI17" s="1"/>
    </row>
    <row r="18" spans="2:80" s="2" customFormat="1" x14ac:dyDescent="0.2">
      <c r="C18" s="2" t="str">
        <f t="shared" ref="C18:C25" si="46">$Q65</f>
        <v>Real Madrid</v>
      </c>
      <c r="D18" s="1">
        <f t="shared" ca="1" si="33"/>
        <v>4</v>
      </c>
      <c r="E18" s="1">
        <f t="shared" ca="1" si="33"/>
        <v>3</v>
      </c>
      <c r="F18" s="1">
        <f t="shared" ca="1" si="33"/>
        <v>0</v>
      </c>
      <c r="G18" s="1">
        <f t="shared" ca="1" si="33"/>
        <v>1</v>
      </c>
      <c r="H18" s="1">
        <f t="shared" ca="1" si="34"/>
        <v>13</v>
      </c>
      <c r="I18" s="1">
        <f t="shared" ca="1" si="34"/>
        <v>3</v>
      </c>
      <c r="J18" s="13">
        <f t="shared" ca="1" si="34"/>
        <v>10</v>
      </c>
      <c r="K18" s="1">
        <f t="shared" ca="1" si="34"/>
        <v>9</v>
      </c>
      <c r="L18" s="30">
        <f t="shared" ca="1" si="35"/>
        <v>9510013</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Vorrunde!$AI33</f>
        <v>0</v>
      </c>
      <c r="Z18" s="1">
        <f t="shared" ref="Z18:Z25" ca="1" si="49">RANK($W18,$W$17:$W$25)+(9-$Y18)/10</f>
        <v>1.9</v>
      </c>
      <c r="AA18" s="1">
        <f t="shared" ref="AA18:AA25" ca="1" si="50">SUM(E31:BP31)</f>
        <v>0</v>
      </c>
      <c r="AB18" s="1">
        <f t="shared" ref="AB18:AB25" ca="1" si="51">SUM(E42:BP42)</f>
        <v>0</v>
      </c>
      <c r="AC18" s="1">
        <f t="shared" ref="AC18:AC25" ca="1" si="52">SUM(E53:BP53)</f>
        <v>0</v>
      </c>
      <c r="AD18" s="245">
        <f t="shared" ref="AD18:AD25" ca="1" si="53">RANK($K18,$K$17:$K$25)</f>
        <v>2</v>
      </c>
      <c r="AE18" s="30">
        <f t="shared" ca="1" si="45"/>
        <v>510013</v>
      </c>
      <c r="AF18" s="1">
        <f t="shared" ref="AF18:AF25" ca="1" si="54">RANK($AE18,$AE$17:$AE$25)</f>
        <v>1</v>
      </c>
      <c r="AG18" s="1">
        <f t="shared" ref="AG18:AG25" ca="1" si="55">RANK($W18,$W$17:$W$25)</f>
        <v>1</v>
      </c>
      <c r="AH18" s="248">
        <f t="shared" ref="AH18:AH25" ca="1" si="56">AD18+AG18/100+AF18/10000+(10-Y18)/1000000</f>
        <v>2.0101100000000001</v>
      </c>
      <c r="AI18" s="1"/>
    </row>
    <row r="19" spans="2:80" s="2" customFormat="1" x14ac:dyDescent="0.2">
      <c r="C19" s="2" t="str">
        <f t="shared" si="46"/>
        <v>Borussia Dortmund</v>
      </c>
      <c r="D19" s="1">
        <f t="shared" ca="1" si="33"/>
        <v>4</v>
      </c>
      <c r="E19" s="1">
        <f t="shared" ca="1" si="33"/>
        <v>3</v>
      </c>
      <c r="F19" s="1">
        <f t="shared" ca="1" si="33"/>
        <v>1</v>
      </c>
      <c r="G19" s="1">
        <f t="shared" ca="1" si="33"/>
        <v>0</v>
      </c>
      <c r="H19" s="1">
        <f t="shared" ca="1" si="34"/>
        <v>10</v>
      </c>
      <c r="I19" s="1">
        <f t="shared" ca="1" si="34"/>
        <v>4</v>
      </c>
      <c r="J19" s="13">
        <f t="shared" ca="1" si="34"/>
        <v>6</v>
      </c>
      <c r="K19" s="1">
        <f t="shared" ca="1" si="34"/>
        <v>10</v>
      </c>
      <c r="L19" s="30">
        <f t="shared" ca="1" si="35"/>
        <v>10506010</v>
      </c>
      <c r="M19" s="14">
        <f t="shared" ca="1" si="47"/>
        <v>1</v>
      </c>
      <c r="N19" s="14">
        <f t="array" aca="1" ref="N19" ca="1">IF($AI$15,SUM(($K$17:$K$25&gt;=K19)/COUNTIF($K$17:$K$25,$K$17:$K$25)),SUM(($L$17:$L$25&gt;=L19)/COUNTIF($L$17:$L$25,$L$17:$L$25)))</f>
        <v>1</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1.0108999999999999</v>
      </c>
      <c r="Y19" s="13">
        <f>Vorrunde!$AI34</f>
        <v>0</v>
      </c>
      <c r="Z19" s="1">
        <f t="shared" ca="1" si="49"/>
        <v>1.9</v>
      </c>
      <c r="AA19" s="1">
        <f t="shared" ca="1" si="50"/>
        <v>0</v>
      </c>
      <c r="AB19" s="1">
        <f t="shared" ca="1" si="51"/>
        <v>0</v>
      </c>
      <c r="AC19" s="1">
        <f t="shared" ca="1" si="52"/>
        <v>0</v>
      </c>
      <c r="AD19" s="245">
        <f t="shared" ca="1" si="53"/>
        <v>1</v>
      </c>
      <c r="AE19" s="30">
        <f t="shared" ca="1" si="45"/>
        <v>506010</v>
      </c>
      <c r="AF19" s="1">
        <f t="shared" ca="1" si="54"/>
        <v>2</v>
      </c>
      <c r="AG19" s="1">
        <f t="shared" ca="1" si="55"/>
        <v>1</v>
      </c>
      <c r="AH19" s="248">
        <f t="shared" ca="1" si="56"/>
        <v>1.0102100000000001</v>
      </c>
      <c r="AI19" s="1"/>
    </row>
    <row r="20" spans="2:80" s="2" customFormat="1" x14ac:dyDescent="0.2">
      <c r="C20" s="2" t="str">
        <f t="shared" si="46"/>
        <v>FSV Rauen</v>
      </c>
      <c r="D20" s="1">
        <f t="shared" ca="1" si="33"/>
        <v>4</v>
      </c>
      <c r="E20" s="1">
        <f t="shared" ca="1" si="33"/>
        <v>0</v>
      </c>
      <c r="F20" s="1">
        <f t="shared" ca="1" si="33"/>
        <v>0</v>
      </c>
      <c r="G20" s="1">
        <f t="shared" ca="1" si="33"/>
        <v>4</v>
      </c>
      <c r="H20" s="1">
        <f t="shared" ca="1" si="34"/>
        <v>5</v>
      </c>
      <c r="I20" s="1">
        <f t="shared" ca="1" si="34"/>
        <v>13</v>
      </c>
      <c r="J20" s="13">
        <f t="shared" ca="1" si="34"/>
        <v>-8</v>
      </c>
      <c r="K20" s="1">
        <f t="shared" ca="1" si="34"/>
        <v>0</v>
      </c>
      <c r="L20" s="30">
        <f t="shared" ca="1" si="35"/>
        <v>492005</v>
      </c>
      <c r="M20" s="14">
        <f t="shared" ca="1" si="47"/>
        <v>1</v>
      </c>
      <c r="N20" s="14">
        <f t="array" aca="1" ref="N20" ca="1">IF($AI$15,SUM(($K$17:$K$25&gt;=K20)/COUNTIF($K$17:$K$25,$K$17:$K$25)),SUM(($L$17:$L$25&gt;=L20)/COUNTIF($L$17:$L$25,$L$17:$L$25)))</f>
        <v>6</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9.0108999999999995</v>
      </c>
      <c r="Y20" s="13">
        <f>Vorrunde!$AI35</f>
        <v>0</v>
      </c>
      <c r="Z20" s="1">
        <f t="shared" ca="1" si="49"/>
        <v>1.9</v>
      </c>
      <c r="AA20" s="1">
        <f t="shared" ca="1" si="50"/>
        <v>0</v>
      </c>
      <c r="AB20" s="1">
        <f t="shared" ca="1" si="51"/>
        <v>0</v>
      </c>
      <c r="AC20" s="1">
        <f t="shared" ca="1" si="52"/>
        <v>0</v>
      </c>
      <c r="AD20" s="245">
        <f t="shared" ca="1" si="53"/>
        <v>5</v>
      </c>
      <c r="AE20" s="30">
        <f t="shared" ca="1" si="45"/>
        <v>492005</v>
      </c>
      <c r="AF20" s="1">
        <f t="shared" ca="1" si="54"/>
        <v>6</v>
      </c>
      <c r="AG20" s="1">
        <f t="shared" ca="1" si="55"/>
        <v>1</v>
      </c>
      <c r="AH20" s="248">
        <f t="shared" ca="1" si="56"/>
        <v>5.0106099999999998</v>
      </c>
      <c r="AI20" s="1"/>
    </row>
    <row r="21" spans="2:80" s="2" customFormat="1" x14ac:dyDescent="0.2">
      <c r="C21" s="2" t="str">
        <f t="shared" si="46"/>
        <v>1. FC Nürnberg</v>
      </c>
      <c r="D21" s="1">
        <f t="shared" ca="1" si="33"/>
        <v>4</v>
      </c>
      <c r="E21" s="1">
        <f t="shared" ca="1" si="33"/>
        <v>2</v>
      </c>
      <c r="F21" s="1">
        <f t="shared" ca="1" si="33"/>
        <v>1</v>
      </c>
      <c r="G21" s="1">
        <f t="shared" ca="1" si="33"/>
        <v>1</v>
      </c>
      <c r="H21" s="1">
        <f t="shared" ca="1" si="34"/>
        <v>12</v>
      </c>
      <c r="I21" s="1">
        <f t="shared" ca="1" si="34"/>
        <v>12</v>
      </c>
      <c r="J21" s="13">
        <f t="shared" ca="1" si="34"/>
        <v>0</v>
      </c>
      <c r="K21" s="1">
        <f t="shared" ca="1" si="34"/>
        <v>7</v>
      </c>
      <c r="L21" s="30">
        <f t="shared" ca="1" si="35"/>
        <v>7500012</v>
      </c>
      <c r="M21" s="14">
        <f t="shared" ca="1" si="47"/>
        <v>1</v>
      </c>
      <c r="N21" s="14">
        <f t="array" aca="1" ref="N21" ca="1">IF($AI$15,SUM(($K$17:$K$25&gt;=K21)/COUNTIF($K$17:$K$25,$K$17:$K$25)),SUM(($L$17:$L$25&gt;=L21)/COUNTIF($L$17:$L$25,$L$17:$L$25)))</f>
        <v>3</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3.0108999999999999</v>
      </c>
      <c r="Y21" s="13">
        <f>Vorrunde!$AI36</f>
        <v>0</v>
      </c>
      <c r="Z21" s="1">
        <f t="shared" ca="1" si="49"/>
        <v>1.9</v>
      </c>
      <c r="AA21" s="1">
        <f t="shared" ca="1" si="50"/>
        <v>0</v>
      </c>
      <c r="AB21" s="1">
        <f t="shared" ca="1" si="51"/>
        <v>0</v>
      </c>
      <c r="AC21" s="1">
        <f t="shared" ca="1" si="52"/>
        <v>0</v>
      </c>
      <c r="AD21" s="245">
        <f t="shared" ca="1" si="53"/>
        <v>3</v>
      </c>
      <c r="AE21" s="30">
        <f t="shared" ca="1" si="45"/>
        <v>500012</v>
      </c>
      <c r="AF21" s="1">
        <f t="shared" ca="1" si="54"/>
        <v>3</v>
      </c>
      <c r="AG21" s="1">
        <f t="shared" ca="1" si="55"/>
        <v>1</v>
      </c>
      <c r="AH21" s="248">
        <f t="shared" ca="1" si="56"/>
        <v>3.01031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5</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5.0108999999999995</v>
      </c>
      <c r="Y22" s="13">
        <f>Vorrunde!$AI37</f>
        <v>0</v>
      </c>
      <c r="Z22" s="1">
        <f t="shared" ca="1" si="49"/>
        <v>1.9</v>
      </c>
      <c r="AA22" s="1">
        <f t="shared" ca="1" si="50"/>
        <v>0</v>
      </c>
      <c r="AB22" s="1">
        <f t="shared" ca="1" si="51"/>
        <v>0</v>
      </c>
      <c r="AC22" s="1">
        <f t="shared" ca="1" si="52"/>
        <v>0</v>
      </c>
      <c r="AD22" s="245">
        <f t="shared" ca="1" si="53"/>
        <v>5</v>
      </c>
      <c r="AE22" s="30">
        <f t="shared" ca="1" si="45"/>
        <v>500000</v>
      </c>
      <c r="AF22" s="1">
        <f t="shared" ca="1" si="54"/>
        <v>4</v>
      </c>
      <c r="AG22" s="1">
        <f t="shared" ca="1" si="55"/>
        <v>1</v>
      </c>
      <c r="AH22" s="248">
        <f t="shared" ca="1" si="56"/>
        <v>5.0104099999999994</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5</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5.0709</v>
      </c>
      <c r="Y23" s="13">
        <v>0</v>
      </c>
      <c r="Z23" s="1">
        <f t="shared" ca="1" si="49"/>
        <v>7.9</v>
      </c>
      <c r="AA23" s="1">
        <f t="shared" ca="1" si="50"/>
        <v>0</v>
      </c>
      <c r="AB23" s="1">
        <f t="shared" ca="1" si="51"/>
        <v>0</v>
      </c>
      <c r="AC23" s="1">
        <f t="shared" ca="1" si="52"/>
        <v>0</v>
      </c>
      <c r="AD23" s="245">
        <f t="shared" ca="1" si="53"/>
        <v>5</v>
      </c>
      <c r="AE23" s="30">
        <v>0</v>
      </c>
      <c r="AF23" s="1">
        <f t="shared" ca="1" si="54"/>
        <v>7</v>
      </c>
      <c r="AG23" s="1">
        <f t="shared" ca="1" si="55"/>
        <v>7</v>
      </c>
      <c r="AH23" s="248">
        <f t="shared" ca="1" si="56"/>
        <v>5.0707100000000001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5</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5.0709</v>
      </c>
      <c r="Y24" s="13">
        <v>0</v>
      </c>
      <c r="Z24" s="1">
        <f t="shared" ca="1" si="49"/>
        <v>7.9</v>
      </c>
      <c r="AA24" s="1">
        <f t="shared" ca="1" si="50"/>
        <v>0</v>
      </c>
      <c r="AB24" s="1">
        <f t="shared" ca="1" si="51"/>
        <v>0</v>
      </c>
      <c r="AC24" s="1">
        <f t="shared" ca="1" si="52"/>
        <v>0</v>
      </c>
      <c r="AD24" s="245">
        <f t="shared" ca="1" si="53"/>
        <v>5</v>
      </c>
      <c r="AE24" s="30">
        <v>0</v>
      </c>
      <c r="AF24" s="1">
        <f t="shared" ca="1" si="54"/>
        <v>7</v>
      </c>
      <c r="AG24" s="1">
        <f t="shared" ca="1" si="55"/>
        <v>7</v>
      </c>
      <c r="AH24" s="248">
        <f t="shared" ca="1" si="56"/>
        <v>5.0707100000000001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5</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5.0709</v>
      </c>
      <c r="Y25" s="13">
        <v>0</v>
      </c>
      <c r="Z25" s="1">
        <f t="shared" ca="1" si="49"/>
        <v>7.9</v>
      </c>
      <c r="AA25" s="1">
        <f t="shared" ca="1" si="50"/>
        <v>0</v>
      </c>
      <c r="AB25" s="1">
        <f t="shared" ca="1" si="51"/>
        <v>0</v>
      </c>
      <c r="AC25" s="1">
        <f t="shared" ca="1" si="52"/>
        <v>0</v>
      </c>
      <c r="AD25" s="245">
        <f t="shared" ca="1" si="53"/>
        <v>5</v>
      </c>
      <c r="AE25" s="30">
        <v>0</v>
      </c>
      <c r="AF25" s="1">
        <f t="shared" ca="1" si="54"/>
        <v>7</v>
      </c>
      <c r="AG25" s="1">
        <f t="shared" ca="1" si="55"/>
        <v>7</v>
      </c>
      <c r="AH25" s="249">
        <f t="shared" ca="1" si="56"/>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Kickers Rodendorf</v>
      </c>
      <c r="BT29" s="2" t="str">
        <f>$F$5</f>
        <v>Real Madrid</v>
      </c>
      <c r="BU29" s="2" t="str">
        <f>$F$6</f>
        <v>Borussia Dortmund</v>
      </c>
      <c r="BV29" s="2" t="str">
        <f>$F$7</f>
        <v>FSV Rauen</v>
      </c>
      <c r="BW29" s="2" t="str">
        <f>$F$8</f>
        <v>1. FC Nürnberg</v>
      </c>
      <c r="BX29" s="2" t="str">
        <f>$F$9</f>
        <v/>
      </c>
      <c r="BY29" s="2" t="str">
        <f>$F$10</f>
        <v/>
      </c>
      <c r="BZ29" s="2" t="str">
        <f>$F$11</f>
        <v/>
      </c>
      <c r="CA29" s="2" t="str">
        <f>$F$12</f>
        <v/>
      </c>
      <c r="CB29" s="53"/>
    </row>
    <row r="30" spans="2:80" s="2" customFormat="1" x14ac:dyDescent="0.2">
      <c r="C30" s="2" t="str">
        <f>$Q64</f>
        <v>Kickers Rodendorf</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Kickers Rodendorf</v>
      </c>
      <c r="BS30" s="7"/>
      <c r="BT30" s="8">
        <f t="shared" ref="BT30:CA32" ca="1" si="58">SUMIFS($X$64:$X$135,$V$64:$V$135,$BR30,$W$64:$W$135,BT$29)+SUMIFS($Y$64:$Y$135,$W$64:$W$135,$BR30,$V$64:$V$135,BT$29)</f>
        <v>1</v>
      </c>
      <c r="BU30" s="8">
        <f t="shared" ca="1" si="58"/>
        <v>1</v>
      </c>
      <c r="BV30" s="8">
        <f t="shared" ca="1" si="58"/>
        <v>2</v>
      </c>
      <c r="BW30" s="8">
        <f t="shared" ca="1" si="58"/>
        <v>3</v>
      </c>
      <c r="BX30" s="8">
        <f t="shared" ca="1" si="58"/>
        <v>0</v>
      </c>
      <c r="BY30" s="8">
        <f t="shared" ca="1" si="58"/>
        <v>0</v>
      </c>
      <c r="BZ30" s="8">
        <f t="shared" ca="1" si="58"/>
        <v>0</v>
      </c>
      <c r="CA30" s="8">
        <f t="shared" ca="1" si="58"/>
        <v>0</v>
      </c>
      <c r="CB30" s="4"/>
    </row>
    <row r="31" spans="2:80" s="2" customFormat="1" x14ac:dyDescent="0.2">
      <c r="C31" s="2" t="str">
        <f t="shared" ref="C31:C38" si="59">$Q65</f>
        <v>Real Madrid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Real Madrid</v>
      </c>
      <c r="BS31" s="9">
        <f t="shared" ref="BS31:BU38" ca="1" si="60">SUMIFS($X$64:$X$135,$V$64:$V$135,$BR31,$W$64:$W$135,BS$29)+SUMIFS($Y$64:$Y$135,$W$64:$W$135,$BR31,$V$64:$V$135,BS$29)</f>
        <v>5</v>
      </c>
      <c r="BT31" s="7"/>
      <c r="BU31" s="8">
        <f t="shared" ca="1" si="58"/>
        <v>0</v>
      </c>
      <c r="BV31" s="8">
        <f t="shared" ca="1" si="58"/>
        <v>4</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Borussia Dortmund</v>
      </c>
      <c r="BS32" s="9">
        <f t="shared" ca="1" si="60"/>
        <v>4</v>
      </c>
      <c r="BT32" s="9">
        <f t="shared" ca="1" si="60"/>
        <v>1</v>
      </c>
      <c r="BU32" s="7"/>
      <c r="BV32" s="8">
        <f t="shared" ca="1" si="58"/>
        <v>3</v>
      </c>
      <c r="BW32" s="8">
        <f t="shared" ca="1" si="58"/>
        <v>2</v>
      </c>
      <c r="BX32" s="8">
        <f t="shared" ca="1" si="58"/>
        <v>0</v>
      </c>
      <c r="BY32" s="8">
        <f t="shared" ca="1" si="58"/>
        <v>0</v>
      </c>
      <c r="BZ32" s="8">
        <f t="shared" ca="1" si="58"/>
        <v>0</v>
      </c>
      <c r="CA32" s="8">
        <f t="shared" ca="1" si="58"/>
        <v>0</v>
      </c>
      <c r="CB32" s="4"/>
    </row>
    <row r="33" spans="2:80" s="2" customFormat="1" x14ac:dyDescent="0.2">
      <c r="C33" s="2" t="str">
        <f t="shared" si="59"/>
        <v>FSV Rauen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FSV Rauen</v>
      </c>
      <c r="BS33" s="9">
        <f t="shared" ca="1" si="60"/>
        <v>1</v>
      </c>
      <c r="BT33" s="9">
        <f t="shared" ca="1" si="60"/>
        <v>0</v>
      </c>
      <c r="BU33" s="9">
        <f t="shared" ca="1" si="60"/>
        <v>1</v>
      </c>
      <c r="BV33" s="7"/>
      <c r="BW33" s="8">
        <f ca="1">SUMIFS($X$64:$X$135,$V$64:$V$135,$BR33,$W$64:$W$135,BW$29)+SUMIFS($Y$64:$Y$135,$W$64:$W$135,$BR33,$V$64:$V$135,BW$29)</f>
        <v>3</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1. FC Nürnberg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1. FC Nürnberg</v>
      </c>
      <c r="BS34" s="9">
        <f t="shared" ca="1" si="60"/>
        <v>5</v>
      </c>
      <c r="BT34" s="9">
        <f t="shared" ca="1" si="60"/>
        <v>1</v>
      </c>
      <c r="BU34" s="9">
        <f t="shared" ca="1" si="60"/>
        <v>2</v>
      </c>
      <c r="BV34" s="9">
        <f ca="1">SUMIFS($X$64:$X$135,$V$64:$V$135,$BR34,$W$64:$W$135,BV$29)+SUMIFS($Y$64:$Y$135,$W$64:$W$135,$BR34,$V$64:$V$135,BV$29)</f>
        <v>4</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Kickers Rodendorf</v>
      </c>
      <c r="BT40" s="2" t="str">
        <f>$F$5</f>
        <v>Real Madrid</v>
      </c>
      <c r="BU40" s="2" t="str">
        <f>$F$6</f>
        <v>Borussia Dortmund</v>
      </c>
      <c r="BV40" s="2" t="str">
        <f>$F$7</f>
        <v>FSV Rauen</v>
      </c>
      <c r="BW40" s="2" t="str">
        <f>$F$8</f>
        <v>1. FC Nürnberg</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Kickers Rodendorf</v>
      </c>
      <c r="BS41" s="7"/>
      <c r="BT41" s="8">
        <f ca="1">BT30-BS31</f>
        <v>-4</v>
      </c>
      <c r="BU41" s="8">
        <f ca="1">BU30-BS32</f>
        <v>-3</v>
      </c>
      <c r="BV41" s="8">
        <f ca="1">BV30-BS33</f>
        <v>1</v>
      </c>
      <c r="BW41" s="8">
        <f ca="1">BW30-BS34</f>
        <v>-2</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Real Madrid</v>
      </c>
      <c r="BS42" s="9">
        <f ca="1">IF(BT41="","",-1*BT41)</f>
        <v>4</v>
      </c>
      <c r="BT42" s="7"/>
      <c r="BU42" s="8">
        <f ca="1">BU31-BT32</f>
        <v>-1</v>
      </c>
      <c r="BV42" s="8">
        <f ca="1">BV31-BT33</f>
        <v>4</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Borussia Dortmund</v>
      </c>
      <c r="BS43" s="9">
        <f ca="1">IF(BU41="","",-1*BU41)</f>
        <v>3</v>
      </c>
      <c r="BT43" s="9">
        <f ca="1">IF(BU42="","",-1*BU42)</f>
        <v>1</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FSV Rauen</v>
      </c>
      <c r="BS44" s="9">
        <f ca="1">IF(BV41="","",-1*BV41)</f>
        <v>-1</v>
      </c>
      <c r="BT44" s="9">
        <f ca="1">IF(BV42="","",-1*BV42)</f>
        <v>-4</v>
      </c>
      <c r="BU44" s="9">
        <f ca="1">IF(BV43="","",-1*BV43)</f>
        <v>-2</v>
      </c>
      <c r="BV44" s="7"/>
      <c r="BW44" s="8">
        <f ca="1">BW33-BV34</f>
        <v>-1</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1. FC Nürnberg</v>
      </c>
      <c r="BS45" s="9">
        <f ca="1">IF(BW41="","",-1*BW41)</f>
        <v>2</v>
      </c>
      <c r="BT45" s="9">
        <f ca="1">IF(BW42="","",-1*BW42)</f>
        <v>-3</v>
      </c>
      <c r="BU45" s="9">
        <f ca="1">IF(BW43="","",-1*BW43)</f>
        <v>0</v>
      </c>
      <c r="BV45" s="9">
        <f ca="1">IF(BW44="","",-1*BW44)</f>
        <v>1</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Kickers Rodendorf</v>
      </c>
      <c r="BT51" s="2" t="str">
        <f>$F$5</f>
        <v>Real Madrid</v>
      </c>
      <c r="BU51" s="2" t="str">
        <f>$F$6</f>
        <v>Borussia Dortmund</v>
      </c>
      <c r="BV51" s="2" t="str">
        <f>$F$7</f>
        <v>FSV Rauen</v>
      </c>
      <c r="BW51" s="2" t="str">
        <f>$F$8</f>
        <v>1. FC Nürnberg</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Kickers Rodendorf</v>
      </c>
      <c r="BS52" s="7"/>
      <c r="BT52" s="8">
        <f t="shared" ref="BT52:CA58" ca="1" si="64">SUMIFS($AE$64:$AE$135,$V$64:$V$135,$BR52,$W$64:$W$135,BT$51)+SUMIFS($AF$64:$AF$135,$W$64:$W$135,$BR52,$V$64:$V$135,BT$51)</f>
        <v>0</v>
      </c>
      <c r="BU52" s="8">
        <f t="shared" ca="1" si="64"/>
        <v>0</v>
      </c>
      <c r="BV52" s="8">
        <f t="shared" ca="1" si="64"/>
        <v>3</v>
      </c>
      <c r="BW52" s="8">
        <f t="shared" ca="1" si="64"/>
        <v>0</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Real Madrid</v>
      </c>
      <c r="BS53" s="9">
        <f t="shared" ref="BS53:BU60" ca="1" si="65">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Borussia Dortmund</v>
      </c>
      <c r="BS54" s="9">
        <f t="shared" ca="1" si="65"/>
        <v>3</v>
      </c>
      <c r="BT54" s="9">
        <f t="shared" ca="1" si="65"/>
        <v>3</v>
      </c>
      <c r="BU54" s="7"/>
      <c r="BV54" s="8">
        <f ca="1">SUMIFS($AE$64:$AE$135,$V$64:$V$135,$BR54,$W$64:$W$135,BV$51)+SUMIFS($AF$64:$AF$135,$W$64:$W$135,$BR54,$V$64:$V$135,BV$51)</f>
        <v>3</v>
      </c>
      <c r="BW54" s="8">
        <f ca="1">SUMIFS($AE$64:$AE$135,$V$64:$V$135,$BR54,$W$64:$W$135,BW$51)+SUMIFS($AF$64:$AF$135,$W$64:$W$135,$BR54,$V$64:$V$135,BW$51)</f>
        <v>1</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FSV Rauen</v>
      </c>
      <c r="BS55" s="9">
        <f t="shared" ca="1" si="65"/>
        <v>0</v>
      </c>
      <c r="BT55" s="9">
        <f t="shared" ca="1" si="65"/>
        <v>0</v>
      </c>
      <c r="BU55" s="9">
        <f t="shared" ca="1" si="65"/>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1. FC Nürnberg</v>
      </c>
      <c r="BS56" s="9">
        <f t="shared" ca="1" si="65"/>
        <v>3</v>
      </c>
      <c r="BT56" s="9">
        <f t="shared" ca="1" si="65"/>
        <v>0</v>
      </c>
      <c r="BU56" s="9">
        <f t="shared" ca="1" si="65"/>
        <v>1</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1"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IF(Planung!$C$41="","",Planung!$C$41)</f>
        <v>Kickers Rodendorf</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1" t="str">
        <f ca="1">IF(AA64&gt;0,X64&amp;Sprache!$E$111&amp;Y64,"")</f>
        <v>2:6</v>
      </c>
      <c r="AD64" s="142"/>
      <c r="AE64" s="147">
        <f ca="1">IF($AA64=0,"",IF($X64&gt;$Y64,Einstellungen!$C$4,IF($X64=$Y64,1,0)))</f>
        <v>0</v>
      </c>
      <c r="AF64" s="142">
        <f ca="1">IF($AA64=0,"",IF($X64&lt;$Y64,Einstellungen!$C$4,IF($X64=$Y64,1,0)))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IF(Planung!$C$43="","",Planung!$C$43)</f>
        <v>Real Madrid</v>
      </c>
      <c r="U65" s="67" t="s">
        <v>8</v>
      </c>
      <c r="V65" s="41" t="str">
        <f ca="1">Planung!$L7</f>
        <v>FC Grönlingen</v>
      </c>
      <c r="W65" s="13" t="str">
        <f ca="1">Planung!$N7</f>
        <v>Inter Mailand</v>
      </c>
      <c r="X65" s="13">
        <f ca="1">IF(AND(Vorrunde!$I13&lt;&gt;"",Vorrunde!$K13&lt;&gt;"",Vorrunde!$F13&lt;&gt;Vorrunde!$H13,$V65&lt;&gt;"",$W65&lt;&gt;""),Vorrunde!$I13,"")</f>
        <v>2</v>
      </c>
      <c r="Y65" s="36">
        <f ca="1">IF(AND(Vorrunde!$I13&lt;&gt;"",Vorrunde!$K13&lt;&gt;"",Vorrunde!$F13&lt;&gt;Vorrunde!$H13,$V65&lt;&gt;"",$W65&lt;&gt;""),Vorrunde!$K13,"")</f>
        <v>4</v>
      </c>
      <c r="Z65" s="35" t="str">
        <f t="shared" ref="Z65:Z73" ca="1" si="66">V65&amp;W65</f>
        <v>FC GrönlingenInter Mailand</v>
      </c>
      <c r="AA65" s="13">
        <f t="shared" ref="AA65:AA128" ca="1" si="67">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IF(Planung!$C$45="","",Planung!$C$45)</f>
        <v>Borussia Dortmund</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66"/>
        <v>1. FC NürnbergReal Madrid</v>
      </c>
      <c r="AA66" s="13">
        <f t="shared" ca="1" si="67"/>
        <v>1</v>
      </c>
      <c r="AB66" s="13" t="str">
        <f ca="1">IF(AA66&gt;0,X66&amp;Sprache!$E$111&amp;Y66,"")</f>
        <v>1:4</v>
      </c>
      <c r="AD66" s="143"/>
      <c r="AE66" s="148">
        <f ca="1">IF($AA66=0,"",IF($X66&gt;$Y66,Einstellungen!$C$4,IF($X66=$Y66,1,0)))</f>
        <v>0</v>
      </c>
      <c r="AF66" s="143">
        <f ca="1">IF($AA66=0,"",IF($X66&lt;$Y66,Einstellungen!$C$4,IF($X66=$Y66,1,0)))</f>
        <v>3</v>
      </c>
      <c r="AH66" s="4"/>
      <c r="AI66" s="13"/>
      <c r="AJ66" s="4"/>
      <c r="AK66" s="13"/>
      <c r="AL66" s="13"/>
      <c r="AM66" s="13"/>
      <c r="AN66" s="13"/>
      <c r="AO66" s="13"/>
      <c r="AP66" s="13"/>
      <c r="AQ66" s="13"/>
    </row>
    <row r="67" spans="2:43" s="2" customFormat="1" x14ac:dyDescent="0.2">
      <c r="P67" s="47" t="s">
        <v>10</v>
      </c>
      <c r="Q67" s="62" t="str">
        <f>IF(Planung!$C$47="","",Planung!$C$47)</f>
        <v>FSV Rauen</v>
      </c>
      <c r="U67" s="67" t="s">
        <v>10</v>
      </c>
      <c r="V67" s="41" t="str">
        <f ca="1">Planung!$L9</f>
        <v>SV Oberredenburg</v>
      </c>
      <c r="W67" s="13" t="str">
        <f ca="1">Planung!$N9</f>
        <v>Paris St. Germain</v>
      </c>
      <c r="X67" s="13">
        <f ca="1">IF(AND(Vorrunde!$I15&lt;&gt;"",Vorrunde!$K15&lt;&gt;"",Vorrunde!$F15&lt;&gt;Vorrunde!$H15,$V67&lt;&gt;"",$W67&lt;&gt;""),Vorrunde!$I15,"")</f>
        <v>2</v>
      </c>
      <c r="Y67" s="36">
        <f ca="1">IF(AND(Vorrunde!$I15&lt;&gt;"",Vorrunde!$K15&lt;&gt;"",Vorrunde!$F15&lt;&gt;Vorrunde!$H15,$V67&lt;&gt;"",$W67&lt;&gt;""),Vorrunde!$K15,"")</f>
        <v>5</v>
      </c>
      <c r="Z67" s="35" t="str">
        <f t="shared" ca="1" si="66"/>
        <v>SV OberredenburgParis St. Germain</v>
      </c>
      <c r="AA67" s="13">
        <f t="shared" ca="1" si="67"/>
        <v>1</v>
      </c>
      <c r="AB67" s="13" t="str">
        <f ca="1">IF(AA67&gt;0,X67&amp;Sprache!$E$111&amp;Y67,"")</f>
        <v>2:5</v>
      </c>
      <c r="AD67" s="143"/>
      <c r="AE67" s="148">
        <f ca="1">IF($AA67=0,"",IF($X67&gt;$Y67,Einstellungen!$C$4,IF($X67=$Y67,1,0)))</f>
        <v>0</v>
      </c>
      <c r="AF67" s="143">
        <f ca="1">IF($AA67=0,"",IF($X67&lt;$Y67,Einstellungen!$C$4,IF($X67=$Y67,1,0)))</f>
        <v>3</v>
      </c>
      <c r="AH67" s="4"/>
      <c r="AI67" s="13"/>
      <c r="AJ67" s="13"/>
      <c r="AK67" s="4"/>
      <c r="AL67" s="13"/>
      <c r="AM67" s="13"/>
      <c r="AN67" s="13"/>
      <c r="AO67" s="13"/>
      <c r="AP67" s="13"/>
      <c r="AQ67" s="13"/>
    </row>
    <row r="68" spans="2:43" s="2" customFormat="1" x14ac:dyDescent="0.2">
      <c r="P68" s="47" t="s">
        <v>11</v>
      </c>
      <c r="Q68" s="62" t="str">
        <f>IF(Planung!$C$49="","",Planung!$C$49)</f>
        <v>1. FC Nürnberg</v>
      </c>
      <c r="U68" s="67" t="s">
        <v>11</v>
      </c>
      <c r="V68" s="41" t="str">
        <f ca="1">Planung!$L10</f>
        <v>Eintracht Frankfurt</v>
      </c>
      <c r="W68" s="13" t="str">
        <f ca="1">Planung!$N10</f>
        <v>Maibach 1822 eV</v>
      </c>
      <c r="X68" s="13">
        <f ca="1">IF(AND(Vorrunde!$I16&lt;&gt;"",Vorrunde!$K16&lt;&gt;"",Vorrunde!$F16&lt;&gt;Vorrunde!$H16,$V68&lt;&gt;"",$W68&lt;&gt;""),Vorrunde!$I16,"")</f>
        <v>3</v>
      </c>
      <c r="Y68" s="36">
        <f ca="1">IF(AND(Vorrunde!$I16&lt;&gt;"",Vorrunde!$K16&lt;&gt;"",Vorrunde!$F16&lt;&gt;Vorrunde!$H16,$V68&lt;&gt;"",$W68&lt;&gt;""),Vorrunde!$K16,"")</f>
        <v>2</v>
      </c>
      <c r="Z68" s="35" t="str">
        <f t="shared" ca="1" si="66"/>
        <v>Eintracht FrankfurtMaibach 1822 eV</v>
      </c>
      <c r="AA68" s="13">
        <f t="shared" ca="1" si="67"/>
        <v>1</v>
      </c>
      <c r="AB68" s="13" t="str">
        <f ca="1">IF(AA68&gt;0,X68&amp;Sprache!$E$111&amp;Y68,"")</f>
        <v>3:2</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t="s">
        <v>12</v>
      </c>
      <c r="Q69" s="62" t="str">
        <f>IF(Planung!$C$51="","",Planung!$C$51)</f>
        <v/>
      </c>
      <c r="U69" s="67" t="s">
        <v>12</v>
      </c>
      <c r="V69" s="41" t="str">
        <f ca="1">Planung!$L11</f>
        <v>SSV Wildbach</v>
      </c>
      <c r="W69" s="13" t="str">
        <f ca="1">Planung!$N11</f>
        <v>Manchester City</v>
      </c>
      <c r="X69" s="13">
        <f ca="1">IF(AND(Vorrunde!$I17&lt;&gt;"",Vorrunde!$K17&lt;&gt;"",Vorrunde!$F17&lt;&gt;Vorrunde!$H17,$V69&lt;&gt;"",$W69&lt;&gt;""),Vorrunde!$I17,"")</f>
        <v>0</v>
      </c>
      <c r="Y69" s="36">
        <f ca="1">IF(AND(Vorrunde!$I17&lt;&gt;"",Vorrunde!$K17&lt;&gt;"",Vorrunde!$F17&lt;&gt;Vorrunde!$H17,$V69&lt;&gt;"",$W69&lt;&gt;""),Vorrunde!$K17,"")</f>
        <v>5</v>
      </c>
      <c r="Z69" s="35" t="str">
        <f t="shared" ca="1" si="66"/>
        <v>SSV WildbachManchester City</v>
      </c>
      <c r="AA69" s="13">
        <f t="shared" ca="1" si="67"/>
        <v>1</v>
      </c>
      <c r="AB69" s="13" t="str">
        <f ca="1">IF(AA69&gt;0,X69&amp;Sprache!$E$111&amp;Y69,"")</f>
        <v>0:5</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Planung!$L12</f>
        <v>Borussia Dortmund</v>
      </c>
      <c r="W70" s="13" t="str">
        <f ca="1">Planung!$N12</f>
        <v>FSV Rauen</v>
      </c>
      <c r="X70" s="13">
        <f ca="1">IF(AND(Vorrunde!$I18&lt;&gt;"",Vorrunde!$K18&lt;&gt;"",Vorrunde!$F18&lt;&gt;Vorrunde!$H18,$V70&lt;&gt;"",$W70&lt;&gt;""),Vorrunde!$I18,"")</f>
        <v>3</v>
      </c>
      <c r="Y70" s="36">
        <f ca="1">IF(AND(Vorrunde!$I18&lt;&gt;"",Vorrunde!$K18&lt;&gt;"",Vorrunde!$F18&lt;&gt;Vorrunde!$H18,$V70&lt;&gt;"",$W70&lt;&gt;""),Vorrunde!$K18,"")</f>
        <v>1</v>
      </c>
      <c r="Z70" s="35" t="str">
        <f t="shared" ca="1" si="66"/>
        <v>Borussia DortmundFSV Rauen</v>
      </c>
      <c r="AA70" s="13">
        <f t="shared" ca="1" si="67"/>
        <v>1</v>
      </c>
      <c r="AB70" s="13" t="str">
        <f ca="1">IF(AA70&gt;0,X70&amp;Sprache!$E$111&amp;Y70,"")</f>
        <v>3:1</v>
      </c>
      <c r="AD70" s="143"/>
      <c r="AE70" s="148">
        <f ca="1">IF($AA70=0,"",IF($X70&gt;$Y70,Einstellungen!$C$4,IF($X70=$Y70,1,0)))</f>
        <v>3</v>
      </c>
      <c r="AF70" s="143">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HSV</v>
      </c>
      <c r="W71" s="13" t="str">
        <f ca="1">Planung!$N13</f>
        <v>RB Leipzig</v>
      </c>
      <c r="X71" s="13">
        <f ca="1">IF(AND(Vorrunde!$I19&lt;&gt;"",Vorrunde!$K19&lt;&gt;"",Vorrunde!$F19&lt;&gt;Vorrunde!$H19,$V71&lt;&gt;"",$W71&lt;&gt;""),Vorrunde!$I19,"")</f>
        <v>2</v>
      </c>
      <c r="Y71" s="36">
        <f ca="1">IF(AND(Vorrunde!$I19&lt;&gt;"",Vorrunde!$K19&lt;&gt;"",Vorrunde!$F19&lt;&gt;Vorrunde!$H19,$V71&lt;&gt;"",$W71&lt;&gt;""),Vorrunde!$K19,"")</f>
        <v>2</v>
      </c>
      <c r="Z71" s="35" t="str">
        <f t="shared" ca="1" si="66"/>
        <v>HSVRB Leipzig</v>
      </c>
      <c r="AA71" s="13">
        <f t="shared" ca="1" si="67"/>
        <v>1</v>
      </c>
      <c r="AB71" s="13" t="str">
        <f ca="1">IF(AA71&gt;0,X71&amp;Sprache!$E$111&amp;Y71,"")</f>
        <v>2:2</v>
      </c>
      <c r="AD71" s="143"/>
      <c r="AE71" s="148">
        <f ca="1">IF($AA71=0,"",IF($X71&gt;$Y71,Einstellungen!$C$4,IF($X71=$Y71,1,0)))</f>
        <v>1</v>
      </c>
      <c r="AF71" s="143">
        <f ca="1">IF($AA71=0,"",IF($X71&lt;$Y71,Einstellungen!$C$4,IF($X71=$Y71,1,0)))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VFB Essenheim</v>
      </c>
      <c r="W72" s="13" t="str">
        <f ca="1">Planung!$N14</f>
        <v>1. FC Riedwald</v>
      </c>
      <c r="X72" s="13">
        <f ca="1">IF(AND(Vorrunde!$I20&lt;&gt;"",Vorrunde!$K20&lt;&gt;"",Vorrunde!$F20&lt;&gt;Vorrunde!$H20,$V72&lt;&gt;"",$W72&lt;&gt;""),Vorrunde!$I20,"")</f>
        <v>1</v>
      </c>
      <c r="Y72" s="36">
        <f ca="1">IF(AND(Vorrunde!$I20&lt;&gt;"",Vorrunde!$K20&lt;&gt;"",Vorrunde!$F20&lt;&gt;Vorrunde!$H20,$V72&lt;&gt;"",$W72&lt;&gt;""),Vorrunde!$K20,"")</f>
        <v>5</v>
      </c>
      <c r="Z72" s="35" t="str">
        <f t="shared" ca="1" si="66"/>
        <v>VFB Essenheim1. FC Riedwald</v>
      </c>
      <c r="AA72" s="13">
        <f t="shared" ca="1" si="67"/>
        <v>1</v>
      </c>
      <c r="AB72" s="13" t="str">
        <f ca="1">IF(AA72&gt;0,X72&amp;Sprache!$E$111&amp;Y72,"")</f>
        <v>1:5</v>
      </c>
      <c r="AD72" s="143"/>
      <c r="AE72" s="148">
        <f ca="1">IF($AA72=0,"",IF($X72&gt;$Y72,Einstellungen!$C$4,IF($X72=$Y72,1,0)))</f>
        <v>0</v>
      </c>
      <c r="AF72" s="143">
        <f ca="1">IF($AA72=0,"",IF($X72&lt;$Y72,Einstellungen!$C$4,IF($X72=$Y72,1,0)))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Grönlingen</v>
      </c>
      <c r="W73" s="13" t="str">
        <f ca="1">Planung!$N15</f>
        <v>Mainz 05</v>
      </c>
      <c r="X73" s="13">
        <f ca="1">IF(AND(Vorrunde!$I21&lt;&gt;"",Vorrunde!$K21&lt;&gt;"",Vorrunde!$F21&lt;&gt;Vorrunde!$H21,$V73&lt;&gt;"",$W73&lt;&gt;""),Vorrunde!$I21,"")</f>
        <v>0</v>
      </c>
      <c r="Y73" s="36">
        <f ca="1">IF(AND(Vorrunde!$I21&lt;&gt;"",Vorrunde!$K21&lt;&gt;"",Vorrunde!$F21&lt;&gt;Vorrunde!$H21,$V73&lt;&gt;"",$W73&lt;&gt;""),Vorrunde!$K21,"")</f>
        <v>1</v>
      </c>
      <c r="Z73" s="35" t="str">
        <f t="shared" ca="1" si="66"/>
        <v>FC GrönlingenMainz 05</v>
      </c>
      <c r="AA73" s="13">
        <f t="shared" ca="1" si="67"/>
        <v>1</v>
      </c>
      <c r="AB73" s="13" t="str">
        <f ca="1">IF(AA73&gt;0,X73&amp;Sprache!$E$111&amp;Y73,"")</f>
        <v>0:1</v>
      </c>
      <c r="AD73" s="143"/>
      <c r="AE73" s="148">
        <f ca="1">IF($AA73=0,"",IF($X73&gt;$Y73,Einstellungen!$C$4,IF($X73=$Y73,1,0)))</f>
        <v>0</v>
      </c>
      <c r="AF73" s="143">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1. FC Nürnberg</v>
      </c>
      <c r="W74" s="13" t="str">
        <f ca="1">Planung!$N16</f>
        <v>Kickers Rodendorf</v>
      </c>
      <c r="X74" s="13">
        <f ca="1">IF(AND(Vorrunde!$I22&lt;&gt;"",Vorrunde!$K22&lt;&gt;"",Vorrunde!$F22&lt;&gt;Vorrunde!$H22,$V74&lt;&gt;"",$W74&lt;&gt;""),Vorrunde!$I22,"")</f>
        <v>5</v>
      </c>
      <c r="Y74" s="36">
        <f ca="1">IF(AND(Vorrunde!$I22&lt;&gt;"",Vorrunde!$K22&lt;&gt;"",Vorrunde!$F22&lt;&gt;Vorrunde!$H22,$V74&lt;&gt;"",$W74&lt;&gt;""),Vorrunde!$K22,"")</f>
        <v>3</v>
      </c>
      <c r="Z74" s="35" t="str">
        <f ca="1">V74&amp;W74</f>
        <v>1. FC NürnbergKickers Rodendorf</v>
      </c>
      <c r="AA74" s="13">
        <f t="shared" ca="1" si="67"/>
        <v>1</v>
      </c>
      <c r="AB74" s="13" t="str">
        <f ca="1">IF(AA74&gt;0,X74&amp;Sprache!$E$111&amp;Y74,"")</f>
        <v>5:3</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SV Oberredenburg</v>
      </c>
      <c r="W75" s="13" t="str">
        <f ca="1">Planung!$N17</f>
        <v>TSG Saalberg eV</v>
      </c>
      <c r="X75" s="13">
        <f ca="1">IF(AND(Vorrunde!$I23&lt;&gt;"",Vorrunde!$K23&lt;&gt;"",Vorrunde!$F23&lt;&gt;Vorrunde!$H23,$V75&lt;&gt;"",$W75&lt;&gt;""),Vorrunde!$I23,"")</f>
        <v>3</v>
      </c>
      <c r="Y75" s="36">
        <f ca="1">IF(AND(Vorrunde!$I23&lt;&gt;"",Vorrunde!$K23&lt;&gt;"",Vorrunde!$F23&lt;&gt;Vorrunde!$H23,$V75&lt;&gt;"",$W75&lt;&gt;""),Vorrunde!$K23,"")</f>
        <v>2</v>
      </c>
      <c r="Z75" s="35" t="str">
        <f t="shared" ref="Z75:Z93" ca="1" si="68">V75&amp;W75</f>
        <v>SV OberredenburgTSG Saalberg eV</v>
      </c>
      <c r="AA75" s="13">
        <f t="shared" ca="1" si="67"/>
        <v>1</v>
      </c>
      <c r="AB75" s="13" t="str">
        <f ca="1">IF(AA75&gt;0,X75&amp;Sprache!$E$111&amp;Y75,"")</f>
        <v>3:2</v>
      </c>
      <c r="AD75" s="143"/>
      <c r="AE75" s="148">
        <f ca="1">IF($AA75=0,"",IF($X75&gt;$Y75,Einstellungen!$C$4,IF($X75=$Y75,1,0)))</f>
        <v>3</v>
      </c>
      <c r="AF75" s="143">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Eintracht Frankfurt</v>
      </c>
      <c r="X76" s="13">
        <f ca="1">IF(AND(Vorrunde!$I24&lt;&gt;"",Vorrunde!$K24&lt;&gt;"",Vorrunde!$F24&lt;&gt;Vorrunde!$H24,$V76&lt;&gt;"",$W76&lt;&gt;""),Vorrunde!$I24,"")</f>
        <v>2</v>
      </c>
      <c r="Y76" s="36">
        <f ca="1">IF(AND(Vorrunde!$I24&lt;&gt;"",Vorrunde!$K24&lt;&gt;"",Vorrunde!$F24&lt;&gt;Vorrunde!$H24,$V76&lt;&gt;"",$W76&lt;&gt;""),Vorrunde!$K24,"")</f>
        <v>0</v>
      </c>
      <c r="Z76" s="35" t="str">
        <f t="shared" ca="1" si="68"/>
        <v>FC BarcelonaEintracht Frankfurt</v>
      </c>
      <c r="AA76" s="13">
        <f t="shared" ca="1" si="67"/>
        <v>1</v>
      </c>
      <c r="AB76" s="13" t="str">
        <f ca="1">IF(AA76&gt;0,X76&amp;Sprache!$E$111&amp;Y76,"")</f>
        <v>2:0</v>
      </c>
      <c r="AD76" s="143"/>
      <c r="AE76" s="148">
        <f ca="1">IF($AA76=0,"",IF($X76&gt;$Y76,Einstellungen!$C$4,IF($X76=$Y76,1,0)))</f>
        <v>3</v>
      </c>
      <c r="AF76" s="143">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SSV Wildbach</v>
      </c>
      <c r="X77" s="13">
        <f ca="1">IF(AND(Vorrunde!$I25&lt;&gt;"",Vorrunde!$K25&lt;&gt;"",Vorrunde!$F25&lt;&gt;Vorrunde!$H25,$V77&lt;&gt;"",$W77&lt;&gt;""),Vorrunde!$I25,"")</f>
        <v>4</v>
      </c>
      <c r="Y77" s="36">
        <f ca="1">IF(AND(Vorrunde!$I25&lt;&gt;"",Vorrunde!$K25&lt;&gt;"",Vorrunde!$F25&lt;&gt;Vorrunde!$H25,$V77&lt;&gt;"",$W77&lt;&gt;""),Vorrunde!$K25,"")</f>
        <v>0</v>
      </c>
      <c r="Z77" s="35" t="str">
        <f t="shared" ca="1" si="68"/>
        <v>Inter MailandSSV Wildbach</v>
      </c>
      <c r="AA77" s="13">
        <f t="shared" ca="1" si="67"/>
        <v>1</v>
      </c>
      <c r="AB77" s="13" t="str">
        <f ca="1">IF(AA77&gt;0,X77&amp;Sprache!$E$111&amp;Y77,"")</f>
        <v>4:0</v>
      </c>
      <c r="AD77" s="143"/>
      <c r="AE77" s="148">
        <f ca="1">IF($AA77=0,"",IF($X77&gt;$Y77,Einstellungen!$C$4,IF($X77=$Y77,1,0)))</f>
        <v>3</v>
      </c>
      <c r="AF77" s="143">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Planung!$L20</f>
        <v>Real Madrid</v>
      </c>
      <c r="W78" s="13" t="str">
        <f ca="1">Planung!$N20</f>
        <v>Borussia Dortmund</v>
      </c>
      <c r="X78" s="13">
        <f ca="1">IF(AND(Vorrunde!$I26&lt;&gt;"",Vorrunde!$K26&lt;&gt;"",Vorrunde!$F26&lt;&gt;Vorrunde!$H26,$V78&lt;&gt;"",$W78&lt;&gt;""),Vorrunde!$I26,"")</f>
        <v>0</v>
      </c>
      <c r="Y78" s="36">
        <f ca="1">IF(AND(Vorrunde!$I26&lt;&gt;"",Vorrunde!$K26&lt;&gt;"",Vorrunde!$F26&lt;&gt;Vorrunde!$H26,$V78&lt;&gt;"",$W78&lt;&gt;""),Vorrunde!$K26,"")</f>
        <v>1</v>
      </c>
      <c r="Z78" s="35" t="str">
        <f t="shared" ca="1" si="68"/>
        <v>Real MadridBorussia Dortmund</v>
      </c>
      <c r="AA78" s="13">
        <f t="shared" ca="1" si="67"/>
        <v>1</v>
      </c>
      <c r="AB78" s="13" t="str">
        <f ca="1">IF(AA78&gt;0,X78&amp;Sprache!$E$111&amp;Y78,"")</f>
        <v>0:1</v>
      </c>
      <c r="AD78" s="143"/>
      <c r="AE78" s="148">
        <f ca="1">IF($AA78=0,"",IF($X78&gt;$Y78,Einstellungen!$C$4,IF($X78=$Y78,1,0)))</f>
        <v>0</v>
      </c>
      <c r="AF78" s="143">
        <f ca="1">IF($AA78=0,"",IF($X78&lt;$Y78,Einstellungen!$C$4,IF($X78=$Y78,1,0)))</f>
        <v>3</v>
      </c>
    </row>
    <row r="79" spans="2:43" s="2" customFormat="1" x14ac:dyDescent="0.2">
      <c r="B79" s="4"/>
      <c r="C79" s="4"/>
      <c r="D79" s="4"/>
      <c r="E79" s="4"/>
      <c r="F79" s="13"/>
      <c r="G79" s="13"/>
      <c r="H79" s="13"/>
      <c r="I79" s="13"/>
      <c r="J79" s="13"/>
      <c r="K79" s="13"/>
      <c r="L79" s="13"/>
      <c r="M79" s="13"/>
      <c r="U79" s="67" t="s">
        <v>31</v>
      </c>
      <c r="V79" s="41" t="str">
        <f ca="1">Planung!$L21</f>
        <v>Paris St. Germain</v>
      </c>
      <c r="W79" s="13" t="str">
        <f ca="1">Planung!$N21</f>
        <v>HSV</v>
      </c>
      <c r="X79" s="13">
        <f ca="1">IF(AND(Vorrunde!$I27&lt;&gt;"",Vorrunde!$K27&lt;&gt;"",Vorrunde!$F27&lt;&gt;Vorrunde!$H27,$V79&lt;&gt;"",$W79&lt;&gt;""),Vorrunde!$I27,"")</f>
        <v>3</v>
      </c>
      <c r="Y79" s="36">
        <f ca="1">IF(AND(Vorrunde!$I27&lt;&gt;"",Vorrunde!$K27&lt;&gt;"",Vorrunde!$F27&lt;&gt;Vorrunde!$H27,$V79&lt;&gt;"",$W79&lt;&gt;""),Vorrunde!$K27,"")</f>
        <v>2</v>
      </c>
      <c r="Z79" s="35" t="str">
        <f t="shared" ca="1" si="68"/>
        <v>Paris St. GermainHSV</v>
      </c>
      <c r="AA79" s="13">
        <f t="shared" ca="1" si="67"/>
        <v>1</v>
      </c>
      <c r="AB79" s="13" t="str">
        <f ca="1">IF(AA79&gt;0,X79&amp;Sprache!$E$111&amp;Y79,"")</f>
        <v>3:2</v>
      </c>
      <c r="AD79" s="143"/>
      <c r="AE79" s="148">
        <f ca="1">IF($AA79=0,"",IF($X79&gt;$Y79,Einstellungen!$C$4,IF($X79=$Y79,1,0)))</f>
        <v>3</v>
      </c>
      <c r="AF79" s="143">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1. FC Riedwald</v>
      </c>
      <c r="W80" s="13" t="str">
        <f ca="1">Planung!$N22</f>
        <v>Maibach 1822 eV</v>
      </c>
      <c r="X80" s="13">
        <f ca="1">IF(AND(Vorrunde!$I28&lt;&gt;"",Vorrunde!$K28&lt;&gt;"",Vorrunde!$F28&lt;&gt;Vorrunde!$H28,$V80&lt;&gt;"",$W80&lt;&gt;""),Vorrunde!$I28,"")</f>
        <v>2</v>
      </c>
      <c r="Y80" s="36">
        <f ca="1">IF(AND(Vorrunde!$I28&lt;&gt;"",Vorrunde!$K28&lt;&gt;"",Vorrunde!$F28&lt;&gt;Vorrunde!$H28,$V80&lt;&gt;"",$W80&lt;&gt;""),Vorrunde!$K28,"")</f>
        <v>2</v>
      </c>
      <c r="Z80" s="35" t="str">
        <f t="shared" ca="1" si="68"/>
        <v>1. FC RiedwaldMaibach 1822 eV</v>
      </c>
      <c r="AA80" s="13">
        <f t="shared" ca="1" si="67"/>
        <v>1</v>
      </c>
      <c r="AB80" s="13" t="str">
        <f ca="1">IF(AA80&gt;0,X80&amp;Sprache!$E$111&amp;Y80,"")</f>
        <v>2:2</v>
      </c>
      <c r="AD80" s="143"/>
      <c r="AE80" s="148">
        <f ca="1">IF($AA80=0,"",IF($X80&gt;$Y80,Einstellungen!$C$4,IF($X80=$Y80,1,0)))</f>
        <v>1</v>
      </c>
      <c r="AF80" s="143">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Mainz 05</v>
      </c>
      <c r="W81" s="13" t="str">
        <f ca="1">Planung!$N23</f>
        <v>Manchester City</v>
      </c>
      <c r="X81" s="13">
        <f ca="1">IF(AND(Vorrunde!$I29&lt;&gt;"",Vorrunde!$K29&lt;&gt;"",Vorrunde!$F29&lt;&gt;Vorrunde!$H29,$V81&lt;&gt;"",$W81&lt;&gt;""),Vorrunde!$I29,"")</f>
        <v>0</v>
      </c>
      <c r="Y81" s="36">
        <f ca="1">IF(AND(Vorrunde!$I29&lt;&gt;"",Vorrunde!$K29&lt;&gt;"",Vorrunde!$F29&lt;&gt;Vorrunde!$H29,$V81&lt;&gt;"",$W81&lt;&gt;""),Vorrunde!$K29,"")</f>
        <v>1</v>
      </c>
      <c r="Z81" s="35" t="str">
        <f t="shared" ca="1" si="68"/>
        <v>Mainz 05Manchester City</v>
      </c>
      <c r="AA81" s="13">
        <f t="shared" ca="1" si="67"/>
        <v>1</v>
      </c>
      <c r="AB81" s="13" t="str">
        <f ca="1">IF(AA81&gt;0,X81&amp;Sprache!$E$111&amp;Y81,"")</f>
        <v>0:1</v>
      </c>
      <c r="AD81" s="143"/>
      <c r="AE81" s="148">
        <f ca="1">IF($AA81=0,"",IF($X81&gt;$Y81,Einstellungen!$C$4,IF($X81=$Y81,1,0)))</f>
        <v>0</v>
      </c>
      <c r="AF81" s="143">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Planung!$L24</f>
        <v>Kickers Rodendorf</v>
      </c>
      <c r="W82" s="13" t="str">
        <f ca="1">Planung!$N24</f>
        <v>FSV Rauen</v>
      </c>
      <c r="X82" s="13">
        <f ca="1">IF(AND(Vorrunde!$I30&lt;&gt;"",Vorrunde!$K30&lt;&gt;"",Vorrunde!$F30&lt;&gt;Vorrunde!$H30,$V82&lt;&gt;"",$W82&lt;&gt;""),Vorrunde!$I30,"")</f>
        <v>2</v>
      </c>
      <c r="Y82" s="36">
        <f ca="1">IF(AND(Vorrunde!$I30&lt;&gt;"",Vorrunde!$K30&lt;&gt;"",Vorrunde!$F30&lt;&gt;Vorrunde!$H30,$V82&lt;&gt;"",$W82&lt;&gt;""),Vorrunde!$K30,"")</f>
        <v>1</v>
      </c>
      <c r="Z82" s="35" t="str">
        <f t="shared" ca="1" si="68"/>
        <v>Kickers RodendorfFSV Rauen</v>
      </c>
      <c r="AA82" s="13">
        <f t="shared" ca="1" si="67"/>
        <v>1</v>
      </c>
      <c r="AB82" s="13" t="str">
        <f ca="1">IF(AA82&gt;0,X82&amp;Sprache!$E$111&amp;Y82,"")</f>
        <v>2:1</v>
      </c>
      <c r="AD82" s="143"/>
      <c r="AE82" s="148">
        <f ca="1">IF($AA82=0,"",IF($X82&gt;$Y82,Einstellungen!$C$4,IF($X82=$Y82,1,0)))</f>
        <v>3</v>
      </c>
      <c r="AF82" s="143">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TSG Saalberg eV</v>
      </c>
      <c r="W83" s="13" t="str">
        <f ca="1">Planung!$N25</f>
        <v>RB Leipzig</v>
      </c>
      <c r="X83" s="13">
        <f ca="1">IF(AND(Vorrunde!$I31&lt;&gt;"",Vorrunde!$K31&lt;&gt;"",Vorrunde!$F31&lt;&gt;Vorrunde!$H31,$V83&lt;&gt;"",$W83&lt;&gt;""),Vorrunde!$I31,"")</f>
        <v>1</v>
      </c>
      <c r="Y83" s="36">
        <f ca="1">IF(AND(Vorrunde!$I31&lt;&gt;"",Vorrunde!$K31&lt;&gt;"",Vorrunde!$F31&lt;&gt;Vorrunde!$H31,$V83&lt;&gt;"",$W83&lt;&gt;""),Vorrunde!$K31,"")</f>
        <v>4</v>
      </c>
      <c r="Z83" s="35" t="str">
        <f t="shared" ca="1" si="68"/>
        <v>TSG Saalberg eVRB Leipzig</v>
      </c>
      <c r="AA83" s="13">
        <f t="shared" ca="1" si="67"/>
        <v>1</v>
      </c>
      <c r="AB83" s="13" t="str">
        <f ca="1">IF(AA83&gt;0,X83&amp;Sprache!$E$111&amp;Y83,"")</f>
        <v>1:4</v>
      </c>
      <c r="AD83" s="143"/>
      <c r="AE83" s="148">
        <f ca="1">IF($AA83=0,"",IF($X83&gt;$Y83,Einstellungen!$C$4,IF($X83=$Y83,1,0)))</f>
        <v>0</v>
      </c>
      <c r="AF83" s="143">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Eintracht Frankfurt</v>
      </c>
      <c r="W84" s="13" t="str">
        <f ca="1">Planung!$N26</f>
        <v>VFB Essenheim</v>
      </c>
      <c r="X84" s="13">
        <f ca="1">IF(AND(Vorrunde!$I32&lt;&gt;"",Vorrunde!$K32&lt;&gt;"",Vorrunde!$F32&lt;&gt;Vorrunde!$H32,$V84&lt;&gt;"",$W84&lt;&gt;""),Vorrunde!$I32,"")</f>
        <v>3</v>
      </c>
      <c r="Y84" s="36">
        <f ca="1">IF(AND(Vorrunde!$I32&lt;&gt;"",Vorrunde!$K32&lt;&gt;"",Vorrunde!$F32&lt;&gt;Vorrunde!$H32,$V84&lt;&gt;"",$W84&lt;&gt;""),Vorrunde!$K32,"")</f>
        <v>2</v>
      </c>
      <c r="Z84" s="35" t="str">
        <f t="shared" ca="1" si="68"/>
        <v>Eintracht FrankfurtVFB Essenheim</v>
      </c>
      <c r="AA84" s="13">
        <f t="shared" ca="1" si="67"/>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SSV Wildbach</v>
      </c>
      <c r="W85" s="13" t="str">
        <f ca="1">Planung!$N27</f>
        <v>FC Grönlingen</v>
      </c>
      <c r="X85" s="13">
        <f ca="1">IF(AND(Vorrunde!$I33&lt;&gt;"",Vorrunde!$K33&lt;&gt;"",Vorrunde!$F33&lt;&gt;Vorrunde!$H33,$V85&lt;&gt;"",$W85&lt;&gt;""),Vorrunde!$I33,"")</f>
        <v>1</v>
      </c>
      <c r="Y85" s="36">
        <f ca="1">IF(AND(Vorrunde!$I33&lt;&gt;"",Vorrunde!$K33&lt;&gt;"",Vorrunde!$F33&lt;&gt;Vorrunde!$H33,$V85&lt;&gt;"",$W85&lt;&gt;""),Vorrunde!$K33,"")</f>
        <v>4</v>
      </c>
      <c r="Z85" s="35" t="str">
        <f t="shared" ca="1" si="68"/>
        <v>SSV WildbachFC Grönlingen</v>
      </c>
      <c r="AA85" s="13">
        <f t="shared" ca="1" si="67"/>
        <v>1</v>
      </c>
      <c r="AB85" s="13" t="str">
        <f ca="1">IF(AA85&gt;0,X85&amp;Sprache!$E$111&amp;Y85,"")</f>
        <v>1:4</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Planung!$L28</f>
        <v>Borussia Dortmund</v>
      </c>
      <c r="W86" s="13" t="str">
        <f ca="1">Planung!$N28</f>
        <v>1. FC Nürnberg</v>
      </c>
      <c r="X86" s="13">
        <f ca="1">IF(AND(Vorrunde!$I34&lt;&gt;"",Vorrunde!$K34&lt;&gt;"",Vorrunde!$F34&lt;&gt;Vorrunde!$H34,$V86&lt;&gt;"",$W86&lt;&gt;""),Vorrunde!$I34,"")</f>
        <v>2</v>
      </c>
      <c r="Y86" s="36">
        <f ca="1">IF(AND(Vorrunde!$I34&lt;&gt;"",Vorrunde!$K34&lt;&gt;"",Vorrunde!$F34&lt;&gt;Vorrunde!$H34,$V86&lt;&gt;"",$W86&lt;&gt;""),Vorrunde!$K34,"")</f>
        <v>2</v>
      </c>
      <c r="Z86" s="35" t="str">
        <f t="shared" ca="1" si="68"/>
        <v>Borussia Dortmund1. FC Nürnberg</v>
      </c>
      <c r="AA86" s="13">
        <f t="shared" ca="1" si="67"/>
        <v>1</v>
      </c>
      <c r="AB86" s="13" t="str">
        <f ca="1">IF(AA86&gt;0,X86&amp;Sprache!$E$111&amp;Y86,"")</f>
        <v>2:2</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Planung!$L29</f>
        <v>HSV</v>
      </c>
      <c r="W87" s="13" t="str">
        <f ca="1">Planung!$N29</f>
        <v>SV Oberredenburg</v>
      </c>
      <c r="X87" s="13">
        <f ca="1">IF(AND(Vorrunde!$I35&lt;&gt;"",Vorrunde!$K35&lt;&gt;"",Vorrunde!$F35&lt;&gt;Vorrunde!$H35,$V87&lt;&gt;"",$W87&lt;&gt;""),Vorrunde!$I35,"")</f>
        <v>1</v>
      </c>
      <c r="Y87" s="36">
        <f ca="1">IF(AND(Vorrunde!$I35&lt;&gt;"",Vorrunde!$K35&lt;&gt;"",Vorrunde!$F35&lt;&gt;Vorrunde!$H35,$V87&lt;&gt;"",$W87&lt;&gt;""),Vorrunde!$K35,"")</f>
        <v>0</v>
      </c>
      <c r="Z87" s="35" t="str">
        <f t="shared" ca="1" si="68"/>
        <v>HSVSV Oberredenburg</v>
      </c>
      <c r="AA87" s="13">
        <f t="shared" ca="1" si="67"/>
        <v>1</v>
      </c>
      <c r="AB87" s="13" t="str">
        <f ca="1">IF(AA87&gt;0,X87&amp;Sprache!$E$111&amp;Y87,"")</f>
        <v>1:0</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FC Barcelona</v>
      </c>
      <c r="W88" s="13" t="str">
        <f ca="1">Planung!$N30</f>
        <v>Maibach 1822 eV</v>
      </c>
      <c r="X88" s="13">
        <f ca="1">IF(AND(Vorrunde!$I36&lt;&gt;"",Vorrunde!$K36&lt;&gt;"",Vorrunde!$F36&lt;&gt;Vorrunde!$H36,$V88&lt;&gt;"",$W88&lt;&gt;""),Vorrunde!$I36,"")</f>
        <v>3</v>
      </c>
      <c r="Y88" s="36">
        <f ca="1">IF(AND(Vorrunde!$I36&lt;&gt;"",Vorrunde!$K36&lt;&gt;"",Vorrunde!$F36&lt;&gt;Vorrunde!$H36,$V88&lt;&gt;"",$W88&lt;&gt;""),Vorrunde!$K36,"")</f>
        <v>1</v>
      </c>
      <c r="Z88" s="35" t="str">
        <f t="shared" ca="1" si="68"/>
        <v>FC BarcelonaMaibach 1822 eV</v>
      </c>
      <c r="AA88" s="13">
        <f t="shared" ca="1" si="67"/>
        <v>1</v>
      </c>
      <c r="AB88" s="13" t="str">
        <f ca="1">IF(AA88&gt;0,X88&amp;Sprache!$E$111&amp;Y88,"")</f>
        <v>3:1</v>
      </c>
      <c r="AD88" s="143"/>
      <c r="AE88" s="148">
        <f ca="1">IF($AA88=0,"",IF($X88&gt;$Y88,Einstellungen!$C$4,IF($X88=$Y88,1,0)))</f>
        <v>3</v>
      </c>
      <c r="AF88" s="143">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Inter Mailand</v>
      </c>
      <c r="W89" s="13" t="str">
        <f ca="1">Planung!$N31</f>
        <v>Manchester City</v>
      </c>
      <c r="X89" s="13">
        <f ca="1">IF(AND(Vorrunde!$I37&lt;&gt;"",Vorrunde!$K37&lt;&gt;"",Vorrunde!$F37&lt;&gt;Vorrunde!$H37,$V89&lt;&gt;"",$W89&lt;&gt;""),Vorrunde!$I37,"")</f>
        <v>2</v>
      </c>
      <c r="Y89" s="36">
        <f ca="1">IF(AND(Vorrunde!$I37&lt;&gt;"",Vorrunde!$K37&lt;&gt;"",Vorrunde!$F37&lt;&gt;Vorrunde!$H37,$V89&lt;&gt;"",$W89&lt;&gt;""),Vorrunde!$K37,"")</f>
        <v>2</v>
      </c>
      <c r="Z89" s="35" t="str">
        <f t="shared" ca="1" si="68"/>
        <v>Inter MailandManchester City</v>
      </c>
      <c r="AA89" s="13">
        <f t="shared" ca="1" si="67"/>
        <v>1</v>
      </c>
      <c r="AB89" s="13" t="str">
        <f ca="1">IF(AA89&gt;0,X89&amp;Sprache!$E$111&amp;Y89,"")</f>
        <v>2:2</v>
      </c>
      <c r="AD89" s="143"/>
      <c r="AE89" s="148">
        <f ca="1">IF($AA89=0,"",IF($X89&gt;$Y89,Einstellungen!$C$4,IF($X89=$Y89,1,0)))</f>
        <v>1</v>
      </c>
      <c r="AF89" s="143">
        <f ca="1">IF($AA89=0,"",IF($X89&lt;$Y89,Einstellungen!$C$4,IF($X89=$Y89,1,0)))</f>
        <v>1</v>
      </c>
    </row>
    <row r="90" spans="2:32" s="2" customFormat="1" x14ac:dyDescent="0.2">
      <c r="B90" s="4"/>
      <c r="C90" s="4"/>
      <c r="D90" s="4"/>
      <c r="E90" s="4"/>
      <c r="F90" s="13"/>
      <c r="G90" s="13"/>
      <c r="H90" s="13"/>
      <c r="I90" s="13"/>
      <c r="J90" s="13"/>
      <c r="K90" s="13"/>
      <c r="L90" s="13"/>
      <c r="M90" s="13"/>
      <c r="U90" s="67" t="s">
        <v>42</v>
      </c>
      <c r="V90" s="41" t="str">
        <f ca="1">Planung!$L32</f>
        <v>Real Madrid</v>
      </c>
      <c r="W90" s="13" t="str">
        <f ca="1">Planung!$N32</f>
        <v>FSV Rauen</v>
      </c>
      <c r="X90" s="13">
        <f ca="1">IF(AND(Vorrunde!$I38&lt;&gt;"",Vorrunde!$K38&lt;&gt;"",Vorrunde!$F38&lt;&gt;Vorrunde!$H38,$V90&lt;&gt;"",$W90&lt;&gt;""),Vorrunde!$I38,"")</f>
        <v>4</v>
      </c>
      <c r="Y90" s="36">
        <f ca="1">IF(AND(Vorrunde!$I38&lt;&gt;"",Vorrunde!$K38&lt;&gt;"",Vorrunde!$F38&lt;&gt;Vorrunde!$H38,$V90&lt;&gt;"",$W90&lt;&gt;""),Vorrunde!$K38,"")</f>
        <v>0</v>
      </c>
      <c r="Z90" s="35" t="str">
        <f t="shared" ca="1" si="68"/>
        <v>Real MadridFSV Rauen</v>
      </c>
      <c r="AA90" s="13">
        <f t="shared" ca="1" si="67"/>
        <v>1</v>
      </c>
      <c r="AB90" s="13" t="str">
        <f ca="1">IF(AA90&gt;0,X90&amp;Sprache!$E$111&amp;Y90,"")</f>
        <v>4:0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Planung!$L33</f>
        <v>Paris St. Germain</v>
      </c>
      <c r="W91" s="13" t="str">
        <f ca="1">Planung!$N33</f>
        <v>RB Leipzig</v>
      </c>
      <c r="X91" s="13">
        <f ca="1">IF(AND(Vorrunde!$I39&lt;&gt;"",Vorrunde!$K39&lt;&gt;"",Vorrunde!$F39&lt;&gt;Vorrunde!$H39,$V91&lt;&gt;"",$W91&lt;&gt;""),Vorrunde!$I39,"")</f>
        <v>3</v>
      </c>
      <c r="Y91" s="36">
        <f ca="1">IF(AND(Vorrunde!$I39&lt;&gt;"",Vorrunde!$K39&lt;&gt;"",Vorrunde!$F39&lt;&gt;Vorrunde!$H39,$V91&lt;&gt;"",$W91&lt;&gt;""),Vorrunde!$K39,"")</f>
        <v>1</v>
      </c>
      <c r="Z91" s="35" t="str">
        <f t="shared" ca="1" si="68"/>
        <v>Paris St. GermainRB Leipzig</v>
      </c>
      <c r="AA91" s="13">
        <f t="shared" ca="1" si="67"/>
        <v>1</v>
      </c>
      <c r="AB91" s="13" t="str">
        <f ca="1">IF(AA91&gt;0,X91&amp;Sprache!$E$111&amp;Y91,"")</f>
        <v>3:1</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Planung!$L34</f>
        <v>Eintracht Frankfurt</v>
      </c>
      <c r="W92" s="13" t="str">
        <f ca="1">Planung!$N34</f>
        <v>1. FC Riedwald</v>
      </c>
      <c r="X92" s="13">
        <f ca="1">IF(AND(Vorrunde!$I40&lt;&gt;"",Vorrunde!$K40&lt;&gt;"",Vorrunde!$F40&lt;&gt;Vorrunde!$H40,$V92&lt;&gt;"",$W92&lt;&gt;""),Vorrunde!$I40,"")</f>
        <v>6</v>
      </c>
      <c r="Y92" s="36">
        <f ca="1">IF(AND(Vorrunde!$I40&lt;&gt;"",Vorrunde!$K40&lt;&gt;"",Vorrunde!$F40&lt;&gt;Vorrunde!$H40,$V92&lt;&gt;"",$W92&lt;&gt;""),Vorrunde!$K40,"")</f>
        <v>2</v>
      </c>
      <c r="Z92" s="35" t="str">
        <f t="shared" ca="1" si="68"/>
        <v>Eintracht Frankfurt1. FC Riedwald</v>
      </c>
      <c r="AA92" s="13">
        <f t="shared" ca="1" si="67"/>
        <v>1</v>
      </c>
      <c r="AB92" s="13" t="str">
        <f ca="1">IF(AA92&gt;0,X92&amp;Sprache!$E$111&amp;Y92,"")</f>
        <v>6:2</v>
      </c>
      <c r="AD92" s="143"/>
      <c r="AE92" s="148">
        <f ca="1">IF($AA92=0,"",IF($X92&gt;$Y92,Einstellungen!$C$4,IF($X92=$Y92,1,0)))</f>
        <v>3</v>
      </c>
      <c r="AF92" s="143">
        <f ca="1">IF($AA92=0,"",IF($X92&lt;$Y92,Einstellungen!$C$4,IF($X92=$Y92,1,0)))</f>
        <v>0</v>
      </c>
    </row>
    <row r="93" spans="2:32" s="2" customFormat="1" x14ac:dyDescent="0.2">
      <c r="B93" s="4"/>
      <c r="C93" s="4"/>
      <c r="D93" s="4"/>
      <c r="E93" s="4"/>
      <c r="F93" s="13"/>
      <c r="G93" s="13"/>
      <c r="H93" s="13"/>
      <c r="I93" s="13"/>
      <c r="J93" s="13"/>
      <c r="K93" s="13"/>
      <c r="L93" s="13"/>
      <c r="M93" s="13"/>
      <c r="U93" s="67" t="s">
        <v>45</v>
      </c>
      <c r="V93" s="41" t="str">
        <f ca="1">Planung!$L35</f>
        <v>SSV Wildbach</v>
      </c>
      <c r="W93" s="13" t="str">
        <f ca="1">Planung!$N35</f>
        <v>Mainz 05</v>
      </c>
      <c r="X93" s="13">
        <f ca="1">IF(AND(Vorrunde!$I41&lt;&gt;"",Vorrunde!$K41&lt;&gt;"",Vorrunde!$F41&lt;&gt;Vorrunde!$H41,$V93&lt;&gt;"",$W93&lt;&gt;""),Vorrunde!$I41,"")</f>
        <v>2</v>
      </c>
      <c r="Y93" s="36">
        <f ca="1">IF(AND(Vorrunde!$I41&lt;&gt;"",Vorrunde!$K41&lt;&gt;"",Vorrunde!$F41&lt;&gt;Vorrunde!$H41,$V93&lt;&gt;"",$W93&lt;&gt;""),Vorrunde!$K41,"")</f>
        <v>2</v>
      </c>
      <c r="Z93" s="35" t="str">
        <f t="shared" ca="1" si="68"/>
        <v>SSV WildbachMainz 05</v>
      </c>
      <c r="AA93" s="13">
        <f t="shared" ca="1" si="67"/>
        <v>1</v>
      </c>
      <c r="AB93" s="13" t="str">
        <f ca="1">IF(AA93&gt;0,X93&amp;Sprache!$E$111&amp;Y93,"")</f>
        <v>2:2</v>
      </c>
      <c r="AD93" s="143"/>
      <c r="AE93" s="148">
        <f ca="1">IF($AA93=0,"",IF($X93&gt;$Y93,Einstellungen!$C$4,IF($X93=$Y93,1,0)))</f>
        <v>1</v>
      </c>
      <c r="AF93" s="143">
        <f ca="1">IF($AA93=0,"",IF($X93&lt;$Y93,Einstellungen!$C$4,IF($X93=$Y93,1,0)))</f>
        <v>1</v>
      </c>
    </row>
    <row r="94" spans="2:32" s="2" customFormat="1" x14ac:dyDescent="0.2">
      <c r="B94" s="4"/>
      <c r="C94" s="4"/>
      <c r="D94" s="4"/>
      <c r="E94" s="4"/>
      <c r="F94" s="13"/>
      <c r="G94" s="13"/>
      <c r="H94" s="13"/>
      <c r="I94" s="13"/>
      <c r="J94" s="13"/>
      <c r="K94" s="13"/>
      <c r="L94" s="13"/>
      <c r="M94" s="13"/>
      <c r="U94" s="67" t="s">
        <v>46</v>
      </c>
      <c r="V94" s="41" t="str">
        <f ca="1">Planung!$L36</f>
        <v>Borussia Dortmund</v>
      </c>
      <c r="W94" s="13" t="str">
        <f ca="1">Planung!$N36</f>
        <v>Kickers Rodendorf</v>
      </c>
      <c r="X94" s="13">
        <f ca="1">IF(AND(Vorrunde!$I42&lt;&gt;"",Vorrunde!$K42&lt;&gt;"",Vorrunde!$F42&lt;&gt;Vorrunde!$H42,$V94&lt;&gt;"",$W94&lt;&gt;""),Vorrunde!$I42,"")</f>
        <v>4</v>
      </c>
      <c r="Y94" s="36">
        <f ca="1">IF(AND(Vorrunde!$I42&lt;&gt;"",Vorrunde!$K42&lt;&gt;"",Vorrunde!$F42&lt;&gt;Vorrunde!$H42,$V94&lt;&gt;"",$W94&lt;&gt;""),Vorrunde!$K42,"")</f>
        <v>1</v>
      </c>
      <c r="Z94" s="35" t="str">
        <f t="shared" ref="Z94:Z123" ca="1" si="69">V94&amp;W94</f>
        <v>Borussia DortmundKickers Rodendorf</v>
      </c>
      <c r="AA94" s="13">
        <f t="shared" ref="AA94:AA124" ca="1" si="70">IF(AND(V94&lt;&gt;"",W94&lt;&gt;"",V94&lt;&gt;W94,X94&lt;&gt;"",Y94&lt;&gt;""),1,0)</f>
        <v>1</v>
      </c>
      <c r="AB94" s="13" t="str">
        <f ca="1">IF(AA94&gt;0,X94&amp;Sprache!$E$111&amp;Y94,"")</f>
        <v>4:1</v>
      </c>
      <c r="AD94" s="143"/>
      <c r="AE94" s="148">
        <f ca="1">IF($AA94=0,"",IF($X94&gt;$Y94,Einstellungen!$C$4,IF($X94=$Y94,1,0)))</f>
        <v>3</v>
      </c>
      <c r="AF94" s="143">
        <f ca="1">IF($AA94=0,"",IF($X94&lt;$Y94,Einstellungen!$C$4,IF($X94=$Y94,1,0)))</f>
        <v>0</v>
      </c>
    </row>
    <row r="95" spans="2:32" s="2" customFormat="1" x14ac:dyDescent="0.2">
      <c r="B95" s="4"/>
      <c r="C95" s="4"/>
      <c r="D95" s="4"/>
      <c r="E95" s="4"/>
      <c r="F95" s="13"/>
      <c r="G95" s="13"/>
      <c r="H95" s="13"/>
      <c r="I95" s="13"/>
      <c r="J95" s="13"/>
      <c r="K95" s="13"/>
      <c r="L95" s="13"/>
      <c r="M95" s="13"/>
      <c r="U95" s="67" t="s">
        <v>47</v>
      </c>
      <c r="V95" s="41" t="str">
        <f ca="1">Planung!$L37</f>
        <v>HSV</v>
      </c>
      <c r="W95" s="13" t="str">
        <f ca="1">Planung!$N37</f>
        <v>TSG Saalberg eV</v>
      </c>
      <c r="X95" s="13">
        <f ca="1">IF(AND(Vorrunde!$I43&lt;&gt;"",Vorrunde!$K43&lt;&gt;"",Vorrunde!$F43&lt;&gt;Vorrunde!$H43,$V95&lt;&gt;"",$W95&lt;&gt;""),Vorrunde!$I43,"")</f>
        <v>3</v>
      </c>
      <c r="Y95" s="36">
        <f ca="1">IF(AND(Vorrunde!$I43&lt;&gt;"",Vorrunde!$K43&lt;&gt;"",Vorrunde!$F43&lt;&gt;Vorrunde!$H43,$V95&lt;&gt;"",$W95&lt;&gt;""),Vorrunde!$K43,"")</f>
        <v>2</v>
      </c>
      <c r="Z95" s="35" t="str">
        <f t="shared" ca="1" si="69"/>
        <v>HSVTSG Saalberg eV</v>
      </c>
      <c r="AA95" s="13">
        <f t="shared" ca="1" si="70"/>
        <v>1</v>
      </c>
      <c r="AB95" s="13" t="str">
        <f ca="1">IF(AA95&gt;0,X95&amp;Sprache!$E$111&amp;Y95,"")</f>
        <v>3:2</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Planung!$L38</f>
        <v>Maibach 1822 eV</v>
      </c>
      <c r="W96" s="13" t="str">
        <f ca="1">Planung!$N38</f>
        <v>VFB Essenheim</v>
      </c>
      <c r="X96" s="13">
        <f ca="1">IF(AND(Vorrunde!$I44&lt;&gt;"",Vorrunde!$K44&lt;&gt;"",Vorrunde!$F44&lt;&gt;Vorrunde!$H44,$V96&lt;&gt;"",$W96&lt;&gt;""),Vorrunde!$I44,"")</f>
        <v>3</v>
      </c>
      <c r="Y96" s="36">
        <f ca="1">IF(AND(Vorrunde!$I44&lt;&gt;"",Vorrunde!$K44&lt;&gt;"",Vorrunde!$F44&lt;&gt;Vorrunde!$H44,$V96&lt;&gt;"",$W96&lt;&gt;""),Vorrunde!$K44,"")</f>
        <v>5</v>
      </c>
      <c r="Z96" s="35" t="str">
        <f t="shared" ca="1" si="69"/>
        <v>Maibach 1822 eVVFB Essenheim</v>
      </c>
      <c r="AA96" s="13">
        <f t="shared" ca="1" si="70"/>
        <v>1</v>
      </c>
      <c r="AB96" s="13" t="str">
        <f ca="1">IF(AA96&gt;0,X96&amp;Sprache!$E$111&amp;Y96,"")</f>
        <v>3:5</v>
      </c>
      <c r="AD96" s="143"/>
      <c r="AE96" s="148">
        <f ca="1">IF($AA96=0,"",IF($X96&gt;$Y96,Einstellungen!$C$4,IF($X96=$Y96,1,0)))</f>
        <v>0</v>
      </c>
      <c r="AF96" s="143">
        <f ca="1">IF($AA96=0,"",IF($X96&lt;$Y96,Einstellungen!$C$4,IF($X96=$Y96,1,0)))</f>
        <v>3</v>
      </c>
    </row>
    <row r="97" spans="2:32" s="2" customFormat="1" x14ac:dyDescent="0.2">
      <c r="B97" s="4"/>
      <c r="C97" s="4"/>
      <c r="D97" s="4"/>
      <c r="E97" s="4"/>
      <c r="F97" s="13"/>
      <c r="G97" s="13"/>
      <c r="H97" s="13"/>
      <c r="I97" s="13"/>
      <c r="J97" s="13"/>
      <c r="K97" s="13"/>
      <c r="L97" s="13"/>
      <c r="M97" s="13"/>
      <c r="U97" s="67" t="s">
        <v>49</v>
      </c>
      <c r="V97" s="41" t="str">
        <f ca="1">Planung!$L39</f>
        <v>Manchester City</v>
      </c>
      <c r="W97" s="13" t="str">
        <f ca="1">Planung!$N39</f>
        <v>FC Grönlingen</v>
      </c>
      <c r="X97" s="13">
        <f ca="1">IF(AND(Vorrunde!$I45&lt;&gt;"",Vorrunde!$K45&lt;&gt;"",Vorrunde!$F45&lt;&gt;Vorrunde!$H45,$V97&lt;&gt;"",$W97&lt;&gt;""),Vorrunde!$I45,"")</f>
        <v>4</v>
      </c>
      <c r="Y97" s="36">
        <f ca="1">IF(AND(Vorrunde!$I45&lt;&gt;"",Vorrunde!$K45&lt;&gt;"",Vorrunde!$F45&lt;&gt;Vorrunde!$H45,$V97&lt;&gt;"",$W97&lt;&gt;""),Vorrunde!$K45,"")</f>
        <v>2</v>
      </c>
      <c r="Z97" s="35" t="str">
        <f t="shared" ca="1" si="69"/>
        <v>Manchester CityFC Grönlingen</v>
      </c>
      <c r="AA97" s="13">
        <f t="shared" ca="1" si="70"/>
        <v>1</v>
      </c>
      <c r="AB97" s="13" t="str">
        <f ca="1">IF(AA97&gt;0,X97&amp;Sprache!$E$111&amp;Y97,"")</f>
        <v>4:2</v>
      </c>
      <c r="AD97" s="143"/>
      <c r="AE97" s="148">
        <f ca="1">IF($AA97=0,"",IF($X97&gt;$Y97,Einstellungen!$C$4,IF($X97=$Y97,1,0)))</f>
        <v>3</v>
      </c>
      <c r="AF97" s="143">
        <f ca="1">IF($AA97=0,"",IF($X97&lt;$Y97,Einstellungen!$C$4,IF($X97=$Y97,1,0)))</f>
        <v>0</v>
      </c>
    </row>
    <row r="98" spans="2:32" s="2" customFormat="1" x14ac:dyDescent="0.2">
      <c r="B98" s="4"/>
      <c r="C98" s="4"/>
      <c r="D98" s="4"/>
      <c r="E98" s="4"/>
      <c r="F98" s="13"/>
      <c r="G98" s="13"/>
      <c r="H98" s="13"/>
      <c r="I98" s="13"/>
      <c r="J98" s="13"/>
      <c r="K98" s="13"/>
      <c r="L98" s="13"/>
      <c r="M98" s="13"/>
      <c r="U98" s="67" t="s">
        <v>50</v>
      </c>
      <c r="V98" s="41" t="str">
        <f ca="1">Planung!$L40</f>
        <v>FSV Rauen</v>
      </c>
      <c r="W98" s="13" t="str">
        <f ca="1">Planung!$N40</f>
        <v>1. FC Nürnberg</v>
      </c>
      <c r="X98" s="13">
        <f ca="1">IF(AND(Vorrunde!$I46&lt;&gt;"",Vorrunde!$K46&lt;&gt;"",Vorrunde!$F46&lt;&gt;Vorrunde!$H46,$V98&lt;&gt;"",$W98&lt;&gt;""),Vorrunde!$I46,"")</f>
        <v>3</v>
      </c>
      <c r="Y98" s="36">
        <f ca="1">IF(AND(Vorrunde!$I46&lt;&gt;"",Vorrunde!$K46&lt;&gt;"",Vorrunde!$F46&lt;&gt;Vorrunde!$H46,$V98&lt;&gt;"",$W98&lt;&gt;""),Vorrunde!$K46,"")</f>
        <v>4</v>
      </c>
      <c r="Z98" s="35" t="str">
        <f t="shared" ca="1" si="69"/>
        <v>FSV Rauen1. FC Nürnberg</v>
      </c>
      <c r="AA98" s="13">
        <f t="shared" ca="1" si="70"/>
        <v>1</v>
      </c>
      <c r="AB98" s="13" t="str">
        <f ca="1">IF(AA98&gt;0,X98&amp;Sprache!$E$111&amp;Y98,"")</f>
        <v>3:4</v>
      </c>
      <c r="AD98" s="143"/>
      <c r="AE98" s="148">
        <f ca="1">IF($AA98=0,"",IF($X98&gt;$Y98,Einstellungen!$C$4,IF($X98=$Y98,1,0)))</f>
        <v>0</v>
      </c>
      <c r="AF98" s="143">
        <f ca="1">IF($AA98=0,"",IF($X98&lt;$Y98,Einstellungen!$C$4,IF($X98=$Y98,1,0)))</f>
        <v>3</v>
      </c>
    </row>
    <row r="99" spans="2:32" s="2" customFormat="1" x14ac:dyDescent="0.2">
      <c r="B99" s="4"/>
      <c r="C99" s="4"/>
      <c r="D99" s="4"/>
      <c r="E99" s="4"/>
      <c r="F99" s="13"/>
      <c r="G99" s="13"/>
      <c r="H99" s="13"/>
      <c r="I99" s="13"/>
      <c r="J99" s="13"/>
      <c r="K99" s="13"/>
      <c r="L99" s="13"/>
      <c r="M99" s="13"/>
      <c r="U99" s="67" t="s">
        <v>51</v>
      </c>
      <c r="V99" s="41" t="str">
        <f ca="1">Planung!$L41</f>
        <v>RB Leipzig</v>
      </c>
      <c r="W99" s="13" t="str">
        <f ca="1">Planung!$N41</f>
        <v>SV Oberredenburg</v>
      </c>
      <c r="X99" s="13">
        <f ca="1">IF(AND(Vorrunde!$I47&lt;&gt;"",Vorrunde!$K47&lt;&gt;"",Vorrunde!$F47&lt;&gt;Vorrunde!$H47,$V99&lt;&gt;"",$W99&lt;&gt;""),Vorrunde!$I47,"")</f>
        <v>3</v>
      </c>
      <c r="Y99" s="36">
        <f ca="1">IF(AND(Vorrunde!$I47&lt;&gt;"",Vorrunde!$K47&lt;&gt;"",Vorrunde!$F47&lt;&gt;Vorrunde!$H47,$V99&lt;&gt;"",$W99&lt;&gt;""),Vorrunde!$K47,"")</f>
        <v>0</v>
      </c>
      <c r="Z99" s="35" t="str">
        <f t="shared" ca="1" si="69"/>
        <v>RB LeipzigSV Oberredenburg</v>
      </c>
      <c r="AA99" s="13">
        <f t="shared" ca="1" si="70"/>
        <v>1</v>
      </c>
      <c r="AB99" s="13" t="str">
        <f ca="1">IF(AA99&gt;0,X99&amp;Sprache!$E$111&amp;Y99,"")</f>
        <v>3:0</v>
      </c>
      <c r="AD99" s="143"/>
      <c r="AE99" s="148">
        <f ca="1">IF($AA99=0,"",IF($X99&gt;$Y99,Einstellungen!$C$4,IF($X99=$Y99,1,0)))</f>
        <v>3</v>
      </c>
      <c r="AF99" s="143">
        <f ca="1">IF($AA99=0,"",IF($X99&lt;$Y99,Einstellungen!$C$4,IF($X99=$Y99,1,0)))</f>
        <v>0</v>
      </c>
    </row>
    <row r="100" spans="2:32" s="2" customFormat="1" x14ac:dyDescent="0.2">
      <c r="B100" s="4"/>
      <c r="C100" s="4"/>
      <c r="D100" s="4"/>
      <c r="E100" s="4"/>
      <c r="F100" s="13"/>
      <c r="G100" s="13"/>
      <c r="H100" s="13"/>
      <c r="I100" s="13"/>
      <c r="J100" s="13"/>
      <c r="K100" s="13"/>
      <c r="L100" s="13"/>
      <c r="M100" s="13"/>
      <c r="U100" s="67" t="s">
        <v>60</v>
      </c>
      <c r="V100" s="41" t="str">
        <f ca="1">Planung!$L42</f>
        <v>1. FC Riedwald</v>
      </c>
      <c r="W100" s="13" t="str">
        <f ca="1">Planung!$N42</f>
        <v>FC Barcelona</v>
      </c>
      <c r="X100" s="13">
        <f ca="1">IF(AND(Vorrunde!$I48&lt;&gt;"",Vorrunde!$K48&lt;&gt;"",Vorrunde!$F48&lt;&gt;Vorrunde!$H48,$V100&lt;&gt;"",$W100&lt;&gt;""),Vorrunde!$I48,"")</f>
        <v>1</v>
      </c>
      <c r="Y100" s="36">
        <f ca="1">IF(AND(Vorrunde!$I48&lt;&gt;"",Vorrunde!$K48&lt;&gt;"",Vorrunde!$F48&lt;&gt;Vorrunde!$H48,$V100&lt;&gt;"",$W100&lt;&gt;""),Vorrunde!$K48,"")</f>
        <v>6</v>
      </c>
      <c r="Z100" s="35" t="str">
        <f t="shared" ca="1" si="69"/>
        <v>1. FC RiedwaldFC Barcelona</v>
      </c>
      <c r="AA100" s="13">
        <f t="shared" ca="1" si="70"/>
        <v>1</v>
      </c>
      <c r="AB100" s="13" t="str">
        <f ca="1">IF(AA100&gt;0,X100&amp;Sprache!$E$111&amp;Y100,"")</f>
        <v>1:6</v>
      </c>
      <c r="AD100" s="143"/>
      <c r="AE100" s="148">
        <f ca="1">IF($AA100=0,"",IF($X100&gt;$Y100,Einstellungen!$C$4,IF($X100=$Y100,1,0)))</f>
        <v>0</v>
      </c>
      <c r="AF100" s="143">
        <f ca="1">IF($AA100=0,"",IF($X100&lt;$Y100,Einstellungen!$C$4,IF($X100=$Y100,1,0)))</f>
        <v>3</v>
      </c>
    </row>
    <row r="101" spans="2:32" s="2" customFormat="1" x14ac:dyDescent="0.2">
      <c r="B101" s="4"/>
      <c r="C101" s="4"/>
      <c r="D101" s="4"/>
      <c r="E101" s="4"/>
      <c r="F101" s="13"/>
      <c r="G101" s="13"/>
      <c r="H101" s="13"/>
      <c r="I101" s="13"/>
      <c r="J101" s="13"/>
      <c r="K101" s="13"/>
      <c r="L101" s="13"/>
      <c r="M101" s="13"/>
      <c r="U101" s="67" t="s">
        <v>61</v>
      </c>
      <c r="V101" s="41" t="str">
        <f ca="1">Planung!$L43</f>
        <v>Mainz 05</v>
      </c>
      <c r="W101" s="13" t="str">
        <f ca="1">Planung!$N43</f>
        <v>Inter Mailand</v>
      </c>
      <c r="X101" s="13">
        <f ca="1">IF(AND(Vorrunde!$I49&lt;&gt;"",Vorrunde!$K49&lt;&gt;"",Vorrunde!$F49&lt;&gt;Vorrunde!$H49,$V101&lt;&gt;"",$W101&lt;&gt;""),Vorrunde!$I49,"")</f>
        <v>2</v>
      </c>
      <c r="Y101" s="36">
        <f ca="1">IF(AND(Vorrunde!$I49&lt;&gt;"",Vorrunde!$K49&lt;&gt;"",Vorrunde!$F49&lt;&gt;Vorrunde!$H49,$V101&lt;&gt;"",$W101&lt;&gt;""),Vorrunde!$K49,"")</f>
        <v>3</v>
      </c>
      <c r="Z101" s="35" t="str">
        <f t="shared" ca="1" si="69"/>
        <v>Mainz 05Inter Mailand</v>
      </c>
      <c r="AA101" s="13">
        <f t="shared" ca="1" si="70"/>
        <v>1</v>
      </c>
      <c r="AB101" s="13" t="str">
        <f ca="1">IF(AA101&gt;0,X101&amp;Sprache!$E$111&amp;Y101,"")</f>
        <v>2:3</v>
      </c>
      <c r="AD101" s="143"/>
      <c r="AE101" s="148">
        <f ca="1">IF($AA101=0,"",IF($X101&gt;$Y101,Einstellungen!$C$4,IF($X101=$Y101,1,0)))</f>
        <v>0</v>
      </c>
      <c r="AF101" s="143">
        <f ca="1">IF($AA101=0,"",IF($X101&lt;$Y101,Einstellungen!$C$4,IF($X101=$Y101,1,0)))</f>
        <v>3</v>
      </c>
    </row>
    <row r="102" spans="2:32" s="2" customFormat="1" x14ac:dyDescent="0.2">
      <c r="B102" s="4"/>
      <c r="C102" s="4"/>
      <c r="D102" s="4"/>
      <c r="E102" s="4"/>
      <c r="F102" s="13"/>
      <c r="G102" s="13"/>
      <c r="H102" s="13"/>
      <c r="I102" s="13"/>
      <c r="J102" s="13"/>
      <c r="K102" s="13"/>
      <c r="L102" s="13"/>
      <c r="M102" s="13"/>
      <c r="U102" s="67" t="s">
        <v>62</v>
      </c>
      <c r="V102" s="41" t="str">
        <f ca="1">Planung!$L44</f>
        <v>Kickers Rodendorf</v>
      </c>
      <c r="W102" s="13" t="str">
        <f ca="1">Planung!$N44</f>
        <v>Real Madrid</v>
      </c>
      <c r="X102" s="13">
        <f ca="1">IF(AND(Vorrunde!$I50&lt;&gt;"",Vorrunde!$K50&lt;&gt;"",Vorrunde!$F50&lt;&gt;Vorrunde!$H50,$V102&lt;&gt;"",$W102&lt;&gt;""),Vorrunde!$I50,"")</f>
        <v>1</v>
      </c>
      <c r="Y102" s="36">
        <f ca="1">IF(AND(Vorrunde!$I50&lt;&gt;"",Vorrunde!$K50&lt;&gt;"",Vorrunde!$F50&lt;&gt;Vorrunde!$H50,$V102&lt;&gt;"",$W102&lt;&gt;""),Vorrunde!$K50,"")</f>
        <v>5</v>
      </c>
      <c r="Z102" s="35" t="str">
        <f t="shared" ca="1" si="69"/>
        <v>Kickers RodendorfReal Madrid</v>
      </c>
      <c r="AA102" s="13">
        <f t="shared" ca="1" si="70"/>
        <v>1</v>
      </c>
      <c r="AB102" s="13" t="str">
        <f ca="1">IF(AA102&gt;0,X102&amp;Sprache!$E$111&amp;Y102,"")</f>
        <v>1:5</v>
      </c>
      <c r="AD102" s="143"/>
      <c r="AE102" s="148">
        <f ca="1">IF($AA102=0,"",IF($X102&gt;$Y102,Einstellungen!$C$4,IF($X102=$Y102,1,0)))</f>
        <v>0</v>
      </c>
      <c r="AF102" s="143">
        <f ca="1">IF($AA102=0,"",IF($X102&lt;$Y102,Einstellungen!$C$4,IF($X102=$Y102,1,0)))</f>
        <v>3</v>
      </c>
    </row>
    <row r="103" spans="2:32" s="2" customFormat="1" x14ac:dyDescent="0.2">
      <c r="B103" s="4"/>
      <c r="C103" s="4"/>
      <c r="D103" s="4"/>
      <c r="E103" s="4"/>
      <c r="F103" s="13"/>
      <c r="G103" s="13"/>
      <c r="H103" s="13"/>
      <c r="I103" s="13"/>
      <c r="J103" s="13"/>
      <c r="K103" s="13"/>
      <c r="L103" s="13"/>
      <c r="M103" s="13"/>
      <c r="U103" s="67" t="s">
        <v>63</v>
      </c>
      <c r="V103" s="41" t="str">
        <f ca="1">Planung!$L45</f>
        <v>TSG Saalberg eV</v>
      </c>
      <c r="W103" s="13" t="str">
        <f ca="1">Planung!$N45</f>
        <v>Paris St. Germain</v>
      </c>
      <c r="X103" s="13">
        <f ca="1">IF(AND(Vorrunde!$I51&lt;&gt;"",Vorrunde!$K51&lt;&gt;"",Vorrunde!$F51&lt;&gt;Vorrunde!$H51,$V103&lt;&gt;"",$W103&lt;&gt;""),Vorrunde!$I51,"")</f>
        <v>0</v>
      </c>
      <c r="Y103" s="36">
        <f ca="1">IF(AND(Vorrunde!$I51&lt;&gt;"",Vorrunde!$K51&lt;&gt;"",Vorrunde!$F51&lt;&gt;Vorrunde!$H51,$V103&lt;&gt;"",$W103&lt;&gt;""),Vorrunde!$K51,"")</f>
        <v>7</v>
      </c>
      <c r="Z103" s="35" t="str">
        <f t="shared" ca="1" si="69"/>
        <v>TSG Saalberg eVParis St. Germain</v>
      </c>
      <c r="AA103" s="13">
        <f t="shared" ca="1" si="70"/>
        <v>1</v>
      </c>
      <c r="AB103" s="13" t="str">
        <f ca="1">IF(AA103&gt;0,X103&amp;Sprache!$E$111&amp;Y103,"")</f>
        <v>0:7</v>
      </c>
      <c r="AD103" s="143"/>
      <c r="AE103" s="148">
        <f ca="1">IF($AA103=0,"",IF($X103&gt;$Y103,Einstellungen!$C$4,IF($X103=$Y103,1,0)))</f>
        <v>0</v>
      </c>
      <c r="AF103" s="143">
        <f ca="1">IF($AA103=0,"",IF($X103&lt;$Y103,Einstellungen!$C$4,IF($X103=$Y103,1,0)))</f>
        <v>3</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69"/>
        <v/>
      </c>
      <c r="AA104" s="13">
        <f t="shared" ca="1" si="70"/>
        <v>0</v>
      </c>
      <c r="AB104" s="13" t="str">
        <f ca="1">IF(AA104&gt;0,X104&amp;Sprache!$E$111&amp;Y104,"")</f>
        <v/>
      </c>
      <c r="AD104" s="143"/>
      <c r="AE104" s="148" t="str">
        <f ca="1">IF($AA104=0,"",IF($X104&gt;$Y104,Einstellungen!$C$4,IF($X104=$Y104,1,0)))</f>
        <v/>
      </c>
      <c r="AF104" s="143"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69"/>
        <v/>
      </c>
      <c r="AA105" s="13">
        <f t="shared" ca="1" si="70"/>
        <v>0</v>
      </c>
      <c r="AB105" s="13" t="str">
        <f ca="1">IF(AA105&gt;0,X105&amp;Sprache!$E$111&amp;Y105,"")</f>
        <v/>
      </c>
      <c r="AD105" s="143"/>
      <c r="AE105" s="148" t="str">
        <f ca="1">IF($AA105=0,"",IF($X105&gt;$Y105,Einstellungen!$C$4,IF($X105=$Y105,1,0)))</f>
        <v/>
      </c>
      <c r="AF105" s="143"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69"/>
        <v/>
      </c>
      <c r="AA106" s="13">
        <f t="shared" ca="1" si="70"/>
        <v>0</v>
      </c>
      <c r="AB106" s="13" t="str">
        <f ca="1">IF(AA106&gt;0,X106&amp;Sprache!$E$111&amp;Y106,"")</f>
        <v/>
      </c>
      <c r="AD106" s="143"/>
      <c r="AE106" s="148" t="str">
        <f ca="1">IF($AA106=0,"",IF($X106&gt;$Y106,Einstellungen!$C$4,IF($X106=$Y106,1,0)))</f>
        <v/>
      </c>
      <c r="AF106" s="143"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69"/>
        <v/>
      </c>
      <c r="AA107" s="13">
        <f t="shared" ca="1" si="70"/>
        <v>0</v>
      </c>
      <c r="AB107" s="13" t="str">
        <f ca="1">IF(AA107&gt;0,X107&amp;Sprache!$E$111&amp;Y107,"")</f>
        <v/>
      </c>
      <c r="AD107" s="143"/>
      <c r="AE107" s="148" t="str">
        <f ca="1">IF($AA107=0,"",IF($X107&gt;$Y107,Einstellungen!$C$4,IF($X107=$Y107,1,0)))</f>
        <v/>
      </c>
      <c r="AF107" s="143" t="str">
        <f ca="1">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69"/>
        <v/>
      </c>
      <c r="AA108" s="13">
        <f t="shared" ca="1" si="70"/>
        <v>0</v>
      </c>
      <c r="AB108" s="13" t="str">
        <f ca="1">IF(AA108&gt;0,X108&amp;Sprache!$E$111&amp;Y108,"")</f>
        <v/>
      </c>
      <c r="AD108" s="143"/>
      <c r="AE108" s="148" t="str">
        <f ca="1">IF($AA108=0,"",IF($X108&gt;$Y108,Einstellungen!$C$4,IF($X108=$Y108,1,0)))</f>
        <v/>
      </c>
      <c r="AF108" s="143" t="str">
        <f ca="1">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 ca="1">Planung!$L51</f>
        <v/>
      </c>
      <c r="W109" s="13" t="str">
        <f ca="1">Planung!$N51</f>
        <v/>
      </c>
      <c r="X109" s="13" t="str">
        <f ca="1">IF(AND(Vorrunde!$I57&lt;&gt;"",Vorrunde!$K57&lt;&gt;"",Vorrunde!$F57&lt;&gt;Vorrunde!$H57,$V109&lt;&gt;"",$W109&lt;&gt;""),Vorrunde!$I57,"")</f>
        <v/>
      </c>
      <c r="Y109" s="36" t="str">
        <f ca="1">IF(AND(Vorrunde!$I57&lt;&gt;"",Vorrunde!$K57&lt;&gt;"",Vorrunde!$F57&lt;&gt;Vorrunde!$H57,$V109&lt;&gt;"",$W109&lt;&gt;""),Vorrunde!$K57,"")</f>
        <v/>
      </c>
      <c r="Z109" s="35" t="str">
        <f t="shared" ca="1" si="69"/>
        <v/>
      </c>
      <c r="AA109" s="13">
        <f t="shared" ca="1" si="70"/>
        <v>0</v>
      </c>
      <c r="AB109" s="13" t="str">
        <f ca="1">IF(AA109&gt;0,X109&amp;Sprache!$E$111&amp;Y109,"")</f>
        <v/>
      </c>
      <c r="AD109" s="143"/>
      <c r="AE109" s="148" t="str">
        <f ca="1">IF($AA109=0,"",IF($X109&gt;$Y109,Einstellungen!$C$4,IF($X109=$Y109,1,0)))</f>
        <v/>
      </c>
      <c r="AF109" s="143" t="str">
        <f ca="1">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 ca="1">Planung!$L52</f>
        <v/>
      </c>
      <c r="W110" s="13" t="str">
        <f ca="1">Planung!$N52</f>
        <v/>
      </c>
      <c r="X110" s="13" t="str">
        <f ca="1">IF(AND(Vorrunde!$I58&lt;&gt;"",Vorrunde!$K58&lt;&gt;"",Vorrunde!$F58&lt;&gt;Vorrunde!$H58,$V110&lt;&gt;"",$W110&lt;&gt;""),Vorrunde!$I58,"")</f>
        <v/>
      </c>
      <c r="Y110" s="36" t="str">
        <f ca="1">IF(AND(Vorrunde!$I58&lt;&gt;"",Vorrunde!$K58&lt;&gt;"",Vorrunde!$F58&lt;&gt;Vorrunde!$H58,$V110&lt;&gt;"",$W110&lt;&gt;""),Vorrunde!$K58,"")</f>
        <v/>
      </c>
      <c r="Z110" s="35" t="str">
        <f t="shared" ca="1" si="69"/>
        <v/>
      </c>
      <c r="AA110" s="13">
        <f t="shared" ca="1" si="70"/>
        <v>0</v>
      </c>
      <c r="AB110" s="13" t="str">
        <f ca="1">IF(AA110&gt;0,X110&amp;Sprache!$E$111&amp;Y110,"")</f>
        <v/>
      </c>
      <c r="AD110" s="143"/>
      <c r="AE110" s="148" t="str">
        <f ca="1">IF($AA110=0,"",IF($X110&gt;$Y110,Einstellungen!$C$4,IF($X110=$Y110,1,0)))</f>
        <v/>
      </c>
      <c r="AF110" s="143" t="str">
        <f ca="1">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 ca="1">Planung!$L53</f>
        <v/>
      </c>
      <c r="W111" s="13" t="str">
        <f ca="1">Planung!$N53</f>
        <v/>
      </c>
      <c r="X111" s="13" t="str">
        <f ca="1">IF(AND(Vorrunde!$I59&lt;&gt;"",Vorrunde!$K59&lt;&gt;"",Vorrunde!$F59&lt;&gt;Vorrunde!$H59,$V111&lt;&gt;"",$W111&lt;&gt;""),Vorrunde!$I59,"")</f>
        <v/>
      </c>
      <c r="Y111" s="36" t="str">
        <f ca="1">IF(AND(Vorrunde!$I59&lt;&gt;"",Vorrunde!$K59&lt;&gt;"",Vorrunde!$F59&lt;&gt;Vorrunde!$H59,$V111&lt;&gt;"",$W111&lt;&gt;""),Vorrunde!$K59,"")</f>
        <v/>
      </c>
      <c r="Z111" s="35" t="str">
        <f t="shared" ca="1" si="69"/>
        <v/>
      </c>
      <c r="AA111" s="13">
        <f t="shared" ca="1" si="70"/>
        <v>0</v>
      </c>
      <c r="AB111" s="13" t="str">
        <f ca="1">IF(AA111&gt;0,X111&amp;Sprache!$E$111&amp;Y111,"")</f>
        <v/>
      </c>
      <c r="AD111" s="143"/>
      <c r="AE111" s="148" t="str">
        <f ca="1">IF($AA111=0,"",IF($X111&gt;$Y111,Einstellungen!$C$4,IF($X111=$Y111,1,0)))</f>
        <v/>
      </c>
      <c r="AF111" s="143" t="str">
        <f ca="1">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 ca="1">Planung!$L54</f>
        <v/>
      </c>
      <c r="W112" s="13" t="str">
        <f ca="1">Planung!$N54</f>
        <v/>
      </c>
      <c r="X112" s="13" t="str">
        <f ca="1">IF(AND(Vorrunde!$I60&lt;&gt;"",Vorrunde!$K60&lt;&gt;"",Vorrunde!$F60&lt;&gt;Vorrunde!$H60,$V112&lt;&gt;"",$W112&lt;&gt;""),Vorrunde!$I60,"")</f>
        <v/>
      </c>
      <c r="Y112" s="36" t="str">
        <f ca="1">IF(AND(Vorrunde!$I60&lt;&gt;"",Vorrunde!$K60&lt;&gt;"",Vorrunde!$F60&lt;&gt;Vorrunde!$H60,$V112&lt;&gt;"",$W112&lt;&gt;""),Vorrunde!$K60,"")</f>
        <v/>
      </c>
      <c r="Z112" s="35" t="str">
        <f t="shared" ca="1" si="69"/>
        <v/>
      </c>
      <c r="AA112" s="13">
        <f t="shared" ca="1" si="70"/>
        <v>0</v>
      </c>
      <c r="AB112" s="13" t="str">
        <f ca="1">IF(AA112&gt;0,X112&amp;Sprache!$E$111&amp;Y112,"")</f>
        <v/>
      </c>
      <c r="AD112" s="143"/>
      <c r="AE112" s="148" t="str">
        <f ca="1">IF($AA112=0,"",IF($X112&gt;$Y112,Einstellungen!$C$4,IF($X112=$Y112,1,0)))</f>
        <v/>
      </c>
      <c r="AF112" s="143" t="str">
        <f ca="1">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 ca="1">Planung!$L55</f>
        <v/>
      </c>
      <c r="W113" s="13" t="str">
        <f ca="1">Planung!$N55</f>
        <v/>
      </c>
      <c r="X113" s="13" t="str">
        <f ca="1">IF(AND(Vorrunde!$I61&lt;&gt;"",Vorrunde!$K61&lt;&gt;"",Vorrunde!$F61&lt;&gt;Vorrunde!$H61,$V113&lt;&gt;"",$W113&lt;&gt;""),Vorrunde!$I61,"")</f>
        <v/>
      </c>
      <c r="Y113" s="36" t="str">
        <f ca="1">IF(AND(Vorrunde!$I61&lt;&gt;"",Vorrunde!$K61&lt;&gt;"",Vorrunde!$F61&lt;&gt;Vorrunde!$H61,$V113&lt;&gt;"",$W113&lt;&gt;""),Vorrunde!$K61,"")</f>
        <v/>
      </c>
      <c r="Z113" s="35" t="str">
        <f t="shared" ca="1" si="69"/>
        <v/>
      </c>
      <c r="AA113" s="13">
        <f t="shared" ca="1" si="70"/>
        <v>0</v>
      </c>
      <c r="AB113" s="13" t="str">
        <f ca="1">IF(AA113&gt;0,X113&amp;Sprache!$E$111&amp;Y113,"")</f>
        <v/>
      </c>
      <c r="AD113" s="143"/>
      <c r="AE113" s="148" t="str">
        <f ca="1">IF($AA113=0,"",IF($X113&gt;$Y113,Einstellungen!$C$4,IF($X113=$Y113,1,0)))</f>
        <v/>
      </c>
      <c r="AF113" s="143" t="str">
        <f ca="1">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 ca="1">Planung!$L56</f>
        <v/>
      </c>
      <c r="W114" s="13" t="str">
        <f ca="1">Planung!$N56</f>
        <v/>
      </c>
      <c r="X114" s="13" t="str">
        <f ca="1">IF(AND(Vorrunde!$I62&lt;&gt;"",Vorrunde!$K62&lt;&gt;"",Vorrunde!$F62&lt;&gt;Vorrunde!$H62,$V114&lt;&gt;"",$W114&lt;&gt;""),Vorrunde!$I62,"")</f>
        <v/>
      </c>
      <c r="Y114" s="36" t="str">
        <f ca="1">IF(AND(Vorrunde!$I62&lt;&gt;"",Vorrunde!$K62&lt;&gt;"",Vorrunde!$F62&lt;&gt;Vorrunde!$H62,$V114&lt;&gt;"",$W114&lt;&gt;""),Vorrunde!$K62,"")</f>
        <v/>
      </c>
      <c r="Z114" s="35" t="str">
        <f t="shared" ca="1" si="69"/>
        <v/>
      </c>
      <c r="AA114" s="13">
        <f t="shared" ca="1" si="70"/>
        <v>0</v>
      </c>
      <c r="AB114" s="13" t="str">
        <f ca="1">IF(AA114&gt;0,X114&amp;Sprache!$E$111&amp;Y114,"")</f>
        <v/>
      </c>
      <c r="AD114" s="143"/>
      <c r="AE114" s="148" t="str">
        <f ca="1">IF($AA114=0,"",IF($X114&gt;$Y114,Einstellungen!$C$4,IF($X114=$Y114,1,0)))</f>
        <v/>
      </c>
      <c r="AF114" s="143" t="str">
        <f ca="1">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 ca="1">Planung!$L57</f>
        <v/>
      </c>
      <c r="W115" s="13" t="str">
        <f ca="1">Planung!$N57</f>
        <v/>
      </c>
      <c r="X115" s="13" t="str">
        <f ca="1">IF(AND(Vorrunde!$I63&lt;&gt;"",Vorrunde!$K63&lt;&gt;"",Vorrunde!$F63&lt;&gt;Vorrunde!$H63,$V115&lt;&gt;"",$W115&lt;&gt;""),Vorrunde!$I63,"")</f>
        <v/>
      </c>
      <c r="Y115" s="36" t="str">
        <f ca="1">IF(AND(Vorrunde!$I63&lt;&gt;"",Vorrunde!$K63&lt;&gt;"",Vorrunde!$F63&lt;&gt;Vorrunde!$H63,$V115&lt;&gt;"",$W115&lt;&gt;""),Vorrunde!$K63,"")</f>
        <v/>
      </c>
      <c r="Z115" s="35" t="str">
        <f t="shared" ca="1" si="69"/>
        <v/>
      </c>
      <c r="AA115" s="13">
        <f t="shared" ca="1" si="70"/>
        <v>0</v>
      </c>
      <c r="AB115" s="13" t="str">
        <f ca="1">IF(AA115&gt;0,X115&amp;Sprache!$E$111&amp;Y115,"")</f>
        <v/>
      </c>
      <c r="AD115" s="143"/>
      <c r="AE115" s="148" t="str">
        <f ca="1">IF($AA115=0,"",IF($X115&gt;$Y115,Einstellungen!$C$4,IF($X115=$Y115,1,0)))</f>
        <v/>
      </c>
      <c r="AF115" s="143" t="str">
        <f ca="1">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 ca="1">Planung!$L58</f>
        <v/>
      </c>
      <c r="W116" s="13" t="str">
        <f ca="1">Planung!$N58</f>
        <v/>
      </c>
      <c r="X116" s="13" t="str">
        <f ca="1">IF(AND(Vorrunde!$I64&lt;&gt;"",Vorrunde!$K64&lt;&gt;"",Vorrunde!$F64&lt;&gt;Vorrunde!$H64,$V116&lt;&gt;"",$W116&lt;&gt;""),Vorrunde!$I64,"")</f>
        <v/>
      </c>
      <c r="Y116" s="36" t="str">
        <f ca="1">IF(AND(Vorrunde!$I64&lt;&gt;"",Vorrunde!$K64&lt;&gt;"",Vorrunde!$F64&lt;&gt;Vorrunde!$H64,$V116&lt;&gt;"",$W116&lt;&gt;""),Vorrunde!$K64,"")</f>
        <v/>
      </c>
      <c r="Z116" s="35" t="str">
        <f t="shared" ca="1" si="69"/>
        <v/>
      </c>
      <c r="AA116" s="13">
        <f t="shared" ca="1" si="70"/>
        <v>0</v>
      </c>
      <c r="AB116" s="13" t="str">
        <f ca="1">IF(AA116&gt;0,X116&amp;Sprache!$E$111&amp;Y116,"")</f>
        <v/>
      </c>
      <c r="AD116" s="143"/>
      <c r="AE116" s="148" t="str">
        <f ca="1">IF($AA116=0,"",IF($X116&gt;$Y116,Einstellungen!$C$4,IF($X116=$Y116,1,0)))</f>
        <v/>
      </c>
      <c r="AF116" s="143" t="str">
        <f ca="1">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 ca="1">Planung!$L59</f>
        <v/>
      </c>
      <c r="W117" s="13" t="str">
        <f ca="1">Planung!$N59</f>
        <v/>
      </c>
      <c r="X117" s="13" t="str">
        <f ca="1">IF(AND(Vorrunde!$I65&lt;&gt;"",Vorrunde!$K65&lt;&gt;"",Vorrunde!$F65&lt;&gt;Vorrunde!$H65,$V117&lt;&gt;"",$W117&lt;&gt;""),Vorrunde!$I65,"")</f>
        <v/>
      </c>
      <c r="Y117" s="36" t="str">
        <f ca="1">IF(AND(Vorrunde!$I65&lt;&gt;"",Vorrunde!$K65&lt;&gt;"",Vorrunde!$F65&lt;&gt;Vorrunde!$H65,$V117&lt;&gt;"",$W117&lt;&gt;""),Vorrunde!$K65,"")</f>
        <v/>
      </c>
      <c r="Z117" s="35" t="str">
        <f t="shared" ca="1" si="69"/>
        <v/>
      </c>
      <c r="AA117" s="13">
        <f t="shared" ca="1" si="70"/>
        <v>0</v>
      </c>
      <c r="AB117" s="13" t="str">
        <f ca="1">IF(AA117&gt;0,X117&amp;Sprache!$E$111&amp;Y117,"")</f>
        <v/>
      </c>
      <c r="AD117" s="143"/>
      <c r="AE117" s="148" t="str">
        <f ca="1">IF($AA117=0,"",IF($X117&gt;$Y117,Einstellungen!$C$4,IF($X117=$Y117,1,0)))</f>
        <v/>
      </c>
      <c r="AF117" s="143" t="str">
        <f ca="1">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 ca="1">Planung!$L60</f>
        <v/>
      </c>
      <c r="W118" s="13" t="str">
        <f ca="1">Planung!$N60</f>
        <v/>
      </c>
      <c r="X118" s="13" t="str">
        <f ca="1">IF(AND(Vorrunde!$I66&lt;&gt;"",Vorrunde!$K66&lt;&gt;"",Vorrunde!$F66&lt;&gt;Vorrunde!$H66,$V118&lt;&gt;"",$W118&lt;&gt;""),Vorrunde!$I66,"")</f>
        <v/>
      </c>
      <c r="Y118" s="36" t="str">
        <f ca="1">IF(AND(Vorrunde!$I66&lt;&gt;"",Vorrunde!$K66&lt;&gt;"",Vorrunde!$F66&lt;&gt;Vorrunde!$H66,$V118&lt;&gt;"",$W118&lt;&gt;""),Vorrunde!$K66,"")</f>
        <v/>
      </c>
      <c r="Z118" s="35" t="str">
        <f t="shared" ca="1" si="69"/>
        <v/>
      </c>
      <c r="AA118" s="13">
        <f t="shared" ca="1" si="70"/>
        <v>0</v>
      </c>
      <c r="AB118" s="13" t="str">
        <f ca="1">IF(AA118&gt;0,X118&amp;Sprache!$E$111&amp;Y118,"")</f>
        <v/>
      </c>
      <c r="AD118" s="143"/>
      <c r="AE118" s="148" t="str">
        <f ca="1">IF($AA118=0,"",IF($X118&gt;$Y118,Einstellungen!$C$4,IF($X118=$Y118,1,0)))</f>
        <v/>
      </c>
      <c r="AF118" s="143" t="str">
        <f ca="1">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 ca="1">Planung!$L61</f>
        <v/>
      </c>
      <c r="W119" s="13" t="str">
        <f ca="1">Planung!$N61</f>
        <v/>
      </c>
      <c r="X119" s="13" t="str">
        <f ca="1">IF(AND(Vorrunde!$I67&lt;&gt;"",Vorrunde!$K67&lt;&gt;"",Vorrunde!$F67&lt;&gt;Vorrunde!$H67,$V119&lt;&gt;"",$W119&lt;&gt;""),Vorrunde!$I67,"")</f>
        <v/>
      </c>
      <c r="Y119" s="36" t="str">
        <f ca="1">IF(AND(Vorrunde!$I67&lt;&gt;"",Vorrunde!$K67&lt;&gt;"",Vorrunde!$F67&lt;&gt;Vorrunde!$H67,$V119&lt;&gt;"",$W119&lt;&gt;""),Vorrunde!$K67,"")</f>
        <v/>
      </c>
      <c r="Z119" s="35" t="str">
        <f t="shared" ca="1" si="69"/>
        <v/>
      </c>
      <c r="AA119" s="13">
        <f t="shared" ca="1" si="70"/>
        <v>0</v>
      </c>
      <c r="AB119" s="13" t="str">
        <f ca="1">IF(AA119&gt;0,X119&amp;Sprache!$E$111&amp;Y119,"")</f>
        <v/>
      </c>
      <c r="AD119" s="143"/>
      <c r="AE119" s="148" t="str">
        <f ca="1">IF($AA119=0,"",IF($X119&gt;$Y119,Einstellungen!$C$4,IF($X119=$Y119,1,0)))</f>
        <v/>
      </c>
      <c r="AF119" s="143" t="str">
        <f ca="1">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 ca="1">Planung!$L62</f>
        <v/>
      </c>
      <c r="W120" s="13" t="str">
        <f ca="1">Planung!$N62</f>
        <v/>
      </c>
      <c r="X120" s="13" t="str">
        <f ca="1">IF(AND(Vorrunde!$I68&lt;&gt;"",Vorrunde!$K68&lt;&gt;"",Vorrunde!$F68&lt;&gt;Vorrunde!$H68,$V120&lt;&gt;"",$W120&lt;&gt;""),Vorrunde!$I68,"")</f>
        <v/>
      </c>
      <c r="Y120" s="36" t="str">
        <f ca="1">IF(AND(Vorrunde!$I68&lt;&gt;"",Vorrunde!$K68&lt;&gt;"",Vorrunde!$F68&lt;&gt;Vorrunde!$H68,$V120&lt;&gt;"",$W120&lt;&gt;""),Vorrunde!$K68,"")</f>
        <v/>
      </c>
      <c r="Z120" s="35" t="str">
        <f t="shared" ca="1" si="69"/>
        <v/>
      </c>
      <c r="AA120" s="13">
        <f t="shared" ca="1" si="70"/>
        <v>0</v>
      </c>
      <c r="AB120" s="13" t="str">
        <f ca="1">IF(AA120&gt;0,X120&amp;Sprache!$E$111&amp;Y120,"")</f>
        <v/>
      </c>
      <c r="AD120" s="143"/>
      <c r="AE120" s="148" t="str">
        <f ca="1">IF($AA120=0,"",IF($X120&gt;$Y120,Einstellungen!$C$4,IF($X120=$Y120,1,0)))</f>
        <v/>
      </c>
      <c r="AF120" s="143" t="str">
        <f ca="1">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 ca="1">Planung!$L63</f>
        <v/>
      </c>
      <c r="W121" s="13" t="str">
        <f ca="1">Planung!$N63</f>
        <v/>
      </c>
      <c r="X121" s="13" t="str">
        <f ca="1">IF(AND(Vorrunde!$I69&lt;&gt;"",Vorrunde!$K69&lt;&gt;"",Vorrunde!$F69&lt;&gt;Vorrunde!$H69,$V121&lt;&gt;"",$W121&lt;&gt;""),Vorrunde!$I69,"")</f>
        <v/>
      </c>
      <c r="Y121" s="36" t="str">
        <f ca="1">IF(AND(Vorrunde!$I69&lt;&gt;"",Vorrunde!$K69&lt;&gt;"",Vorrunde!$F69&lt;&gt;Vorrunde!$H69,$V121&lt;&gt;"",$W121&lt;&gt;""),Vorrunde!$K69,"")</f>
        <v/>
      </c>
      <c r="Z121" s="35" t="str">
        <f t="shared" ca="1" si="69"/>
        <v/>
      </c>
      <c r="AA121" s="13">
        <f t="shared" ca="1" si="70"/>
        <v>0</v>
      </c>
      <c r="AB121" s="13" t="str">
        <f ca="1">IF(AA121&gt;0,X121&amp;Sprache!$E$111&amp;Y121,"")</f>
        <v/>
      </c>
      <c r="AD121" s="143"/>
      <c r="AE121" s="148" t="str">
        <f ca="1">IF($AA121=0,"",IF($X121&gt;$Y121,Einstellungen!$C$4,IF($X121=$Y121,1,0)))</f>
        <v/>
      </c>
      <c r="AF121" s="143" t="str">
        <f ca="1">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 ca="1">Planung!$L64</f>
        <v/>
      </c>
      <c r="W122" s="13" t="str">
        <f ca="1">Planung!$N64</f>
        <v/>
      </c>
      <c r="X122" s="13" t="str">
        <f ca="1">IF(AND(Vorrunde!$I70&lt;&gt;"",Vorrunde!$K70&lt;&gt;"",Vorrunde!$F70&lt;&gt;Vorrunde!$H70,$V122&lt;&gt;"",$W122&lt;&gt;""),Vorrunde!$I70,"")</f>
        <v/>
      </c>
      <c r="Y122" s="36" t="str">
        <f ca="1">IF(AND(Vorrunde!$I70&lt;&gt;"",Vorrunde!$K70&lt;&gt;"",Vorrunde!$F70&lt;&gt;Vorrunde!$H70,$V122&lt;&gt;"",$W122&lt;&gt;""),Vorrunde!$K70,"")</f>
        <v/>
      </c>
      <c r="Z122" s="35" t="str">
        <f t="shared" ca="1" si="69"/>
        <v/>
      </c>
      <c r="AA122" s="13">
        <f t="shared" ca="1" si="70"/>
        <v>0</v>
      </c>
      <c r="AB122" s="13" t="str">
        <f ca="1">IF(AA122&gt;0,X122&amp;Sprache!$E$111&amp;Y122,"")</f>
        <v/>
      </c>
      <c r="AD122" s="143"/>
      <c r="AE122" s="148" t="str">
        <f ca="1">IF($AA122=0,"",IF($X122&gt;$Y122,Einstellungen!$C$4,IF($X122=$Y122,1,0)))</f>
        <v/>
      </c>
      <c r="AF122" s="143" t="str">
        <f ca="1">IF($AA122=0,"",IF($X122&lt;$Y122,Einstellungen!$C$4,IF($X122=$Y122,1,0)))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Planung!$L65</f>
        <v/>
      </c>
      <c r="W123" s="13" t="str">
        <f ca="1">Planung!$N65</f>
        <v/>
      </c>
      <c r="X123" s="13" t="str">
        <f ca="1">IF(AND(Vorrunde!$I71&lt;&gt;"",Vorrunde!$K71&lt;&gt;"",Vorrunde!$F71&lt;&gt;Vorrunde!$H71,$V123&lt;&gt;"",$W123&lt;&gt;""),Vorrunde!$I71,"")</f>
        <v/>
      </c>
      <c r="Y123" s="36" t="str">
        <f ca="1">IF(AND(Vorrunde!$I71&lt;&gt;"",Vorrunde!$K71&lt;&gt;"",Vorrunde!$F71&lt;&gt;Vorrunde!$H71,$V123&lt;&gt;"",$W123&lt;&gt;""),Vorrunde!$K71,"")</f>
        <v/>
      </c>
      <c r="Z123" s="35" t="str">
        <f t="shared" ca="1" si="69"/>
        <v/>
      </c>
      <c r="AA123" s="13">
        <f t="shared" ca="1" si="70"/>
        <v>0</v>
      </c>
      <c r="AB123" s="13" t="str">
        <f ca="1">IF(AA123&gt;0,X123&amp;Sprache!$E$111&amp;Y123,"")</f>
        <v/>
      </c>
      <c r="AD123" s="143"/>
      <c r="AE123" s="148" t="str">
        <f ca="1">IF($AA123=0,"",IF($X123&gt;$Y123,Einstellungen!$C$4,IF($X123=$Y123,1,0)))</f>
        <v/>
      </c>
      <c r="AF123" s="143" t="str">
        <f ca="1">IF($AA123=0,"",IF($X123&lt;$Y123,Einstellungen!$C$4,IF($X123=$Y123,1,0)))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70"/>
        <v>0</v>
      </c>
      <c r="AB124" s="293" t="str">
        <f>""</f>
        <v/>
      </c>
      <c r="AC124" s="296"/>
      <c r="AD124" s="297"/>
      <c r="AE124" s="298" t="str">
        <f>IF($AA124=0,"",IF($X124&gt;$Y124,Einstellungen!$C$4,IF($X124=$Y124,1,0)))</f>
        <v/>
      </c>
      <c r="AF124" s="297"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IF(AA136&gt;0,Y64&amp;Sprache!$E$111&amp;X64,"")</f>
        <v>6:2</v>
      </c>
      <c r="AD136" s="143"/>
    </row>
    <row r="137" spans="2:32" x14ac:dyDescent="0.2">
      <c r="Y137" s="67" t="s">
        <v>8</v>
      </c>
      <c r="Z137" s="35" t="str">
        <f ca="1">W65&amp;V65</f>
        <v>Inter MailandFC Grönlingen</v>
      </c>
      <c r="AA137" s="13">
        <f t="shared" ref="AA137:AA200" ca="1" si="72">AA65</f>
        <v>1</v>
      </c>
      <c r="AB137" s="13" t="str">
        <f ca="1">IF(AA137&gt;0,Y65&amp;Sprache!$E$111&amp;X65,"")</f>
        <v>4:2</v>
      </c>
      <c r="AC137" s="2"/>
      <c r="AD137" s="143"/>
    </row>
    <row r="138" spans="2:32" x14ac:dyDescent="0.2">
      <c r="Y138" s="67" t="s">
        <v>9</v>
      </c>
      <c r="Z138" s="35" t="str">
        <f t="shared" ref="Z138:Z201" ca="1" si="73">W66&amp;V66</f>
        <v>Real Madrid1. FC Nürnberg</v>
      </c>
      <c r="AA138" s="13">
        <f t="shared" ca="1" si="72"/>
        <v>1</v>
      </c>
      <c r="AB138" s="13" t="str">
        <f ca="1">IF(AA138&gt;0,Y66&amp;Sprache!$E$111&amp;X66,"")</f>
        <v>4:1</v>
      </c>
      <c r="AC138" s="2"/>
      <c r="AD138" s="143"/>
    </row>
    <row r="139" spans="2:32" x14ac:dyDescent="0.2">
      <c r="Y139" s="67" t="s">
        <v>10</v>
      </c>
      <c r="Z139" s="35" t="str">
        <f t="shared" ca="1" si="73"/>
        <v>Paris St. GermainSV Oberredenburg</v>
      </c>
      <c r="AA139" s="13">
        <f t="shared" ca="1" si="72"/>
        <v>1</v>
      </c>
      <c r="AB139" s="13" t="str">
        <f ca="1">IF(AA139&gt;0,Y67&amp;Sprache!$E$111&amp;X67,"")</f>
        <v>5:2</v>
      </c>
      <c r="AC139" s="2"/>
      <c r="AD139" s="143"/>
    </row>
    <row r="140" spans="2:32" x14ac:dyDescent="0.2">
      <c r="Y140" s="67" t="s">
        <v>11</v>
      </c>
      <c r="Z140" s="35" t="str">
        <f t="shared" ca="1" si="73"/>
        <v>Maibach 1822 eVEintracht Frankfurt</v>
      </c>
      <c r="AA140" s="13">
        <f t="shared" ca="1" si="72"/>
        <v>1</v>
      </c>
      <c r="AB140" s="13" t="str">
        <f ca="1">IF(AA140&gt;0,Y68&amp;Sprache!$E$111&amp;X68,"")</f>
        <v>2:3</v>
      </c>
      <c r="AC140" s="2"/>
      <c r="AD140" s="143"/>
    </row>
    <row r="141" spans="2:32" x14ac:dyDescent="0.2">
      <c r="Y141" s="67" t="s">
        <v>12</v>
      </c>
      <c r="Z141" s="35" t="str">
        <f t="shared" ca="1" si="73"/>
        <v>Manchester CitySSV Wildbach</v>
      </c>
      <c r="AA141" s="13">
        <f t="shared" ca="1" si="72"/>
        <v>1</v>
      </c>
      <c r="AB141" s="13" t="str">
        <f ca="1">IF(AA141&gt;0,Y69&amp;Sprache!$E$111&amp;X69,"")</f>
        <v>5:0</v>
      </c>
      <c r="AC141" s="2"/>
      <c r="AD141" s="143"/>
    </row>
    <row r="142" spans="2:32" x14ac:dyDescent="0.2">
      <c r="Y142" s="67" t="s">
        <v>17</v>
      </c>
      <c r="Z142" s="35" t="str">
        <f t="shared" ca="1" si="73"/>
        <v>FSV RauenBorussia Dortmund</v>
      </c>
      <c r="AA142" s="13">
        <f t="shared" ca="1" si="72"/>
        <v>1</v>
      </c>
      <c r="AB142" s="13" t="str">
        <f ca="1">IF(AA142&gt;0,Y70&amp;Sprache!$E$111&amp;X70,"")</f>
        <v>1:3</v>
      </c>
      <c r="AC142" s="2"/>
      <c r="AD142" s="143"/>
    </row>
    <row r="143" spans="2:32" x14ac:dyDescent="0.2">
      <c r="Y143" s="67" t="s">
        <v>18</v>
      </c>
      <c r="Z143" s="35" t="str">
        <f t="shared" ca="1" si="73"/>
        <v>RB LeipzigHSV</v>
      </c>
      <c r="AA143" s="13">
        <f t="shared" ca="1" si="72"/>
        <v>1</v>
      </c>
      <c r="AB143" s="13" t="str">
        <f ca="1">IF(AA143&gt;0,Y71&amp;Sprache!$E$111&amp;X71,"")</f>
        <v>2:2</v>
      </c>
      <c r="AC143" s="2"/>
      <c r="AD143" s="143"/>
    </row>
    <row r="144" spans="2:32" x14ac:dyDescent="0.2">
      <c r="Y144" s="67" t="s">
        <v>19</v>
      </c>
      <c r="Z144" s="35" t="str">
        <f t="shared" ca="1" si="73"/>
        <v>1. FC RiedwaldVFB Essenheim</v>
      </c>
      <c r="AA144" s="13">
        <f t="shared" ca="1" si="72"/>
        <v>1</v>
      </c>
      <c r="AB144" s="13" t="str">
        <f ca="1">IF(AA144&gt;0,Y72&amp;Sprache!$E$111&amp;X72,"")</f>
        <v>5:1</v>
      </c>
      <c r="AC144" s="2"/>
      <c r="AD144" s="143"/>
    </row>
    <row r="145" spans="25:30" x14ac:dyDescent="0.2">
      <c r="Y145" s="67" t="s">
        <v>25</v>
      </c>
      <c r="Z145" s="35" t="str">
        <f t="shared" ca="1" si="73"/>
        <v>Mainz 05FC Grönlingen</v>
      </c>
      <c r="AA145" s="13">
        <f t="shared" ca="1" si="72"/>
        <v>1</v>
      </c>
      <c r="AB145" s="13" t="str">
        <f ca="1">IF(AA145&gt;0,Y73&amp;Sprache!$E$111&amp;X73,"")</f>
        <v>1:0</v>
      </c>
      <c r="AC145" s="2"/>
      <c r="AD145" s="143"/>
    </row>
    <row r="146" spans="25:30" x14ac:dyDescent="0.2">
      <c r="Y146" s="67" t="s">
        <v>26</v>
      </c>
      <c r="Z146" s="35" t="str">
        <f t="shared" ca="1" si="73"/>
        <v>Kickers Rodendorf1. FC Nürnberg</v>
      </c>
      <c r="AA146" s="13">
        <f t="shared" ca="1" si="72"/>
        <v>1</v>
      </c>
      <c r="AB146" s="13" t="str">
        <f ca="1">IF(AA146&gt;0,Y74&amp;Sprache!$E$111&amp;X74,"")</f>
        <v>3:5</v>
      </c>
      <c r="AC146" s="2"/>
      <c r="AD146" s="143"/>
    </row>
    <row r="147" spans="25:30" x14ac:dyDescent="0.2">
      <c r="Y147" s="67" t="s">
        <v>27</v>
      </c>
      <c r="Z147" s="35" t="str">
        <f t="shared" ca="1" si="73"/>
        <v>TSG Saalberg eVSV Oberredenburg</v>
      </c>
      <c r="AA147" s="13">
        <f t="shared" ca="1" si="72"/>
        <v>1</v>
      </c>
      <c r="AB147" s="13" t="str">
        <f ca="1">IF(AA147&gt;0,Y75&amp;Sprache!$E$111&amp;X75,"")</f>
        <v>2:3</v>
      </c>
      <c r="AC147" s="2"/>
      <c r="AD147" s="143"/>
    </row>
    <row r="148" spans="25:30" x14ac:dyDescent="0.2">
      <c r="Y148" s="67" t="s">
        <v>28</v>
      </c>
      <c r="Z148" s="35" t="str">
        <f t="shared" ca="1" si="73"/>
        <v>Eintracht FrankfurtFC Barcelona</v>
      </c>
      <c r="AA148" s="13">
        <f t="shared" ca="1" si="72"/>
        <v>1</v>
      </c>
      <c r="AB148" s="13" t="str">
        <f ca="1">IF(AA148&gt;0,Y76&amp;Sprache!$E$111&amp;X76,"")</f>
        <v>0:2</v>
      </c>
      <c r="AC148" s="2"/>
      <c r="AD148" s="143"/>
    </row>
    <row r="149" spans="25:30" x14ac:dyDescent="0.2">
      <c r="Y149" s="67" t="s">
        <v>29</v>
      </c>
      <c r="Z149" s="35" t="str">
        <f t="shared" ca="1" si="73"/>
        <v>SSV WildbachInter Mailand</v>
      </c>
      <c r="AA149" s="13">
        <f t="shared" ca="1" si="72"/>
        <v>1</v>
      </c>
      <c r="AB149" s="13" t="str">
        <f ca="1">IF(AA149&gt;0,Y77&amp;Sprache!$E$111&amp;X77,"")</f>
        <v>0:4</v>
      </c>
      <c r="AC149" s="2"/>
      <c r="AD149" s="143"/>
    </row>
    <row r="150" spans="25:30" x14ac:dyDescent="0.2">
      <c r="Y150" s="67" t="s">
        <v>30</v>
      </c>
      <c r="Z150" s="35" t="str">
        <f t="shared" ca="1" si="73"/>
        <v>Borussia DortmundReal Madrid</v>
      </c>
      <c r="AA150" s="13">
        <f t="shared" ca="1" si="72"/>
        <v>1</v>
      </c>
      <c r="AB150" s="13" t="str">
        <f ca="1">IF(AA150&gt;0,Y78&amp;Sprache!$E$111&amp;X78,"")</f>
        <v>1:0</v>
      </c>
      <c r="AC150" s="2"/>
      <c r="AD150" s="143"/>
    </row>
    <row r="151" spans="25:30" x14ac:dyDescent="0.2">
      <c r="Y151" s="67" t="s">
        <v>31</v>
      </c>
      <c r="Z151" s="35" t="str">
        <f t="shared" ca="1" si="73"/>
        <v>HSVParis St. Germain</v>
      </c>
      <c r="AA151" s="13">
        <f t="shared" ca="1" si="72"/>
        <v>1</v>
      </c>
      <c r="AB151" s="13" t="str">
        <f ca="1">IF(AA151&gt;0,Y79&amp;Sprache!$E$111&amp;X79,"")</f>
        <v>2:3</v>
      </c>
      <c r="AC151" s="2"/>
      <c r="AD151" s="143"/>
    </row>
    <row r="152" spans="25:30" x14ac:dyDescent="0.2">
      <c r="Y152" s="67" t="s">
        <v>32</v>
      </c>
      <c r="Z152" s="35" t="str">
        <f t="shared" ca="1" si="73"/>
        <v>Maibach 1822 eV1. FC Riedwald</v>
      </c>
      <c r="AA152" s="13">
        <f t="shared" ca="1" si="72"/>
        <v>1</v>
      </c>
      <c r="AB152" s="13" t="str">
        <f ca="1">IF(AA152&gt;0,Y80&amp;Sprache!$E$111&amp;X80,"")</f>
        <v>2:2</v>
      </c>
      <c r="AC152" s="2"/>
      <c r="AD152" s="143"/>
    </row>
    <row r="153" spans="25:30" x14ac:dyDescent="0.2">
      <c r="Y153" s="67" t="s">
        <v>33</v>
      </c>
      <c r="Z153" s="35" t="str">
        <f t="shared" ca="1" si="73"/>
        <v>Manchester CityMainz 05</v>
      </c>
      <c r="AA153" s="13">
        <f t="shared" ca="1" si="72"/>
        <v>1</v>
      </c>
      <c r="AB153" s="13" t="str">
        <f ca="1">IF(AA153&gt;0,Y81&amp;Sprache!$E$111&amp;X81,"")</f>
        <v>1:0</v>
      </c>
      <c r="AC153" s="2"/>
      <c r="AD153" s="143"/>
    </row>
    <row r="154" spans="25:30" x14ac:dyDescent="0.2">
      <c r="Y154" s="67" t="s">
        <v>34</v>
      </c>
      <c r="Z154" s="35" t="str">
        <f t="shared" ca="1" si="73"/>
        <v>FSV RauenKickers Rodendorf</v>
      </c>
      <c r="AA154" s="13">
        <f t="shared" ca="1" si="72"/>
        <v>1</v>
      </c>
      <c r="AB154" s="13" t="str">
        <f ca="1">IF(AA154&gt;0,Y82&amp;Sprache!$E$111&amp;X82,"")</f>
        <v>1:2</v>
      </c>
      <c r="AC154" s="2"/>
      <c r="AD154" s="143"/>
    </row>
    <row r="155" spans="25:30" x14ac:dyDescent="0.2">
      <c r="Y155" s="67" t="s">
        <v>35</v>
      </c>
      <c r="Z155" s="35" t="str">
        <f t="shared" ca="1" si="73"/>
        <v>RB LeipzigTSG Saalberg eV</v>
      </c>
      <c r="AA155" s="13">
        <f t="shared" ca="1" si="72"/>
        <v>1</v>
      </c>
      <c r="AB155" s="13" t="str">
        <f ca="1">IF(AA155&gt;0,Y83&amp;Sprache!$E$111&amp;X83,"")</f>
        <v>4:1</v>
      </c>
      <c r="AC155" s="2"/>
      <c r="AD155" s="143"/>
    </row>
    <row r="156" spans="25:30" x14ac:dyDescent="0.2">
      <c r="Y156" s="67" t="s">
        <v>36</v>
      </c>
      <c r="Z156" s="35" t="str">
        <f t="shared" ca="1" si="73"/>
        <v>VFB EssenheimEintracht Frankfurt</v>
      </c>
      <c r="AA156" s="13">
        <f t="shared" ca="1" si="72"/>
        <v>1</v>
      </c>
      <c r="AB156" s="13" t="str">
        <f ca="1">IF(AA156&gt;0,Y84&amp;Sprache!$E$111&amp;X84,"")</f>
        <v>2:3</v>
      </c>
      <c r="AC156" s="2"/>
      <c r="AD156" s="143"/>
    </row>
    <row r="157" spans="25:30" x14ac:dyDescent="0.2">
      <c r="Y157" s="67" t="s">
        <v>37</v>
      </c>
      <c r="Z157" s="35" t="str">
        <f t="shared" ca="1" si="73"/>
        <v>FC GrönlingenSSV Wildbach</v>
      </c>
      <c r="AA157" s="13">
        <f t="shared" ca="1" si="72"/>
        <v>1</v>
      </c>
      <c r="AB157" s="13" t="str">
        <f ca="1">IF(AA157&gt;0,Y85&amp;Sprache!$E$111&amp;X85,"")</f>
        <v>4:1</v>
      </c>
      <c r="AC157" s="2"/>
      <c r="AD157" s="143"/>
    </row>
    <row r="158" spans="25:30" x14ac:dyDescent="0.2">
      <c r="Y158" s="67" t="s">
        <v>38</v>
      </c>
      <c r="Z158" s="35" t="str">
        <f t="shared" ca="1" si="73"/>
        <v>1. FC NürnbergBorussia Dortmund</v>
      </c>
      <c r="AA158" s="13">
        <f t="shared" ca="1" si="72"/>
        <v>1</v>
      </c>
      <c r="AB158" s="13" t="str">
        <f ca="1">IF(AA158&gt;0,Y86&amp;Sprache!$E$111&amp;X86,"")</f>
        <v>2:2</v>
      </c>
      <c r="AC158" s="2"/>
      <c r="AD158" s="143"/>
    </row>
    <row r="159" spans="25:30" x14ac:dyDescent="0.2">
      <c r="Y159" s="67" t="s">
        <v>39</v>
      </c>
      <c r="Z159" s="35" t="str">
        <f t="shared" ca="1" si="73"/>
        <v>SV OberredenburgHSV</v>
      </c>
      <c r="AA159" s="13">
        <f t="shared" ca="1" si="72"/>
        <v>1</v>
      </c>
      <c r="AB159" s="13" t="str">
        <f ca="1">IF(AA159&gt;0,Y87&amp;Sprache!$E$111&amp;X87,"")</f>
        <v>0:1</v>
      </c>
      <c r="AC159" s="2"/>
      <c r="AD159" s="143"/>
    </row>
    <row r="160" spans="25:30" x14ac:dyDescent="0.2">
      <c r="Y160" s="67" t="s">
        <v>40</v>
      </c>
      <c r="Z160" s="35" t="str">
        <f t="shared" ca="1" si="73"/>
        <v>Maibach 1822 eVFC Barcelona</v>
      </c>
      <c r="AA160" s="13">
        <f t="shared" ca="1" si="72"/>
        <v>1</v>
      </c>
      <c r="AB160" s="13" t="str">
        <f ca="1">IF(AA160&gt;0,Y88&amp;Sprache!$E$111&amp;X88,"")</f>
        <v>1:3</v>
      </c>
      <c r="AC160" s="2"/>
      <c r="AD160" s="143"/>
    </row>
    <row r="161" spans="25:30" x14ac:dyDescent="0.2">
      <c r="Y161" s="67" t="s">
        <v>41</v>
      </c>
      <c r="Z161" s="35" t="str">
        <f t="shared" ca="1" si="73"/>
        <v>Manchester CityInter Mailand</v>
      </c>
      <c r="AA161" s="13">
        <f t="shared" ca="1" si="72"/>
        <v>1</v>
      </c>
      <c r="AB161" s="13" t="str">
        <f ca="1">IF(AA161&gt;0,Y89&amp;Sprache!$E$111&amp;X89,"")</f>
        <v>2:2</v>
      </c>
      <c r="AC161" s="2"/>
      <c r="AD161" s="143"/>
    </row>
    <row r="162" spans="25:30" x14ac:dyDescent="0.2">
      <c r="Y162" s="67" t="s">
        <v>42</v>
      </c>
      <c r="Z162" s="35" t="str">
        <f t="shared" ca="1" si="73"/>
        <v>FSV RauenReal Madrid</v>
      </c>
      <c r="AA162" s="13">
        <f t="shared" ca="1" si="72"/>
        <v>1</v>
      </c>
      <c r="AB162" s="13" t="str">
        <f ca="1">IF(AA162&gt;0,Y90&amp;Sprache!$E$111&amp;X90,"")</f>
        <v>0:4</v>
      </c>
      <c r="AC162" s="2"/>
      <c r="AD162" s="143"/>
    </row>
    <row r="163" spans="25:30" x14ac:dyDescent="0.2">
      <c r="Y163" s="67" t="s">
        <v>43</v>
      </c>
      <c r="Z163" s="35" t="str">
        <f t="shared" ca="1" si="73"/>
        <v>RB LeipzigParis St. Germain</v>
      </c>
      <c r="AA163" s="13">
        <f t="shared" ca="1" si="72"/>
        <v>1</v>
      </c>
      <c r="AB163" s="13" t="str">
        <f ca="1">IF(AA163&gt;0,Y91&amp;Sprache!$E$111&amp;X91,"")</f>
        <v>1:3</v>
      </c>
      <c r="AC163" s="2"/>
      <c r="AD163" s="143"/>
    </row>
    <row r="164" spans="25:30" x14ac:dyDescent="0.2">
      <c r="Y164" s="67" t="s">
        <v>44</v>
      </c>
      <c r="Z164" s="35" t="str">
        <f t="shared" ca="1" si="73"/>
        <v>1. FC RiedwaldEintracht Frankfurt</v>
      </c>
      <c r="AA164" s="13">
        <f t="shared" ca="1" si="72"/>
        <v>1</v>
      </c>
      <c r="AB164" s="13" t="str">
        <f ca="1">IF(AA164&gt;0,Y92&amp;Sprache!$E$111&amp;X92,"")</f>
        <v>2:6</v>
      </c>
      <c r="AC164" s="2"/>
      <c r="AD164" s="143"/>
    </row>
    <row r="165" spans="25:30" x14ac:dyDescent="0.2">
      <c r="Y165" s="67" t="s">
        <v>45</v>
      </c>
      <c r="Z165" s="35" t="str">
        <f t="shared" ca="1" si="73"/>
        <v>Mainz 05SSV Wildbach</v>
      </c>
      <c r="AA165" s="13">
        <f t="shared" ca="1" si="72"/>
        <v>1</v>
      </c>
      <c r="AB165" s="13" t="str">
        <f ca="1">IF(AA165&gt;0,Y93&amp;Sprache!$E$111&amp;X93,"")</f>
        <v>2:2</v>
      </c>
      <c r="AC165" s="2"/>
      <c r="AD165" s="143"/>
    </row>
    <row r="166" spans="25:30" x14ac:dyDescent="0.2">
      <c r="Y166" s="67" t="s">
        <v>46</v>
      </c>
      <c r="Z166" s="35" t="str">
        <f t="shared" ca="1" si="73"/>
        <v>Kickers RodendorfBorussia Dortmund</v>
      </c>
      <c r="AA166" s="13">
        <f t="shared" ca="1" si="72"/>
        <v>1</v>
      </c>
      <c r="AB166" s="13" t="str">
        <f ca="1">IF(AA166&gt;0,Y94&amp;Sprache!$E$111&amp;X94,"")</f>
        <v>1:4</v>
      </c>
      <c r="AC166" s="2"/>
      <c r="AD166" s="143"/>
    </row>
    <row r="167" spans="25:30" x14ac:dyDescent="0.2">
      <c r="Y167" s="67" t="s">
        <v>47</v>
      </c>
      <c r="Z167" s="35" t="str">
        <f t="shared" ca="1" si="73"/>
        <v>TSG Saalberg eVHSV</v>
      </c>
      <c r="AA167" s="13">
        <f t="shared" ca="1" si="72"/>
        <v>1</v>
      </c>
      <c r="AB167" s="13" t="str">
        <f ca="1">IF(AA167&gt;0,Y95&amp;Sprache!$E$111&amp;X95,"")</f>
        <v>2:3</v>
      </c>
      <c r="AC167" s="2"/>
      <c r="AD167" s="143"/>
    </row>
    <row r="168" spans="25:30" x14ac:dyDescent="0.2">
      <c r="Y168" s="67" t="s">
        <v>48</v>
      </c>
      <c r="Z168" s="35" t="str">
        <f t="shared" ca="1" si="73"/>
        <v>VFB EssenheimMaibach 1822 eV</v>
      </c>
      <c r="AA168" s="13">
        <f t="shared" ca="1" si="72"/>
        <v>1</v>
      </c>
      <c r="AB168" s="13" t="str">
        <f ca="1">IF(AA168&gt;0,Y96&amp;Sprache!$E$111&amp;X96,"")</f>
        <v>5:3</v>
      </c>
      <c r="AC168" s="2"/>
      <c r="AD168" s="143"/>
    </row>
    <row r="169" spans="25:30" x14ac:dyDescent="0.2">
      <c r="Y169" s="67" t="s">
        <v>49</v>
      </c>
      <c r="Z169" s="35" t="str">
        <f t="shared" ca="1" si="73"/>
        <v>FC GrönlingenManchester City</v>
      </c>
      <c r="AA169" s="13">
        <f t="shared" ca="1" si="72"/>
        <v>1</v>
      </c>
      <c r="AB169" s="13" t="str">
        <f ca="1">IF(AA169&gt;0,Y97&amp;Sprache!$E$111&amp;X97,"")</f>
        <v>2:4</v>
      </c>
      <c r="AC169" s="2"/>
      <c r="AD169" s="143"/>
    </row>
    <row r="170" spans="25:30" x14ac:dyDescent="0.2">
      <c r="Y170" s="67" t="s">
        <v>50</v>
      </c>
      <c r="Z170" s="35" t="str">
        <f t="shared" ca="1" si="73"/>
        <v>1. FC NürnbergFSV Rauen</v>
      </c>
      <c r="AA170" s="13">
        <f t="shared" ca="1" si="72"/>
        <v>1</v>
      </c>
      <c r="AB170" s="13" t="str">
        <f ca="1">IF(AA170&gt;0,Y98&amp;Sprache!$E$111&amp;X98,"")</f>
        <v>4:3</v>
      </c>
      <c r="AC170" s="2"/>
      <c r="AD170" s="143"/>
    </row>
    <row r="171" spans="25:30" x14ac:dyDescent="0.2">
      <c r="Y171" s="67" t="s">
        <v>51</v>
      </c>
      <c r="Z171" s="35" t="str">
        <f t="shared" ca="1" si="73"/>
        <v>SV OberredenburgRB Leipzig</v>
      </c>
      <c r="AA171" s="13">
        <f t="shared" ca="1" si="72"/>
        <v>1</v>
      </c>
      <c r="AB171" s="13" t="str">
        <f ca="1">IF(AA171&gt;0,Y99&amp;Sprache!$E$111&amp;X99,"")</f>
        <v>0:3</v>
      </c>
      <c r="AC171" s="2"/>
      <c r="AD171" s="143"/>
    </row>
    <row r="172" spans="25:30" x14ac:dyDescent="0.2">
      <c r="Y172" s="67" t="s">
        <v>60</v>
      </c>
      <c r="Z172" s="35" t="str">
        <f t="shared" ca="1" si="73"/>
        <v>FC Barcelona1. FC Riedwald</v>
      </c>
      <c r="AA172" s="13">
        <f t="shared" ca="1" si="72"/>
        <v>1</v>
      </c>
      <c r="AB172" s="13" t="str">
        <f ca="1">IF(AA172&gt;0,Y100&amp;Sprache!$E$111&amp;X100,"")</f>
        <v>6:1</v>
      </c>
      <c r="AC172" s="2"/>
      <c r="AD172" s="143"/>
    </row>
    <row r="173" spans="25:30" x14ac:dyDescent="0.2">
      <c r="Y173" s="67" t="s">
        <v>61</v>
      </c>
      <c r="Z173" s="35" t="str">
        <f t="shared" ca="1" si="73"/>
        <v>Inter MailandMainz 05</v>
      </c>
      <c r="AA173" s="13">
        <f t="shared" ca="1" si="72"/>
        <v>1</v>
      </c>
      <c r="AB173" s="13" t="str">
        <f ca="1">IF(AA173&gt;0,Y101&amp;Sprache!$E$111&amp;X101,"")</f>
        <v>3:2</v>
      </c>
      <c r="AC173" s="2"/>
      <c r="AD173" s="143"/>
    </row>
    <row r="174" spans="25:30" x14ac:dyDescent="0.2">
      <c r="Y174" s="67" t="s">
        <v>62</v>
      </c>
      <c r="Z174" s="35" t="str">
        <f t="shared" ca="1" si="73"/>
        <v>Real MadridKickers Rodendorf</v>
      </c>
      <c r="AA174" s="13">
        <f t="shared" ca="1" si="72"/>
        <v>1</v>
      </c>
      <c r="AB174" s="13" t="str">
        <f ca="1">IF(AA174&gt;0,Y102&amp;Sprache!$E$111&amp;X102,"")</f>
        <v>5:1</v>
      </c>
      <c r="AC174" s="2"/>
      <c r="AD174" s="143"/>
    </row>
    <row r="175" spans="25:30" x14ac:dyDescent="0.2">
      <c r="Y175" s="67" t="s">
        <v>63</v>
      </c>
      <c r="Z175" s="35" t="str">
        <f t="shared" ca="1" si="73"/>
        <v>Paris St. GermainTSG Saalberg eV</v>
      </c>
      <c r="AA175" s="13">
        <f t="shared" ca="1" si="72"/>
        <v>1</v>
      </c>
      <c r="AB175" s="13" t="str">
        <f ca="1">IF(AA175&gt;0,Y103&amp;Sprache!$E$111&amp;X103,"")</f>
        <v>7:0</v>
      </c>
      <c r="AC175" s="2"/>
      <c r="AD175" s="143"/>
    </row>
    <row r="176" spans="25:30" x14ac:dyDescent="0.2">
      <c r="Y176" s="67" t="s">
        <v>64</v>
      </c>
      <c r="Z176" s="35" t="str">
        <f t="shared" ca="1" si="73"/>
        <v/>
      </c>
      <c r="AA176" s="13">
        <f t="shared" ca="1" si="72"/>
        <v>0</v>
      </c>
      <c r="AB176" s="13" t="str">
        <f ca="1">IF(AA176&gt;0,Y104&amp;Sprache!$E$111&amp;X104,"")</f>
        <v/>
      </c>
      <c r="AC176" s="2"/>
      <c r="AD176" s="143"/>
    </row>
    <row r="177" spans="25:30" x14ac:dyDescent="0.2">
      <c r="Y177" s="67" t="s">
        <v>65</v>
      </c>
      <c r="Z177" s="35" t="str">
        <f t="shared" ca="1" si="73"/>
        <v/>
      </c>
      <c r="AA177" s="13">
        <f t="shared" ca="1" si="72"/>
        <v>0</v>
      </c>
      <c r="AB177" s="13" t="str">
        <f ca="1">IF(AA177&gt;0,Y105&amp;Sprache!$E$111&amp;X105,"")</f>
        <v/>
      </c>
      <c r="AC177" s="2"/>
      <c r="AD177" s="143"/>
    </row>
    <row r="178" spans="25:30" x14ac:dyDescent="0.2">
      <c r="Y178" s="67" t="s">
        <v>66</v>
      </c>
      <c r="Z178" s="35" t="str">
        <f t="shared" ca="1" si="73"/>
        <v/>
      </c>
      <c r="AA178" s="13">
        <f t="shared" ca="1" si="72"/>
        <v>0</v>
      </c>
      <c r="AB178" s="13" t="str">
        <f ca="1">IF(AA178&gt;0,Y106&amp;Sprache!$E$111&amp;X106,"")</f>
        <v/>
      </c>
      <c r="AC178" s="2"/>
      <c r="AD178" s="143"/>
    </row>
    <row r="179" spans="25:30" x14ac:dyDescent="0.2">
      <c r="Y179" s="67" t="s">
        <v>67</v>
      </c>
      <c r="Z179" s="35" t="str">
        <f t="shared" ca="1" si="73"/>
        <v/>
      </c>
      <c r="AA179" s="13">
        <f t="shared" ca="1" si="72"/>
        <v>0</v>
      </c>
      <c r="AB179" s="13" t="str">
        <f ca="1">IF(AA179&gt;0,Y107&amp;Sprache!$E$111&amp;X107,"")</f>
        <v/>
      </c>
      <c r="AC179" s="2"/>
      <c r="AD179" s="143"/>
    </row>
    <row r="180" spans="25:30" x14ac:dyDescent="0.2">
      <c r="Y180" s="67" t="s">
        <v>68</v>
      </c>
      <c r="Z180" s="35" t="str">
        <f t="shared" ca="1" si="73"/>
        <v/>
      </c>
      <c r="AA180" s="13">
        <f t="shared" ca="1" si="72"/>
        <v>0</v>
      </c>
      <c r="AB180" s="13" t="str">
        <f ca="1">IF(AA180&gt;0,Y108&amp;Sprache!$E$111&amp;X108,"")</f>
        <v/>
      </c>
      <c r="AC180" s="2"/>
      <c r="AD180" s="143"/>
    </row>
    <row r="181" spans="25:30" x14ac:dyDescent="0.2">
      <c r="Y181" s="67" t="s">
        <v>69</v>
      </c>
      <c r="Z181" s="35" t="str">
        <f t="shared" ca="1" si="73"/>
        <v/>
      </c>
      <c r="AA181" s="13">
        <f t="shared" ca="1" si="72"/>
        <v>0</v>
      </c>
      <c r="AB181" s="13" t="str">
        <f ca="1">IF(AA181&gt;0,Y109&amp;Sprache!$E$111&amp;X109,"")</f>
        <v/>
      </c>
      <c r="AC181" s="2"/>
      <c r="AD181" s="143"/>
    </row>
    <row r="182" spans="25:30" x14ac:dyDescent="0.2">
      <c r="Y182" s="67" t="s">
        <v>70</v>
      </c>
      <c r="Z182" s="35" t="str">
        <f t="shared" ca="1" si="73"/>
        <v/>
      </c>
      <c r="AA182" s="13">
        <f t="shared" ca="1" si="72"/>
        <v>0</v>
      </c>
      <c r="AB182" s="13" t="str">
        <f ca="1">IF(AA182&gt;0,Y110&amp;Sprache!$E$111&amp;X110,"")</f>
        <v/>
      </c>
      <c r="AC182" s="2"/>
      <c r="AD182" s="143"/>
    </row>
    <row r="183" spans="25:30" x14ac:dyDescent="0.2">
      <c r="Y183" s="67" t="s">
        <v>71</v>
      </c>
      <c r="Z183" s="35" t="str">
        <f t="shared" ca="1" si="73"/>
        <v/>
      </c>
      <c r="AA183" s="13">
        <f t="shared" ca="1" si="72"/>
        <v>0</v>
      </c>
      <c r="AB183" s="13" t="str">
        <f ca="1">IF(AA183&gt;0,Y111&amp;Sprache!$E$111&amp;X111,"")</f>
        <v/>
      </c>
      <c r="AC183" s="2"/>
      <c r="AD183" s="143"/>
    </row>
    <row r="184" spans="25:30" x14ac:dyDescent="0.2">
      <c r="Y184" s="67" t="s">
        <v>72</v>
      </c>
      <c r="Z184" s="35" t="str">
        <f t="shared" ca="1" si="73"/>
        <v/>
      </c>
      <c r="AA184" s="13">
        <f t="shared" ca="1" si="72"/>
        <v>0</v>
      </c>
      <c r="AB184" s="13" t="str">
        <f ca="1">IF(AA184&gt;0,Y112&amp;Sprache!$E$111&amp;X112,"")</f>
        <v/>
      </c>
      <c r="AC184" s="2"/>
      <c r="AD184" s="143"/>
    </row>
    <row r="185" spans="25:30" x14ac:dyDescent="0.2">
      <c r="Y185" s="67" t="s">
        <v>73</v>
      </c>
      <c r="Z185" s="35" t="str">
        <f t="shared" ca="1" si="73"/>
        <v/>
      </c>
      <c r="AA185" s="13">
        <f t="shared" ca="1" si="72"/>
        <v>0</v>
      </c>
      <c r="AB185" s="13" t="str">
        <f ca="1">IF(AA185&gt;0,Y113&amp;Sprache!$E$111&amp;X113,"")</f>
        <v/>
      </c>
      <c r="AC185" s="2"/>
      <c r="AD185" s="143"/>
    </row>
    <row r="186" spans="25:30" x14ac:dyDescent="0.2">
      <c r="Y186" s="67" t="s">
        <v>74</v>
      </c>
      <c r="Z186" s="35" t="str">
        <f t="shared" ca="1" si="73"/>
        <v/>
      </c>
      <c r="AA186" s="13">
        <f t="shared" ca="1" si="72"/>
        <v>0</v>
      </c>
      <c r="AB186" s="13" t="str">
        <f ca="1">IF(AA186&gt;0,Y114&amp;Sprache!$E$111&amp;X114,"")</f>
        <v/>
      </c>
      <c r="AC186" s="2"/>
      <c r="AD186" s="143"/>
    </row>
    <row r="187" spans="25:30" x14ac:dyDescent="0.2">
      <c r="Y187" s="67" t="s">
        <v>75</v>
      </c>
      <c r="Z187" s="35" t="str">
        <f t="shared" ca="1" si="73"/>
        <v/>
      </c>
      <c r="AA187" s="13">
        <f t="shared" ca="1" si="72"/>
        <v>0</v>
      </c>
      <c r="AB187" s="13" t="str">
        <f ca="1">IF(AA187&gt;0,Y115&amp;Sprache!$E$111&amp;X115,"")</f>
        <v/>
      </c>
      <c r="AC187" s="2"/>
      <c r="AD187" s="143"/>
    </row>
    <row r="188" spans="25:30" x14ac:dyDescent="0.2">
      <c r="Y188" s="67" t="s">
        <v>76</v>
      </c>
      <c r="Z188" s="35" t="str">
        <f t="shared" ca="1" si="73"/>
        <v/>
      </c>
      <c r="AA188" s="13">
        <f t="shared" ca="1" si="72"/>
        <v>0</v>
      </c>
      <c r="AB188" s="13" t="str">
        <f ca="1">IF(AA188&gt;0,Y116&amp;Sprache!$E$111&amp;X116,"")</f>
        <v/>
      </c>
      <c r="AC188" s="2"/>
      <c r="AD188" s="143"/>
    </row>
    <row r="189" spans="25:30" x14ac:dyDescent="0.2">
      <c r="Y189" s="67" t="s">
        <v>77</v>
      </c>
      <c r="Z189" s="35" t="str">
        <f t="shared" ca="1" si="73"/>
        <v/>
      </c>
      <c r="AA189" s="13">
        <f t="shared" ca="1" si="72"/>
        <v>0</v>
      </c>
      <c r="AB189" s="13" t="str">
        <f ca="1">IF(AA189&gt;0,Y117&amp;Sprache!$E$111&amp;X117,"")</f>
        <v/>
      </c>
      <c r="AC189" s="2"/>
      <c r="AD189" s="143"/>
    </row>
    <row r="190" spans="25:30" x14ac:dyDescent="0.2">
      <c r="Y190" s="67" t="s">
        <v>78</v>
      </c>
      <c r="Z190" s="35" t="str">
        <f t="shared" ca="1" si="73"/>
        <v/>
      </c>
      <c r="AA190" s="13">
        <f t="shared" ca="1" si="72"/>
        <v>0</v>
      </c>
      <c r="AB190" s="13" t="str">
        <f ca="1">IF(AA190&gt;0,Y118&amp;Sprache!$E$111&amp;X118,"")</f>
        <v/>
      </c>
      <c r="AC190" s="2"/>
      <c r="AD190" s="143"/>
    </row>
    <row r="191" spans="25:30" x14ac:dyDescent="0.2">
      <c r="Y191" s="67" t="s">
        <v>79</v>
      </c>
      <c r="Z191" s="35" t="str">
        <f t="shared" ca="1" si="73"/>
        <v/>
      </c>
      <c r="AA191" s="13">
        <f t="shared" ca="1" si="72"/>
        <v>0</v>
      </c>
      <c r="AB191" s="13" t="str">
        <f ca="1">IF(AA191&gt;0,Y119&amp;Sprache!$E$111&amp;X119,"")</f>
        <v/>
      </c>
      <c r="AC191" s="2"/>
      <c r="AD191" s="143"/>
    </row>
    <row r="192" spans="25:30" x14ac:dyDescent="0.2">
      <c r="Y192" s="67" t="s">
        <v>80</v>
      </c>
      <c r="Z192" s="35" t="str">
        <f t="shared" ca="1" si="73"/>
        <v/>
      </c>
      <c r="AA192" s="13">
        <f t="shared" ca="1" si="72"/>
        <v>0</v>
      </c>
      <c r="AB192" s="13" t="str">
        <f ca="1">IF(AA192&gt;0,Y120&amp;Sprache!$E$111&amp;X120,"")</f>
        <v/>
      </c>
      <c r="AC192" s="2"/>
      <c r="AD192" s="143"/>
    </row>
    <row r="193" spans="25:30" x14ac:dyDescent="0.2">
      <c r="Y193" s="67" t="s">
        <v>81</v>
      </c>
      <c r="Z193" s="35" t="str">
        <f t="shared" ca="1" si="73"/>
        <v/>
      </c>
      <c r="AA193" s="13">
        <f t="shared" ca="1" si="72"/>
        <v>0</v>
      </c>
      <c r="AB193" s="13" t="str">
        <f ca="1">IF(AA193&gt;0,Y121&amp;Sprache!$E$111&amp;X121,"")</f>
        <v/>
      </c>
      <c r="AC193" s="2"/>
      <c r="AD193" s="143"/>
    </row>
    <row r="194" spans="25:30" x14ac:dyDescent="0.2">
      <c r="Y194" s="67" t="s">
        <v>82</v>
      </c>
      <c r="Z194" s="35" t="str">
        <f t="shared" ca="1" si="73"/>
        <v/>
      </c>
      <c r="AA194" s="13">
        <f t="shared" ca="1" si="72"/>
        <v>0</v>
      </c>
      <c r="AB194" s="13" t="str">
        <f ca="1">IF(AA194&gt;0,Y122&amp;Sprache!$E$111&amp;X122,"")</f>
        <v/>
      </c>
      <c r="AC194" s="2"/>
      <c r="AD194" s="143"/>
    </row>
    <row r="195" spans="25:30" x14ac:dyDescent="0.2">
      <c r="Y195" s="67" t="s">
        <v>83</v>
      </c>
      <c r="Z195" s="35" t="str">
        <f t="shared" ca="1" si="73"/>
        <v/>
      </c>
      <c r="AA195" s="13">
        <f t="shared" ca="1" si="72"/>
        <v>0</v>
      </c>
      <c r="AB195" s="13" t="str">
        <f ca="1">IF(AA195&gt;0,Y123&amp;Sprache!$E$111&amp;X123,"")</f>
        <v/>
      </c>
      <c r="AC195" s="2"/>
      <c r="AD195" s="143"/>
    </row>
    <row r="196" spans="25:30" x14ac:dyDescent="0.2">
      <c r="Y196" s="67" t="s">
        <v>84</v>
      </c>
      <c r="Z196" s="35" t="str">
        <f t="shared" si="73"/>
        <v/>
      </c>
      <c r="AA196" s="13">
        <f t="shared" si="72"/>
        <v>0</v>
      </c>
      <c r="AB196" s="13" t="str">
        <f>IF(AA196&gt;0,Y124&amp;Sprache!$E$111&amp;X124,"")</f>
        <v/>
      </c>
      <c r="AC196" s="2"/>
      <c r="AD196" s="143"/>
    </row>
    <row r="197" spans="25:30" x14ac:dyDescent="0.2">
      <c r="Y197" s="67" t="s">
        <v>85</v>
      </c>
      <c r="Z197" s="35" t="str">
        <f t="shared" si="73"/>
        <v/>
      </c>
      <c r="AA197" s="13">
        <f t="shared" si="72"/>
        <v>0</v>
      </c>
      <c r="AB197" s="13" t="str">
        <f>IF(AA197&gt;0,Y125&amp;Sprache!$E$111&amp;X125,"")</f>
        <v/>
      </c>
      <c r="AC197" s="2"/>
      <c r="AD197" s="143"/>
    </row>
    <row r="198" spans="25:30" x14ac:dyDescent="0.2">
      <c r="Y198" s="67" t="s">
        <v>86</v>
      </c>
      <c r="Z198" s="35" t="str">
        <f t="shared" si="73"/>
        <v/>
      </c>
      <c r="AA198" s="13">
        <f t="shared" si="72"/>
        <v>0</v>
      </c>
      <c r="AB198" s="13" t="str">
        <f>IF(AA198&gt;0,Y126&amp;Sprache!$E$111&amp;X126,"")</f>
        <v/>
      </c>
      <c r="AC198" s="2"/>
      <c r="AD198" s="143"/>
    </row>
    <row r="199" spans="25:30" x14ac:dyDescent="0.2">
      <c r="Y199" s="67" t="s">
        <v>87</v>
      </c>
      <c r="Z199" s="35" t="str">
        <f t="shared" si="73"/>
        <v/>
      </c>
      <c r="AA199" s="13">
        <f t="shared" si="72"/>
        <v>0</v>
      </c>
      <c r="AB199" s="13" t="str">
        <f>IF(AA199&gt;0,Y127&amp;Sprache!$E$111&amp;X127,"")</f>
        <v/>
      </c>
      <c r="AC199" s="2"/>
      <c r="AD199" s="143"/>
    </row>
    <row r="200" spans="25:30" x14ac:dyDescent="0.2">
      <c r="Y200" s="67" t="s">
        <v>88</v>
      </c>
      <c r="Z200" s="35" t="str">
        <f t="shared" si="73"/>
        <v/>
      </c>
      <c r="AA200" s="13">
        <f t="shared" si="72"/>
        <v>0</v>
      </c>
      <c r="AB200" s="13" t="str">
        <f>IF(AA200&gt;0,Y128&amp;Sprache!$E$111&amp;X128,"")</f>
        <v/>
      </c>
      <c r="AC200" s="2"/>
      <c r="AD200" s="143"/>
    </row>
    <row r="201" spans="25:30" x14ac:dyDescent="0.2">
      <c r="Y201" s="67" t="s">
        <v>89</v>
      </c>
      <c r="Z201" s="35" t="str">
        <f t="shared" si="73"/>
        <v/>
      </c>
      <c r="AA201" s="13">
        <f t="shared" ref="AA201:AA207" si="74">AA129</f>
        <v>0</v>
      </c>
      <c r="AB201" s="13" t="str">
        <f>IF(AA201&gt;0,Y129&amp;Sprache!$E$111&amp;X129,"")</f>
        <v/>
      </c>
      <c r="AC201" s="2"/>
      <c r="AD201" s="143"/>
    </row>
    <row r="202" spans="25:30" x14ac:dyDescent="0.2">
      <c r="Y202" s="67" t="s">
        <v>90</v>
      </c>
      <c r="Z202" s="35" t="str">
        <f t="shared" ref="Z202:Z206" si="75">W130&amp;V130</f>
        <v/>
      </c>
      <c r="AA202" s="13">
        <f t="shared" si="74"/>
        <v>0</v>
      </c>
      <c r="AB202" s="13" t="str">
        <f>IF(AA202&gt;0,Y130&amp;Sprache!$E$111&amp;X130,"")</f>
        <v/>
      </c>
      <c r="AC202" s="2"/>
      <c r="AD202" s="143"/>
    </row>
    <row r="203" spans="25:30" x14ac:dyDescent="0.2">
      <c r="Y203" s="67" t="s">
        <v>91</v>
      </c>
      <c r="Z203" s="35" t="str">
        <f t="shared" si="75"/>
        <v/>
      </c>
      <c r="AA203" s="13">
        <f t="shared" si="74"/>
        <v>0</v>
      </c>
      <c r="AB203" s="13" t="str">
        <f>IF(AA203&gt;0,Y131&amp;Sprache!$E$111&amp;X131,"")</f>
        <v/>
      </c>
      <c r="AC203" s="2"/>
      <c r="AD203" s="143"/>
    </row>
    <row r="204" spans="25:30" x14ac:dyDescent="0.2">
      <c r="Y204" s="67" t="s">
        <v>92</v>
      </c>
      <c r="Z204" s="35" t="str">
        <f t="shared" si="75"/>
        <v/>
      </c>
      <c r="AA204" s="13">
        <f t="shared" si="74"/>
        <v>0</v>
      </c>
      <c r="AB204" s="13" t="str">
        <f>IF(AA204&gt;0,Y132&amp;Sprache!$E$111&amp;X132,"")</f>
        <v/>
      </c>
      <c r="AC204" s="2"/>
      <c r="AD204" s="143"/>
    </row>
    <row r="205" spans="25:30" x14ac:dyDescent="0.2">
      <c r="Y205" s="67" t="s">
        <v>93</v>
      </c>
      <c r="Z205" s="35" t="str">
        <f t="shared" si="75"/>
        <v/>
      </c>
      <c r="AA205" s="13">
        <f t="shared" si="74"/>
        <v>0</v>
      </c>
      <c r="AB205" s="13" t="str">
        <f>IF(AA205&gt;0,Y133&amp;Sprache!$E$111&amp;X133,"")</f>
        <v/>
      </c>
      <c r="AC205" s="2"/>
      <c r="AD205" s="143"/>
    </row>
    <row r="206" spans="25:30" x14ac:dyDescent="0.2">
      <c r="Y206" s="67" t="s">
        <v>94</v>
      </c>
      <c r="Z206" s="35" t="str">
        <f t="shared" si="75"/>
        <v/>
      </c>
      <c r="AA206" s="13">
        <f t="shared" si="74"/>
        <v>0</v>
      </c>
      <c r="AB206" s="13" t="str">
        <f>IF(AA206&gt;0,Y134&amp;Sprache!$E$111&amp;X134,"")</f>
        <v/>
      </c>
      <c r="AC206" s="2"/>
      <c r="AD206" s="143"/>
    </row>
    <row r="207" spans="25:30" ht="12.75" thickBot="1" x14ac:dyDescent="0.25">
      <c r="Y207" s="68" t="s">
        <v>95</v>
      </c>
      <c r="Z207" s="37" t="str">
        <f>W135&amp;V135</f>
        <v/>
      </c>
      <c r="AA207" s="38">
        <f t="shared" si="74"/>
        <v>0</v>
      </c>
      <c r="AB207" s="144" t="str">
        <f>IF(AA207&gt;0,Y135&amp;Sprache!$E$111&amp;X135,"")</f>
        <v/>
      </c>
      <c r="AC207" s="146"/>
      <c r="AD207" s="145"/>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9F77-442E-4267-938A-4E7039E90926}">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5</v>
      </c>
      <c r="D4" s="13">
        <f ca="1">E4+ROW()/1000+(F4="")*10</f>
        <v>9.0039999999999996</v>
      </c>
      <c r="E4" s="251">
        <f ca="1">IF($AI$15,RANK(AH17,AH$17:AH$25,1),RANK(X17,X$17:X$25,1))</f>
        <v>9</v>
      </c>
      <c r="F4" s="1" t="str">
        <f>$Q64</f>
        <v>TSG Saalberg eV</v>
      </c>
      <c r="G4" s="1">
        <f t="shared" ref="G4:G12" ca="1" si="1">SUMIFS($X$64:$X$135,$V$64:$V$135,$F4)+SUMIFS($Y$64:$Y$135,$W$64:$W$135,$F4)</f>
        <v>5</v>
      </c>
      <c r="H4" s="1">
        <f t="shared" ref="H4:H12" ca="1" si="2">SUMIFS($Y$64:$Y$135,$V$64:$V$135,$F4)+SUMIFS($X$64:$X$135,$W$64:$W$135,$F4)</f>
        <v>17</v>
      </c>
      <c r="I4" s="13">
        <f t="shared" ref="I4:I12" ca="1" si="3">G4-H4</f>
        <v>-12</v>
      </c>
      <c r="J4" s="1">
        <f ca="1">SUMIF($V$64:$V$135,F4,$AE$64:$AE$135)+SUMIF($W$64:$W$135,F4,$AF$64:$AF$135)</f>
        <v>0</v>
      </c>
      <c r="K4" s="1">
        <f t="shared" ref="K4:K12" ca="1" si="4">SUMPRODUCT(($V$64:$V$135=F4)*($X$64:$X$135&lt;&gt;""))+SUMPRODUCT(($W$64:$W$135=F4)*($Y$64:$Y$135&lt;&gt;""))</f>
        <v>4</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4</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1.0504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1.0504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1.0504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1.0504</v>
      </c>
      <c r="AP4" s="644">
        <f ca="1">RANK($AO4,$AO$4:$AO$12,1)</f>
        <v>1</v>
      </c>
    </row>
    <row r="5" spans="1:42" s="2" customFormat="1" x14ac:dyDescent="0.2">
      <c r="A5" s="238"/>
      <c r="B5" s="1">
        <v>2</v>
      </c>
      <c r="C5" s="22">
        <f t="shared" ref="C5:C12" ca="1" si="11">RANK(D5,$D$4:$D$12,1)</f>
        <v>1</v>
      </c>
      <c r="D5" s="13">
        <f t="shared" ref="D5:D12" ca="1" si="12">E5+ROW()/1000+(F5="")*10</f>
        <v>1.0049999999999999</v>
      </c>
      <c r="E5" s="251">
        <f t="shared" ref="E5:E12" ca="1" si="13">IF($AI$15,RANK(AH18,AH$17:AH$25,1),RANK(X18,X$17:X$25,1))</f>
        <v>1</v>
      </c>
      <c r="F5" s="1" t="str">
        <f t="shared" ref="F5:F12" si="14">$Q65</f>
        <v>Paris St. Germain</v>
      </c>
      <c r="G5" s="1">
        <f t="shared" ca="1" si="1"/>
        <v>18</v>
      </c>
      <c r="H5" s="1">
        <f t="shared" ca="1" si="2"/>
        <v>5</v>
      </c>
      <c r="I5" s="13">
        <f t="shared" ca="1" si="3"/>
        <v>13</v>
      </c>
      <c r="J5" s="1">
        <f t="shared" ref="J5:J12" ca="1" si="15">SUMIF($V$64:$V$135,F5,$AE$64:$AE$135)+SUMIF($W$64:$W$135,F5,$AF$64:$AF$135)</f>
        <v>12</v>
      </c>
      <c r="K5" s="1">
        <f t="shared" ca="1" si="4"/>
        <v>4</v>
      </c>
      <c r="L5" s="1">
        <f t="shared" ca="1" si="5"/>
        <v>4</v>
      </c>
      <c r="M5" s="1">
        <f t="shared" ca="1" si="6"/>
        <v>0</v>
      </c>
      <c r="N5" s="1">
        <f t="shared" ca="1" si="7"/>
        <v>0</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1.0505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1.0505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1.0505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1.0505</v>
      </c>
      <c r="AP5" s="644">
        <f t="shared" ref="AP5:AP12" ca="1" si="28">RANK($AO5,$AO$4:$AO$12,1)</f>
        <v>2</v>
      </c>
    </row>
    <row r="6" spans="1:42" s="2" customFormat="1" x14ac:dyDescent="0.2">
      <c r="A6" s="238"/>
      <c r="B6" s="1">
        <v>3</v>
      </c>
      <c r="C6" s="22">
        <f t="shared" ca="1" si="11"/>
        <v>3</v>
      </c>
      <c r="D6" s="13">
        <f t="shared" ca="1" si="12"/>
        <v>3.0059999999999998</v>
      </c>
      <c r="E6" s="251">
        <f t="shared" ca="1" si="13"/>
        <v>3</v>
      </c>
      <c r="F6" s="1" t="str">
        <f t="shared" si="14"/>
        <v>HSV</v>
      </c>
      <c r="G6" s="1">
        <f t="shared" ca="1" si="1"/>
        <v>8</v>
      </c>
      <c r="H6" s="1">
        <f t="shared" ca="1" si="2"/>
        <v>7</v>
      </c>
      <c r="I6" s="13">
        <f t="shared" ca="1" si="3"/>
        <v>1</v>
      </c>
      <c r="J6" s="1">
        <f t="shared" ca="1" si="15"/>
        <v>7</v>
      </c>
      <c r="K6" s="1">
        <f t="shared" ca="1" si="4"/>
        <v>4</v>
      </c>
      <c r="L6" s="1">
        <f t="shared" ca="1" si="5"/>
        <v>2</v>
      </c>
      <c r="M6" s="1">
        <f t="shared" ca="1" si="6"/>
        <v>1</v>
      </c>
      <c r="N6" s="1">
        <f t="shared" ca="1" si="7"/>
        <v>1</v>
      </c>
      <c r="O6" s="24"/>
      <c r="P6" s="25"/>
      <c r="V6" s="1"/>
      <c r="W6" s="641" t="str">
        <f t="shared" ca="1" si="16"/>
        <v/>
      </c>
      <c r="X6" s="642" t="str">
        <f t="shared" ca="1" si="17"/>
        <v/>
      </c>
      <c r="Y6" s="639">
        <f t="shared" ca="1" si="18"/>
        <v>99999</v>
      </c>
      <c r="Z6" s="639">
        <f ca="1">RANK(Y6,Y$4:Y$12,1)+INDEX($E$4:$E$12,MATCH(W6,$F$4:$F$12,0))/100+ROW()/10000</f>
        <v>1.0506</v>
      </c>
      <c r="AA6" s="644">
        <f t="shared" ca="1" si="19"/>
        <v>3</v>
      </c>
      <c r="AB6" s="641" t="str">
        <f t="shared" ca="1" si="8"/>
        <v/>
      </c>
      <c r="AC6" s="642" t="str">
        <f t="shared" ca="1" si="20"/>
        <v/>
      </c>
      <c r="AD6" s="643">
        <f t="shared" ca="1" si="21"/>
        <v>99999</v>
      </c>
      <c r="AE6" s="639">
        <f ca="1">RANK(AD6,AD$4:AD$12,1)+INDEX($E$4:$E$12,MATCH(AB6,$F$4:$F$12,0))/100+ROW()/10000</f>
        <v>1.0506</v>
      </c>
      <c r="AF6" s="639">
        <f t="shared" ca="1" si="22"/>
        <v>3</v>
      </c>
      <c r="AG6" s="641" t="str">
        <f t="shared" ca="1" si="9"/>
        <v/>
      </c>
      <c r="AH6" s="642" t="str">
        <f t="shared" ca="1" si="23"/>
        <v/>
      </c>
      <c r="AI6" s="643">
        <f t="shared" ca="1" si="24"/>
        <v>99999</v>
      </c>
      <c r="AJ6" s="639">
        <f ca="1">RANK(AI6,AI$4:AI$12,1)+INDEX($E$4:$E$12,MATCH(AG6,$F$4:$F$12,0))/100+ROW()/10000</f>
        <v>1.0506</v>
      </c>
      <c r="AK6" s="644">
        <f t="shared" ca="1" si="25"/>
        <v>3</v>
      </c>
      <c r="AL6" s="642" t="str">
        <f t="shared" ca="1" si="10"/>
        <v/>
      </c>
      <c r="AM6" s="642" t="str">
        <f t="shared" ca="1" si="26"/>
        <v/>
      </c>
      <c r="AN6" s="643">
        <f t="shared" ca="1" si="27"/>
        <v>99999</v>
      </c>
      <c r="AO6" s="639">
        <f ca="1">RANK(AN6,AN$4:AN$12,1)+INDEX($E$4:$E$12,MATCH(AL6,$F$4:$F$12,0))/100+ROW()/10000</f>
        <v>1.0506</v>
      </c>
      <c r="AP6" s="644">
        <f t="shared" ca="1" si="28"/>
        <v>3</v>
      </c>
    </row>
    <row r="7" spans="1:42" s="2" customFormat="1" x14ac:dyDescent="0.2">
      <c r="A7" s="238"/>
      <c r="B7" s="1">
        <v>4</v>
      </c>
      <c r="C7" s="22">
        <f t="shared" ca="1" si="11"/>
        <v>2</v>
      </c>
      <c r="D7" s="13">
        <f t="shared" ca="1" si="12"/>
        <v>2.0070000000000001</v>
      </c>
      <c r="E7" s="251">
        <f t="shared" ca="1" si="13"/>
        <v>2</v>
      </c>
      <c r="F7" s="1" t="str">
        <f t="shared" si="14"/>
        <v>RB Leipzig</v>
      </c>
      <c r="G7" s="1">
        <f t="shared" ca="1" si="1"/>
        <v>10</v>
      </c>
      <c r="H7" s="1">
        <f t="shared" ca="1" si="2"/>
        <v>6</v>
      </c>
      <c r="I7" s="13">
        <f t="shared" ca="1" si="3"/>
        <v>4</v>
      </c>
      <c r="J7" s="1">
        <f t="shared" ca="1" si="15"/>
        <v>7</v>
      </c>
      <c r="K7" s="1">
        <f t="shared" ca="1" si="4"/>
        <v>4</v>
      </c>
      <c r="L7" s="1">
        <f t="shared" ca="1" si="5"/>
        <v>2</v>
      </c>
      <c r="M7" s="1">
        <f t="shared" ca="1" si="6"/>
        <v>1</v>
      </c>
      <c r="N7" s="1">
        <f t="shared" ca="1" si="7"/>
        <v>1</v>
      </c>
      <c r="O7" s="24"/>
      <c r="P7" s="25"/>
      <c r="V7" s="1"/>
      <c r="W7" s="641" t="str">
        <f t="shared" ca="1" si="16"/>
        <v/>
      </c>
      <c r="X7" s="642" t="str">
        <f t="shared" ca="1" si="17"/>
        <v/>
      </c>
      <c r="Y7" s="639">
        <f t="shared" ca="1" si="18"/>
        <v>99999</v>
      </c>
      <c r="Z7" s="639">
        <f ca="1">RANK(Y7,Y$4:Y$12,1)+INDEX($E$4:$E$12,MATCH(W7,$F$4:$F$12,0))/100+ROW()/10000</f>
        <v>1.0507</v>
      </c>
      <c r="AA7" s="644">
        <f t="shared" ca="1" si="19"/>
        <v>4</v>
      </c>
      <c r="AB7" s="641" t="str">
        <f t="shared" ca="1" si="8"/>
        <v/>
      </c>
      <c r="AC7" s="642" t="str">
        <f t="shared" ca="1" si="20"/>
        <v/>
      </c>
      <c r="AD7" s="643">
        <f t="shared" ca="1" si="21"/>
        <v>99999</v>
      </c>
      <c r="AE7" s="639">
        <f ca="1">RANK(AD7,AD$4:AD$12,1)+INDEX($E$4:$E$12,MATCH(AB7,$F$4:$F$12,0))/100+ROW()/10000</f>
        <v>1.0507</v>
      </c>
      <c r="AF7" s="639">
        <f t="shared" ca="1" si="22"/>
        <v>4</v>
      </c>
      <c r="AG7" s="641" t="str">
        <f t="shared" ca="1" si="9"/>
        <v/>
      </c>
      <c r="AH7" s="642" t="str">
        <f t="shared" ca="1" si="23"/>
        <v/>
      </c>
      <c r="AI7" s="643">
        <f t="shared" ca="1" si="24"/>
        <v>99999</v>
      </c>
      <c r="AJ7" s="639">
        <f ca="1">RANK(AI7,AI$4:AI$12,1)+INDEX($E$4:$E$12,MATCH(AG7,$F$4:$F$12,0))/100+ROW()/10000</f>
        <v>1.0507</v>
      </c>
      <c r="AK7" s="644">
        <f t="shared" ca="1" si="25"/>
        <v>4</v>
      </c>
      <c r="AL7" s="642" t="str">
        <f t="shared" ca="1" si="10"/>
        <v/>
      </c>
      <c r="AM7" s="642" t="str">
        <f t="shared" ca="1" si="26"/>
        <v/>
      </c>
      <c r="AN7" s="643">
        <f t="shared" ca="1" si="27"/>
        <v>99999</v>
      </c>
      <c r="AO7" s="639">
        <f ca="1">RANK(AN7,AN$4:AN$12,1)+INDEX($E$4:$E$12,MATCH(AL7,$F$4:$F$12,0))/100+ROW()/10000</f>
        <v>1.0507</v>
      </c>
      <c r="AP7" s="644">
        <f t="shared" ca="1" si="28"/>
        <v>4</v>
      </c>
    </row>
    <row r="8" spans="1:42" s="2" customFormat="1" x14ac:dyDescent="0.2">
      <c r="A8" s="238"/>
      <c r="B8" s="1">
        <v>5</v>
      </c>
      <c r="C8" s="22">
        <f t="shared" ca="1" si="11"/>
        <v>4</v>
      </c>
      <c r="D8" s="13">
        <f t="shared" ca="1" si="12"/>
        <v>4.008</v>
      </c>
      <c r="E8" s="251">
        <f t="shared" ca="1" si="13"/>
        <v>4</v>
      </c>
      <c r="F8" s="1" t="str">
        <f t="shared" si="14"/>
        <v>SV Oberredenburg</v>
      </c>
      <c r="G8" s="1">
        <f t="shared" ca="1" si="1"/>
        <v>5</v>
      </c>
      <c r="H8" s="1">
        <f t="shared" ca="1" si="2"/>
        <v>11</v>
      </c>
      <c r="I8" s="13">
        <f t="shared" ca="1" si="3"/>
        <v>-6</v>
      </c>
      <c r="J8" s="1">
        <f t="shared" ca="1" si="15"/>
        <v>3</v>
      </c>
      <c r="K8" s="1">
        <f t="shared" ca="1" si="4"/>
        <v>4</v>
      </c>
      <c r="L8" s="1">
        <f t="shared" ca="1" si="5"/>
        <v>1</v>
      </c>
      <c r="M8" s="1">
        <f t="shared" ca="1" si="6"/>
        <v>0</v>
      </c>
      <c r="N8" s="1">
        <f t="shared" ca="1" si="7"/>
        <v>3</v>
      </c>
      <c r="P8" s="25"/>
      <c r="W8" s="641" t="str">
        <f t="shared" ca="1" si="16"/>
        <v/>
      </c>
      <c r="X8" s="642" t="str">
        <f t="shared" ca="1" si="17"/>
        <v/>
      </c>
      <c r="Y8" s="639">
        <f t="shared" ca="1" si="18"/>
        <v>99999</v>
      </c>
      <c r="Z8" s="639">
        <f t="shared" ref="Z8:Z12" ca="1" si="29">RANK(Y8,Y$4:Y$12,1)+INDEX($E$4:$E$12,MATCH(W8,$F$4:$F$12,0))/100+ROW()/10000</f>
        <v>1.0508</v>
      </c>
      <c r="AA8" s="644">
        <f t="shared" ca="1" si="19"/>
        <v>5</v>
      </c>
      <c r="AB8" s="641" t="str">
        <f t="shared" ca="1" si="8"/>
        <v/>
      </c>
      <c r="AC8" s="642" t="str">
        <f t="shared" ca="1" si="20"/>
        <v/>
      </c>
      <c r="AD8" s="643">
        <f t="shared" ca="1" si="21"/>
        <v>99999</v>
      </c>
      <c r="AE8" s="639">
        <f t="shared" ref="AE8:AE12" ca="1" si="30">RANK(AD8,AD$4:AD$12,1)+INDEX($E$4:$E$12,MATCH(AB8,$F$4:$F$12,0))/100+ROW()/10000</f>
        <v>1.0508</v>
      </c>
      <c r="AF8" s="639">
        <f t="shared" ca="1" si="22"/>
        <v>5</v>
      </c>
      <c r="AG8" s="641" t="str">
        <f t="shared" ca="1" si="9"/>
        <v/>
      </c>
      <c r="AH8" s="642" t="str">
        <f t="shared" ca="1" si="23"/>
        <v/>
      </c>
      <c r="AI8" s="643">
        <f t="shared" ca="1" si="24"/>
        <v>99999</v>
      </c>
      <c r="AJ8" s="639">
        <f t="shared" ref="AJ8:AJ12" ca="1" si="31">RANK(AI8,AI$4:AI$12,1)+INDEX($E$4:$E$12,MATCH(AG8,$F$4:$F$12,0))/100+ROW()/10000</f>
        <v>1.0508</v>
      </c>
      <c r="AK8" s="644">
        <f t="shared" ca="1" si="25"/>
        <v>5</v>
      </c>
      <c r="AL8" s="642" t="str">
        <f t="shared" ca="1" si="10"/>
        <v/>
      </c>
      <c r="AM8" s="642" t="str">
        <f t="shared" ca="1" si="26"/>
        <v/>
      </c>
      <c r="AN8" s="643">
        <f t="shared" ca="1" si="27"/>
        <v>99999</v>
      </c>
      <c r="AO8" s="639">
        <f t="shared" ref="AO8:AO12" ca="1" si="32">RANK(AN8,AN$4:AN$12,1)+INDEX($E$4:$E$12,MATCH(AL8,$F$4:$F$12,0))/100+ROW()/10000</f>
        <v>1.0508</v>
      </c>
      <c r="AP8" s="644">
        <f t="shared" ca="1" si="28"/>
        <v>5</v>
      </c>
    </row>
    <row r="9" spans="1:42" s="2" customFormat="1" x14ac:dyDescent="0.2">
      <c r="A9" s="238"/>
      <c r="B9" s="1">
        <v>6</v>
      </c>
      <c r="C9" s="22">
        <f t="shared" ca="1" si="11"/>
        <v>6</v>
      </c>
      <c r="D9" s="13">
        <f t="shared" ca="1" si="12"/>
        <v>15.009</v>
      </c>
      <c r="E9" s="251">
        <f t="shared" ca="1" si="13"/>
        <v>5</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1.0508999999999999</v>
      </c>
      <c r="AA9" s="644">
        <f t="shared" ca="1" si="19"/>
        <v>6</v>
      </c>
      <c r="AB9" s="641" t="str">
        <f t="shared" ca="1" si="8"/>
        <v/>
      </c>
      <c r="AC9" s="642" t="str">
        <f t="shared" ca="1" si="20"/>
        <v/>
      </c>
      <c r="AD9" s="643">
        <f t="shared" ca="1" si="21"/>
        <v>99999</v>
      </c>
      <c r="AE9" s="639">
        <f t="shared" ca="1" si="30"/>
        <v>1.0508999999999999</v>
      </c>
      <c r="AF9" s="639">
        <f t="shared" ca="1" si="22"/>
        <v>6</v>
      </c>
      <c r="AG9" s="641" t="str">
        <f t="shared" ca="1" si="9"/>
        <v/>
      </c>
      <c r="AH9" s="642" t="str">
        <f t="shared" ca="1" si="23"/>
        <v/>
      </c>
      <c r="AI9" s="643">
        <f t="shared" ca="1" si="24"/>
        <v>99999</v>
      </c>
      <c r="AJ9" s="639">
        <f t="shared" ca="1" si="31"/>
        <v>1.0508999999999999</v>
      </c>
      <c r="AK9" s="644">
        <f t="shared" ca="1" si="25"/>
        <v>6</v>
      </c>
      <c r="AL9" s="642" t="str">
        <f t="shared" ca="1" si="10"/>
        <v/>
      </c>
      <c r="AM9" s="642" t="str">
        <f t="shared" ca="1" si="26"/>
        <v/>
      </c>
      <c r="AN9" s="643">
        <f t="shared" ca="1" si="27"/>
        <v>99999</v>
      </c>
      <c r="AO9" s="639">
        <f t="shared" ca="1" si="32"/>
        <v>1.0508999999999999</v>
      </c>
      <c r="AP9" s="644">
        <f t="shared" ca="1" si="28"/>
        <v>6</v>
      </c>
    </row>
    <row r="10" spans="1:42" s="2" customFormat="1" x14ac:dyDescent="0.2">
      <c r="A10" s="238"/>
      <c r="B10" s="1">
        <v>7</v>
      </c>
      <c r="C10" s="22">
        <f t="shared" ca="1" si="11"/>
        <v>7</v>
      </c>
      <c r="D10" s="13">
        <f t="shared" ca="1" si="12"/>
        <v>16.009999999999998</v>
      </c>
      <c r="E10" s="251">
        <f t="shared" ca="1" si="13"/>
        <v>6</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1.0509999999999999</v>
      </c>
      <c r="AA10" s="644">
        <f t="shared" ca="1" si="19"/>
        <v>7</v>
      </c>
      <c r="AB10" s="641" t="str">
        <f t="shared" ca="1" si="8"/>
        <v/>
      </c>
      <c r="AC10" s="642" t="str">
        <f t="shared" ca="1" si="20"/>
        <v/>
      </c>
      <c r="AD10" s="643">
        <f t="shared" ca="1" si="21"/>
        <v>99999</v>
      </c>
      <c r="AE10" s="639">
        <f t="shared" ca="1" si="30"/>
        <v>1.0509999999999999</v>
      </c>
      <c r="AF10" s="639">
        <f t="shared" ca="1" si="22"/>
        <v>7</v>
      </c>
      <c r="AG10" s="641" t="str">
        <f t="shared" ca="1" si="9"/>
        <v/>
      </c>
      <c r="AH10" s="642" t="str">
        <f t="shared" ca="1" si="23"/>
        <v/>
      </c>
      <c r="AI10" s="643">
        <f t="shared" ca="1" si="24"/>
        <v>99999</v>
      </c>
      <c r="AJ10" s="639">
        <f t="shared" ca="1" si="31"/>
        <v>1.0509999999999999</v>
      </c>
      <c r="AK10" s="644">
        <f t="shared" ca="1" si="25"/>
        <v>7</v>
      </c>
      <c r="AL10" s="642" t="str">
        <f t="shared" ca="1" si="10"/>
        <v/>
      </c>
      <c r="AM10" s="642" t="str">
        <f t="shared" ca="1" si="26"/>
        <v/>
      </c>
      <c r="AN10" s="643">
        <f t="shared" ca="1" si="27"/>
        <v>99999</v>
      </c>
      <c r="AO10" s="639">
        <f t="shared" ca="1" si="32"/>
        <v>1.0509999999999999</v>
      </c>
      <c r="AP10" s="644">
        <f t="shared" ca="1" si="28"/>
        <v>7</v>
      </c>
    </row>
    <row r="11" spans="1:42" s="2" customFormat="1" x14ac:dyDescent="0.2">
      <c r="A11" s="238"/>
      <c r="B11" s="1">
        <v>8</v>
      </c>
      <c r="C11" s="22">
        <f t="shared" ca="1" si="11"/>
        <v>8</v>
      </c>
      <c r="D11" s="13">
        <f t="shared" ca="1" si="12"/>
        <v>16.010999999999999</v>
      </c>
      <c r="E11" s="251">
        <f t="shared" ca="1" si="13"/>
        <v>6</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1.0511000000000001</v>
      </c>
      <c r="AA11" s="644">
        <f t="shared" ca="1" si="19"/>
        <v>8</v>
      </c>
      <c r="AB11" s="641" t="str">
        <f t="shared" ca="1" si="8"/>
        <v/>
      </c>
      <c r="AC11" s="642" t="str">
        <f t="shared" ca="1" si="20"/>
        <v/>
      </c>
      <c r="AD11" s="643">
        <f t="shared" ca="1" si="21"/>
        <v>99999</v>
      </c>
      <c r="AE11" s="639">
        <f t="shared" ca="1" si="30"/>
        <v>1.0511000000000001</v>
      </c>
      <c r="AF11" s="639">
        <f t="shared" ca="1" si="22"/>
        <v>8</v>
      </c>
      <c r="AG11" s="641" t="str">
        <f t="shared" ca="1" si="9"/>
        <v/>
      </c>
      <c r="AH11" s="642" t="str">
        <f t="shared" ca="1" si="23"/>
        <v/>
      </c>
      <c r="AI11" s="643">
        <f t="shared" ca="1" si="24"/>
        <v>99999</v>
      </c>
      <c r="AJ11" s="639">
        <f t="shared" ca="1" si="31"/>
        <v>1.0511000000000001</v>
      </c>
      <c r="AK11" s="644">
        <f t="shared" ca="1" si="25"/>
        <v>8</v>
      </c>
      <c r="AL11" s="642" t="str">
        <f t="shared" ca="1" si="10"/>
        <v/>
      </c>
      <c r="AM11" s="642" t="str">
        <f t="shared" ca="1" si="26"/>
        <v/>
      </c>
      <c r="AN11" s="643">
        <f t="shared" ca="1" si="27"/>
        <v>99999</v>
      </c>
      <c r="AO11" s="639">
        <f t="shared" ca="1" si="32"/>
        <v>1.0511000000000001</v>
      </c>
      <c r="AP11" s="644">
        <f t="shared" ca="1" si="28"/>
        <v>8</v>
      </c>
    </row>
    <row r="12" spans="1:42" s="2" customFormat="1" ht="12.75" thickBot="1" x14ac:dyDescent="0.25">
      <c r="A12" s="238"/>
      <c r="B12" s="1">
        <v>9</v>
      </c>
      <c r="C12" s="23">
        <f t="shared" ca="1" si="11"/>
        <v>9</v>
      </c>
      <c r="D12" s="13">
        <f t="shared" ca="1" si="12"/>
        <v>16.012</v>
      </c>
      <c r="E12" s="251">
        <f t="shared" ca="1" si="13"/>
        <v>6</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1.0512000000000001</v>
      </c>
      <c r="AA12" s="648">
        <f t="shared" ca="1" si="19"/>
        <v>9</v>
      </c>
      <c r="AB12" s="645" t="str">
        <f t="shared" ca="1" si="8"/>
        <v/>
      </c>
      <c r="AC12" s="646" t="str">
        <f t="shared" ca="1" si="20"/>
        <v/>
      </c>
      <c r="AD12" s="649">
        <f t="shared" ca="1" si="21"/>
        <v>99999</v>
      </c>
      <c r="AE12" s="647">
        <f t="shared" ca="1" si="30"/>
        <v>1.0512000000000001</v>
      </c>
      <c r="AF12" s="647">
        <f t="shared" ca="1" si="22"/>
        <v>9</v>
      </c>
      <c r="AG12" s="645" t="str">
        <f t="shared" ca="1" si="9"/>
        <v/>
      </c>
      <c r="AH12" s="646" t="str">
        <f t="shared" ca="1" si="23"/>
        <v/>
      </c>
      <c r="AI12" s="649">
        <f t="shared" ca="1" si="24"/>
        <v>99999</v>
      </c>
      <c r="AJ12" s="647">
        <f t="shared" ca="1" si="31"/>
        <v>1.0512000000000001</v>
      </c>
      <c r="AK12" s="648">
        <f t="shared" ca="1" si="25"/>
        <v>9</v>
      </c>
      <c r="AL12" s="646" t="str">
        <f t="shared" ca="1" si="10"/>
        <v/>
      </c>
      <c r="AM12" s="646" t="str">
        <f t="shared" ca="1" si="26"/>
        <v/>
      </c>
      <c r="AN12" s="649">
        <f t="shared" ca="1" si="27"/>
        <v>99999</v>
      </c>
      <c r="AO12" s="647">
        <f t="shared" ca="1" si="32"/>
        <v>1.0512000000000001</v>
      </c>
      <c r="AP12" s="648">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TSG Saalberg eV</v>
      </c>
      <c r="D17" s="1">
        <f t="shared" ref="D17:G25" ca="1" si="33">K4</f>
        <v>4</v>
      </c>
      <c r="E17" s="1">
        <f t="shared" ca="1" si="33"/>
        <v>0</v>
      </c>
      <c r="F17" s="1">
        <f t="shared" ca="1" si="33"/>
        <v>0</v>
      </c>
      <c r="G17" s="1">
        <f t="shared" ca="1" si="33"/>
        <v>4</v>
      </c>
      <c r="H17" s="1">
        <f t="shared" ref="H17:K25" ca="1" si="34">G4</f>
        <v>5</v>
      </c>
      <c r="I17" s="1">
        <f t="shared" ca="1" si="34"/>
        <v>17</v>
      </c>
      <c r="J17" s="13">
        <f t="shared" ca="1" si="34"/>
        <v>-12</v>
      </c>
      <c r="K17" s="1">
        <f t="shared" ca="1" si="34"/>
        <v>0</v>
      </c>
      <c r="L17" s="30">
        <f t="shared" ref="L17:L25" ca="1" si="35">K17*$F$64+(J17+$H$65)*$F$65+H17*$F$66</f>
        <v>488005</v>
      </c>
      <c r="M17" s="14">
        <f ca="1">IF($AI$15,COUNTIF($K$17:$K$25,K17),COUNTIF($L$17:$L$25,L17))</f>
        <v>1</v>
      </c>
      <c r="N17" s="14">
        <f t="array" aca="1" ref="N17" ca="1">IF($AI$15,SUM(($K$17:$K$25&gt;=K17)/COUNTIF($K$17:$K$25,$K$17:$K$25)),SUM(($L$17:$L$25&gt;=L17)/COUNTIF($L$17:$L$25,$L$17:$L$25)))</f>
        <v>6</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9.0108999999999995</v>
      </c>
      <c r="Y17" s="13">
        <f>Vorrunde!$AI42</f>
        <v>0</v>
      </c>
      <c r="Z17" s="1">
        <f ca="1">RANK($W17,$W$17:$W$25)+(9-$Y17)/10</f>
        <v>1.9</v>
      </c>
      <c r="AA17" s="1">
        <f ca="1">SUM(E30:BP30)</f>
        <v>0</v>
      </c>
      <c r="AB17" s="1">
        <f ca="1">SUM(E41:BP41)</f>
        <v>0</v>
      </c>
      <c r="AC17" s="1">
        <f ca="1">SUM(E52:BP52)</f>
        <v>0</v>
      </c>
      <c r="AD17" s="245">
        <f ca="1">RANK($K17,$K$17:$K$25)</f>
        <v>5</v>
      </c>
      <c r="AE17" s="30">
        <f t="shared" ref="AE17:AE22" ca="1" si="45">(J17+$H$65)*$F$65+H17*$F$66</f>
        <v>488005</v>
      </c>
      <c r="AF17" s="1">
        <f ca="1">RANK($AE17,$AE$17:$AE$25)</f>
        <v>6</v>
      </c>
      <c r="AG17" s="1">
        <f ca="1">RANK($W17,$W$17:$W$25)</f>
        <v>1</v>
      </c>
      <c r="AH17" s="247">
        <f ca="1">AD17+AG17/100+AF17/10000+(10-Y17)/1000000</f>
        <v>5.0106099999999998</v>
      </c>
      <c r="AI17" s="1"/>
    </row>
    <row r="18" spans="2:80" s="2" customFormat="1" x14ac:dyDescent="0.2">
      <c r="C18" s="2" t="str">
        <f t="shared" ref="C18:C25" si="46">$Q65</f>
        <v>Paris St. Germain</v>
      </c>
      <c r="D18" s="1">
        <f t="shared" ca="1" si="33"/>
        <v>4</v>
      </c>
      <c r="E18" s="1">
        <f t="shared" ca="1" si="33"/>
        <v>4</v>
      </c>
      <c r="F18" s="1">
        <f t="shared" ca="1" si="33"/>
        <v>0</v>
      </c>
      <c r="G18" s="1">
        <f t="shared" ca="1" si="33"/>
        <v>0</v>
      </c>
      <c r="H18" s="1">
        <f t="shared" ca="1" si="34"/>
        <v>18</v>
      </c>
      <c r="I18" s="1">
        <f t="shared" ca="1" si="34"/>
        <v>5</v>
      </c>
      <c r="J18" s="13">
        <f t="shared" ca="1" si="34"/>
        <v>13</v>
      </c>
      <c r="K18" s="1">
        <f t="shared" ca="1" si="34"/>
        <v>12</v>
      </c>
      <c r="L18" s="30">
        <f t="shared" ca="1" si="35"/>
        <v>12513018</v>
      </c>
      <c r="M18" s="14">
        <f t="shared" ref="M18:M25" ca="1" si="47">IF($AI$15,COUNTIF($K$17:$K$25,K18),COUNTIF($L$17:$L$25,L18))</f>
        <v>1</v>
      </c>
      <c r="N18" s="14">
        <f t="array" aca="1" ref="N18" ca="1">IF($AI$15,SUM(($K$17:$K$25&gt;=K18)/COUNTIF($K$17:$K$25,$K$17:$K$25)),SUM(($L$17:$L$25&gt;=L18)/COUNTIF($L$17:$L$25,$L$17:$L$25)))</f>
        <v>1</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1.0108999999999999</v>
      </c>
      <c r="Y18" s="13">
        <f>Vorrunde!$AI43</f>
        <v>0</v>
      </c>
      <c r="Z18" s="1">
        <f t="shared" ref="Z18:Z25" ca="1" si="49">RANK($W18,$W$17:$W$25)+(9-$Y18)/10</f>
        <v>1.9</v>
      </c>
      <c r="AA18" s="1">
        <f t="shared" ref="AA18:AA25" ca="1" si="50">SUM(E31:BP31)</f>
        <v>0</v>
      </c>
      <c r="AB18" s="1">
        <f t="shared" ref="AB18:AB25" ca="1" si="51">SUM(E42:BP42)</f>
        <v>0</v>
      </c>
      <c r="AC18" s="1">
        <f t="shared" ref="AC18:AC25" ca="1" si="52">SUM(E53:BP53)</f>
        <v>0</v>
      </c>
      <c r="AD18" s="245">
        <f t="shared" ref="AD18:AD25" ca="1" si="53">RANK($K18,$K$17:$K$25)</f>
        <v>1</v>
      </c>
      <c r="AE18" s="30">
        <f t="shared" ca="1" si="45"/>
        <v>513018</v>
      </c>
      <c r="AF18" s="1">
        <f t="shared" ref="AF18:AF25" ca="1" si="54">RANK($AE18,$AE$17:$AE$25)</f>
        <v>1</v>
      </c>
      <c r="AG18" s="1">
        <f t="shared" ref="AG18:AG25" ca="1" si="55">RANK($W18,$W$17:$W$25)</f>
        <v>1</v>
      </c>
      <c r="AH18" s="248">
        <f t="shared" ref="AH18:AH25" ca="1" si="56">AD18+AG18/100+AF18/10000+(10-Y18)/1000000</f>
        <v>1.0101100000000001</v>
      </c>
      <c r="AI18" s="1"/>
    </row>
    <row r="19" spans="2:80" s="2" customFormat="1" x14ac:dyDescent="0.2">
      <c r="C19" s="2" t="str">
        <f t="shared" si="46"/>
        <v>HSV</v>
      </c>
      <c r="D19" s="1">
        <f t="shared" ca="1" si="33"/>
        <v>4</v>
      </c>
      <c r="E19" s="1">
        <f t="shared" ca="1" si="33"/>
        <v>2</v>
      </c>
      <c r="F19" s="1">
        <f t="shared" ca="1" si="33"/>
        <v>1</v>
      </c>
      <c r="G19" s="1">
        <f t="shared" ca="1" si="33"/>
        <v>1</v>
      </c>
      <c r="H19" s="1">
        <f t="shared" ca="1" si="34"/>
        <v>8</v>
      </c>
      <c r="I19" s="1">
        <f t="shared" ca="1" si="34"/>
        <v>7</v>
      </c>
      <c r="J19" s="13">
        <f t="shared" ca="1" si="34"/>
        <v>1</v>
      </c>
      <c r="K19" s="1">
        <f t="shared" ca="1" si="34"/>
        <v>7</v>
      </c>
      <c r="L19" s="30">
        <f t="shared" ca="1" si="35"/>
        <v>7501008</v>
      </c>
      <c r="M19" s="14">
        <f t="shared" ca="1" si="47"/>
        <v>1</v>
      </c>
      <c r="N19" s="14">
        <f t="array" aca="1" ref="N19" ca="1">IF($AI$15,SUM(($K$17:$K$25&gt;=K19)/COUNTIF($K$17:$K$25,$K$17:$K$25)),SUM(($L$17:$L$25&gt;=L19)/COUNTIF($L$17:$L$25,$L$17:$L$25)))</f>
        <v>3</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3.0108999999999999</v>
      </c>
      <c r="Y19" s="13">
        <f>Vorrunde!$AI44</f>
        <v>0</v>
      </c>
      <c r="Z19" s="1">
        <f t="shared" ca="1" si="49"/>
        <v>1.9</v>
      </c>
      <c r="AA19" s="1">
        <f t="shared" ca="1" si="50"/>
        <v>0</v>
      </c>
      <c r="AB19" s="1">
        <f t="shared" ca="1" si="51"/>
        <v>0</v>
      </c>
      <c r="AC19" s="1">
        <f t="shared" ca="1" si="52"/>
        <v>0</v>
      </c>
      <c r="AD19" s="245">
        <f t="shared" ca="1" si="53"/>
        <v>2</v>
      </c>
      <c r="AE19" s="30">
        <f t="shared" ca="1" si="45"/>
        <v>501008</v>
      </c>
      <c r="AF19" s="1">
        <f t="shared" ca="1" si="54"/>
        <v>3</v>
      </c>
      <c r="AG19" s="1">
        <f t="shared" ca="1" si="55"/>
        <v>1</v>
      </c>
      <c r="AH19" s="248">
        <f t="shared" ca="1" si="56"/>
        <v>2.01031</v>
      </c>
      <c r="AI19" s="1"/>
    </row>
    <row r="20" spans="2:80" s="2" customFormat="1" x14ac:dyDescent="0.2">
      <c r="C20" s="2" t="str">
        <f t="shared" si="46"/>
        <v>RB Leipzig</v>
      </c>
      <c r="D20" s="1">
        <f t="shared" ca="1" si="33"/>
        <v>4</v>
      </c>
      <c r="E20" s="1">
        <f t="shared" ca="1" si="33"/>
        <v>2</v>
      </c>
      <c r="F20" s="1">
        <f t="shared" ca="1" si="33"/>
        <v>1</v>
      </c>
      <c r="G20" s="1">
        <f t="shared" ca="1" si="33"/>
        <v>1</v>
      </c>
      <c r="H20" s="1">
        <f t="shared" ca="1" si="34"/>
        <v>10</v>
      </c>
      <c r="I20" s="1">
        <f t="shared" ca="1" si="34"/>
        <v>6</v>
      </c>
      <c r="J20" s="13">
        <f t="shared" ca="1" si="34"/>
        <v>4</v>
      </c>
      <c r="K20" s="1">
        <f t="shared" ca="1" si="34"/>
        <v>7</v>
      </c>
      <c r="L20" s="30">
        <f t="shared" ca="1" si="35"/>
        <v>7504010</v>
      </c>
      <c r="M20" s="14">
        <f t="shared" ca="1" si="47"/>
        <v>1</v>
      </c>
      <c r="N20" s="14">
        <f t="array" aca="1" ref="N20" ca="1">IF($AI$15,SUM(($K$17:$K$25&gt;=K20)/COUNTIF($K$17:$K$25,$K$17:$K$25)),SUM(($L$17:$L$25&gt;=L20)/COUNTIF($L$17:$L$25,$L$17:$L$25)))</f>
        <v>2</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2.0108999999999999</v>
      </c>
      <c r="Y20" s="13">
        <f>Vorrunde!$AI45</f>
        <v>0</v>
      </c>
      <c r="Z20" s="1">
        <f t="shared" ca="1" si="49"/>
        <v>1.9</v>
      </c>
      <c r="AA20" s="1">
        <f t="shared" ca="1" si="50"/>
        <v>0</v>
      </c>
      <c r="AB20" s="1">
        <f t="shared" ca="1" si="51"/>
        <v>0</v>
      </c>
      <c r="AC20" s="1">
        <f t="shared" ca="1" si="52"/>
        <v>0</v>
      </c>
      <c r="AD20" s="245">
        <f t="shared" ca="1" si="53"/>
        <v>2</v>
      </c>
      <c r="AE20" s="30">
        <f t="shared" ca="1" si="45"/>
        <v>504010</v>
      </c>
      <c r="AF20" s="1">
        <f t="shared" ca="1" si="54"/>
        <v>2</v>
      </c>
      <c r="AG20" s="1">
        <f t="shared" ca="1" si="55"/>
        <v>1</v>
      </c>
      <c r="AH20" s="248">
        <f t="shared" ca="1" si="56"/>
        <v>2.0102099999999998</v>
      </c>
      <c r="AI20" s="1"/>
    </row>
    <row r="21" spans="2:80" s="2" customFormat="1" x14ac:dyDescent="0.2">
      <c r="C21" s="2" t="str">
        <f t="shared" si="46"/>
        <v>SV Oberredenburg</v>
      </c>
      <c r="D21" s="1">
        <f t="shared" ca="1" si="33"/>
        <v>4</v>
      </c>
      <c r="E21" s="1">
        <f t="shared" ca="1" si="33"/>
        <v>1</v>
      </c>
      <c r="F21" s="1">
        <f t="shared" ca="1" si="33"/>
        <v>0</v>
      </c>
      <c r="G21" s="1">
        <f t="shared" ca="1" si="33"/>
        <v>3</v>
      </c>
      <c r="H21" s="1">
        <f t="shared" ca="1" si="34"/>
        <v>5</v>
      </c>
      <c r="I21" s="1">
        <f t="shared" ca="1" si="34"/>
        <v>11</v>
      </c>
      <c r="J21" s="13">
        <f t="shared" ca="1" si="34"/>
        <v>-6</v>
      </c>
      <c r="K21" s="1">
        <f t="shared" ca="1" si="34"/>
        <v>3</v>
      </c>
      <c r="L21" s="30">
        <f t="shared" ca="1" si="35"/>
        <v>3494005</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Vorrunde!$AI46</f>
        <v>0</v>
      </c>
      <c r="Z21" s="1">
        <f t="shared" ca="1" si="49"/>
        <v>1.9</v>
      </c>
      <c r="AA21" s="1">
        <f t="shared" ca="1" si="50"/>
        <v>0</v>
      </c>
      <c r="AB21" s="1">
        <f t="shared" ca="1" si="51"/>
        <v>0</v>
      </c>
      <c r="AC21" s="1">
        <f t="shared" ca="1" si="52"/>
        <v>0</v>
      </c>
      <c r="AD21" s="245">
        <f t="shared" ca="1" si="53"/>
        <v>4</v>
      </c>
      <c r="AE21" s="30">
        <f t="shared" ca="1" si="45"/>
        <v>494005</v>
      </c>
      <c r="AF21" s="1">
        <f t="shared" ca="1" si="54"/>
        <v>5</v>
      </c>
      <c r="AG21" s="1">
        <f t="shared" ca="1" si="55"/>
        <v>1</v>
      </c>
      <c r="AH21" s="248">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5</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5.0108999999999995</v>
      </c>
      <c r="Y22" s="13">
        <f>Vorrunde!$AI47</f>
        <v>0</v>
      </c>
      <c r="Z22" s="1">
        <f t="shared" ca="1" si="49"/>
        <v>1.9</v>
      </c>
      <c r="AA22" s="1">
        <f t="shared" ca="1" si="50"/>
        <v>0</v>
      </c>
      <c r="AB22" s="1">
        <f t="shared" ca="1" si="51"/>
        <v>0</v>
      </c>
      <c r="AC22" s="1">
        <f t="shared" ca="1" si="52"/>
        <v>0</v>
      </c>
      <c r="AD22" s="245">
        <f t="shared" ca="1" si="53"/>
        <v>5</v>
      </c>
      <c r="AE22" s="30">
        <f t="shared" ca="1" si="45"/>
        <v>500000</v>
      </c>
      <c r="AF22" s="1">
        <f t="shared" ca="1" si="54"/>
        <v>4</v>
      </c>
      <c r="AG22" s="1">
        <f t="shared" ca="1" si="55"/>
        <v>1</v>
      </c>
      <c r="AH22" s="248">
        <f t="shared" ca="1" si="56"/>
        <v>5.0104099999999994</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5</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5.0709</v>
      </c>
      <c r="Y23" s="13">
        <v>0</v>
      </c>
      <c r="Z23" s="1">
        <f t="shared" ca="1" si="49"/>
        <v>7.9</v>
      </c>
      <c r="AA23" s="1">
        <f t="shared" ca="1" si="50"/>
        <v>0</v>
      </c>
      <c r="AB23" s="1">
        <f t="shared" ca="1" si="51"/>
        <v>0</v>
      </c>
      <c r="AC23" s="1">
        <f t="shared" ca="1" si="52"/>
        <v>0</v>
      </c>
      <c r="AD23" s="245">
        <f t="shared" ca="1" si="53"/>
        <v>5</v>
      </c>
      <c r="AE23" s="30">
        <v>0</v>
      </c>
      <c r="AF23" s="1">
        <f t="shared" ca="1" si="54"/>
        <v>7</v>
      </c>
      <c r="AG23" s="1">
        <f t="shared" ca="1" si="55"/>
        <v>7</v>
      </c>
      <c r="AH23" s="248">
        <f t="shared" ca="1" si="56"/>
        <v>5.0707100000000001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5</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5.0709</v>
      </c>
      <c r="Y24" s="13">
        <v>0</v>
      </c>
      <c r="Z24" s="1">
        <f t="shared" ca="1" si="49"/>
        <v>7.9</v>
      </c>
      <c r="AA24" s="1">
        <f t="shared" ca="1" si="50"/>
        <v>0</v>
      </c>
      <c r="AB24" s="1">
        <f t="shared" ca="1" si="51"/>
        <v>0</v>
      </c>
      <c r="AC24" s="1">
        <f t="shared" ca="1" si="52"/>
        <v>0</v>
      </c>
      <c r="AD24" s="245">
        <f t="shared" ca="1" si="53"/>
        <v>5</v>
      </c>
      <c r="AE24" s="30">
        <v>0</v>
      </c>
      <c r="AF24" s="1">
        <f t="shared" ca="1" si="54"/>
        <v>7</v>
      </c>
      <c r="AG24" s="1">
        <f t="shared" ca="1" si="55"/>
        <v>7</v>
      </c>
      <c r="AH24" s="248">
        <f t="shared" ca="1" si="56"/>
        <v>5.0707100000000001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5</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5.0709</v>
      </c>
      <c r="Y25" s="13">
        <v>0</v>
      </c>
      <c r="Z25" s="1">
        <f t="shared" ca="1" si="49"/>
        <v>7.9</v>
      </c>
      <c r="AA25" s="1">
        <f t="shared" ca="1" si="50"/>
        <v>0</v>
      </c>
      <c r="AB25" s="1">
        <f t="shared" ca="1" si="51"/>
        <v>0</v>
      </c>
      <c r="AC25" s="1">
        <f t="shared" ca="1" si="52"/>
        <v>0</v>
      </c>
      <c r="AD25" s="245">
        <f t="shared" ca="1" si="53"/>
        <v>5</v>
      </c>
      <c r="AE25" s="30">
        <v>0</v>
      </c>
      <c r="AF25" s="1">
        <f t="shared" ca="1" si="54"/>
        <v>7</v>
      </c>
      <c r="AG25" s="1">
        <f t="shared" ca="1" si="55"/>
        <v>7</v>
      </c>
      <c r="AH25" s="249">
        <f t="shared" ca="1" si="56"/>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TSG Saalberg eV</v>
      </c>
      <c r="BT29" s="2" t="str">
        <f>$F$5</f>
        <v>Paris St. Germain</v>
      </c>
      <c r="BU29" s="2" t="str">
        <f>$F$6</f>
        <v>HSV</v>
      </c>
      <c r="BV29" s="2" t="str">
        <f>$F$7</f>
        <v>RB Leipzig</v>
      </c>
      <c r="BW29" s="2" t="str">
        <f>$F$8</f>
        <v>SV Oberredenburg</v>
      </c>
      <c r="BX29" s="2" t="str">
        <f>$F$9</f>
        <v/>
      </c>
      <c r="BY29" s="2" t="str">
        <f>$F$10</f>
        <v/>
      </c>
      <c r="BZ29" s="2" t="str">
        <f>$F$11</f>
        <v/>
      </c>
      <c r="CA29" s="2" t="str">
        <f>$F$12</f>
        <v/>
      </c>
      <c r="CB29" s="53"/>
    </row>
    <row r="30" spans="2:80" s="2" customFormat="1" x14ac:dyDescent="0.2">
      <c r="C30" s="2" t="str">
        <f>$Q64</f>
        <v>TSG Saalberg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TSG Saalberg eV</v>
      </c>
      <c r="BS30" s="7"/>
      <c r="BT30" s="8">
        <f t="shared" ref="BT30:CA32" ca="1" si="58">SUMIFS($X$64:$X$135,$V$64:$V$135,$BR30,$W$64:$W$135,BT$29)+SUMIFS($Y$64:$Y$135,$W$64:$W$135,$BR30,$V$64:$V$135,BT$29)</f>
        <v>0</v>
      </c>
      <c r="BU30" s="8">
        <f t="shared" ca="1" si="58"/>
        <v>2</v>
      </c>
      <c r="BV30" s="8">
        <f t="shared" ca="1" si="58"/>
        <v>1</v>
      </c>
      <c r="BW30" s="8">
        <f t="shared" ca="1" si="58"/>
        <v>2</v>
      </c>
      <c r="BX30" s="8">
        <f t="shared" ca="1" si="58"/>
        <v>0</v>
      </c>
      <c r="BY30" s="8">
        <f t="shared" ca="1" si="58"/>
        <v>0</v>
      </c>
      <c r="BZ30" s="8">
        <f t="shared" ca="1" si="58"/>
        <v>0</v>
      </c>
      <c r="CA30" s="8">
        <f t="shared" ca="1" si="58"/>
        <v>0</v>
      </c>
      <c r="CB30" s="4"/>
    </row>
    <row r="31" spans="2:80" s="2" customFormat="1" x14ac:dyDescent="0.2">
      <c r="C31" s="2" t="str">
        <f t="shared" ref="C31:C38" si="59">$Q65</f>
        <v>Paris St. Germain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Paris St. Germain</v>
      </c>
      <c r="BS31" s="9">
        <f t="shared" ref="BS31:BU38" ca="1" si="60">SUMIFS($X$64:$X$135,$V$64:$V$135,$BR31,$W$64:$W$135,BS$29)+SUMIFS($Y$64:$Y$135,$W$64:$W$135,$BR31,$V$64:$V$135,BS$29)</f>
        <v>7</v>
      </c>
      <c r="BT31" s="7"/>
      <c r="BU31" s="8">
        <f t="shared" ca="1" si="58"/>
        <v>3</v>
      </c>
      <c r="BV31" s="8">
        <f t="shared" ca="1" si="58"/>
        <v>3</v>
      </c>
      <c r="BW31" s="8">
        <f t="shared" ca="1" si="58"/>
        <v>5</v>
      </c>
      <c r="BX31" s="8">
        <f t="shared" ca="1" si="58"/>
        <v>0</v>
      </c>
      <c r="BY31" s="8">
        <f t="shared" ca="1" si="58"/>
        <v>0</v>
      </c>
      <c r="BZ31" s="8">
        <f t="shared" ca="1" si="58"/>
        <v>0</v>
      </c>
      <c r="CA31" s="8">
        <f t="shared" ca="1" si="58"/>
        <v>0</v>
      </c>
      <c r="CB31" s="4"/>
    </row>
    <row r="32" spans="2:80" s="2" customFormat="1" x14ac:dyDescent="0.2">
      <c r="C32" s="2" t="str">
        <f t="shared" si="59"/>
        <v>HSV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HSV</v>
      </c>
      <c r="BS32" s="9">
        <f t="shared" ca="1" si="60"/>
        <v>3</v>
      </c>
      <c r="BT32" s="9">
        <f t="shared" ca="1" si="60"/>
        <v>2</v>
      </c>
      <c r="BU32" s="7"/>
      <c r="BV32" s="8">
        <f t="shared" ca="1" si="58"/>
        <v>2</v>
      </c>
      <c r="BW32" s="8">
        <f t="shared" ca="1" si="58"/>
        <v>1</v>
      </c>
      <c r="BX32" s="8">
        <f t="shared" ca="1" si="58"/>
        <v>0</v>
      </c>
      <c r="BY32" s="8">
        <f t="shared" ca="1" si="58"/>
        <v>0</v>
      </c>
      <c r="BZ32" s="8">
        <f t="shared" ca="1" si="58"/>
        <v>0</v>
      </c>
      <c r="CA32" s="8">
        <f t="shared" ca="1" si="58"/>
        <v>0</v>
      </c>
      <c r="CB32" s="4"/>
    </row>
    <row r="33" spans="2:80" s="2" customFormat="1" x14ac:dyDescent="0.2">
      <c r="C33" s="2" t="str">
        <f t="shared" si="59"/>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RB Leipzig</v>
      </c>
      <c r="BS33" s="9">
        <f t="shared" ca="1" si="60"/>
        <v>4</v>
      </c>
      <c r="BT33" s="9">
        <f t="shared" ca="1" si="60"/>
        <v>1</v>
      </c>
      <c r="BU33" s="9">
        <f t="shared" ca="1" si="60"/>
        <v>2</v>
      </c>
      <c r="BV33" s="7"/>
      <c r="BW33" s="8">
        <f ca="1">SUMIFS($X$64:$X$135,$V$64:$V$135,$BR33,$W$64:$W$135,BW$29)+SUMIFS($Y$64:$Y$135,$W$64:$W$135,$BR33,$V$64:$V$135,BW$29)</f>
        <v>3</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SV Oberredenburg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SV Oberredenburg</v>
      </c>
      <c r="BS34" s="9">
        <f t="shared" ca="1" si="60"/>
        <v>3</v>
      </c>
      <c r="BT34" s="9">
        <f t="shared" ca="1" si="60"/>
        <v>2</v>
      </c>
      <c r="BU34" s="9">
        <f t="shared" ca="1" si="60"/>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TSG Saalberg eV</v>
      </c>
      <c r="BT40" s="2" t="str">
        <f>$F$5</f>
        <v>Paris St. Germain</v>
      </c>
      <c r="BU40" s="2" t="str">
        <f>$F$6</f>
        <v>HSV</v>
      </c>
      <c r="BV40" s="2" t="str">
        <f>$F$7</f>
        <v>RB Leipzig</v>
      </c>
      <c r="BW40" s="2" t="str">
        <f>$F$8</f>
        <v>SV Oberredenburg</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TSG Saalberg eV</v>
      </c>
      <c r="BS41" s="7"/>
      <c r="BT41" s="8">
        <f ca="1">BT30-BS31</f>
        <v>-7</v>
      </c>
      <c r="BU41" s="8">
        <f ca="1">BU30-BS32</f>
        <v>-1</v>
      </c>
      <c r="BV41" s="8">
        <f ca="1">BV30-BS33</f>
        <v>-3</v>
      </c>
      <c r="BW41" s="8">
        <f ca="1">BW30-BS34</f>
        <v>-1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Paris St. Germain</v>
      </c>
      <c r="BS42" s="9">
        <f ca="1">IF(BT41="","",-1*BT41)</f>
        <v>7</v>
      </c>
      <c r="BT42" s="7"/>
      <c r="BU42" s="8">
        <f ca="1">BU31-BT32</f>
        <v>1</v>
      </c>
      <c r="BV42" s="8">
        <f ca="1">BV31-BT33</f>
        <v>2</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HSV</v>
      </c>
      <c r="BS43" s="9">
        <f ca="1">IF(BU41="","",-1*BU41)</f>
        <v>1</v>
      </c>
      <c r="BT43" s="9">
        <f ca="1">IF(BU42="","",-1*BU42)</f>
        <v>-1</v>
      </c>
      <c r="BU43" s="7"/>
      <c r="BV43" s="8">
        <f ca="1">BV32-BU33</f>
        <v>0</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RB Leipzig</v>
      </c>
      <c r="BS44" s="9">
        <f ca="1">IF(BV41="","",-1*BV41)</f>
        <v>3</v>
      </c>
      <c r="BT44" s="9">
        <f ca="1">IF(BV42="","",-1*BV42)</f>
        <v>-2</v>
      </c>
      <c r="BU44" s="9">
        <f ca="1">IF(BV43="","",-1*BV43)</f>
        <v>0</v>
      </c>
      <c r="BV44" s="7"/>
      <c r="BW44" s="8">
        <f ca="1">BW33-BV34</f>
        <v>3</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SV Oberredenburg</v>
      </c>
      <c r="BS45" s="9">
        <f ca="1">IF(BW41="","",-1*BW41)</f>
        <v>1</v>
      </c>
      <c r="BT45" s="9">
        <f ca="1">IF(BW42="","",-1*BW42)</f>
        <v>-3</v>
      </c>
      <c r="BU45" s="9">
        <f ca="1">IF(BW43="","",-1*BW43)</f>
        <v>-1</v>
      </c>
      <c r="BV45" s="9">
        <f ca="1">IF(BW44="","",-1*BW44)</f>
        <v>-3</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TSG Saalberg eV</v>
      </c>
      <c r="BT51" s="2" t="str">
        <f>$F$5</f>
        <v>Paris St. Germain</v>
      </c>
      <c r="BU51" s="2" t="str">
        <f>$F$6</f>
        <v>HSV</v>
      </c>
      <c r="BV51" s="2" t="str">
        <f>$F$7</f>
        <v>RB Leipzig</v>
      </c>
      <c r="BW51" s="2" t="str">
        <f>$F$8</f>
        <v>SV Oberredenburg</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TSG Saalberg eV</v>
      </c>
      <c r="BS52" s="7"/>
      <c r="BT52" s="8">
        <f t="shared" ref="BT52:CA58" ca="1" si="64">SUMIFS($AE$64:$AE$135,$V$64:$V$135,$BR52,$W$64:$W$135,BT$51)+SUMIFS($AF$64:$AF$135,$W$64:$W$135,$BR52,$V$64:$V$135,BT$51)</f>
        <v>0</v>
      </c>
      <c r="BU52" s="8">
        <f t="shared" ca="1" si="64"/>
        <v>0</v>
      </c>
      <c r="BV52" s="8">
        <f t="shared" ca="1" si="64"/>
        <v>0</v>
      </c>
      <c r="BW52" s="8">
        <f t="shared" ca="1" si="64"/>
        <v>0</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Paris St. Germain</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HSV</v>
      </c>
      <c r="BS54" s="9">
        <f t="shared" ca="1" si="65"/>
        <v>3</v>
      </c>
      <c r="BT54" s="9">
        <f t="shared" ca="1" si="65"/>
        <v>0</v>
      </c>
      <c r="BU54" s="7"/>
      <c r="BV54" s="8">
        <f ca="1">SUMIFS($AE$64:$AE$135,$V$64:$V$135,$BR54,$W$64:$W$135,BV$51)+SUMIFS($AF$64:$AF$135,$W$64:$W$135,$BR54,$V$64:$V$135,BV$51)</f>
        <v>1</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RB Leipzig</v>
      </c>
      <c r="BS55" s="9">
        <f t="shared" ca="1" si="65"/>
        <v>3</v>
      </c>
      <c r="BT55" s="9">
        <f t="shared" ca="1" si="65"/>
        <v>0</v>
      </c>
      <c r="BU55" s="9">
        <f t="shared" ca="1" si="65"/>
        <v>1</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SV Oberredenburg</v>
      </c>
      <c r="BS56" s="9">
        <f t="shared" ca="1" si="65"/>
        <v>3</v>
      </c>
      <c r="BT56" s="9">
        <f t="shared" ca="1" si="65"/>
        <v>0</v>
      </c>
      <c r="BU56" s="9">
        <f t="shared" ca="1" si="65"/>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53"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IF(Planung!$C$58="","",Planung!$C$58)</f>
        <v>TSG Saalberg eV</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1" t="str">
        <f ca="1">IF(AA64&gt;0,X64&amp;Sprache!$E$111&amp;Y64,"")</f>
        <v>2:6</v>
      </c>
      <c r="AD64" s="142"/>
      <c r="AE64" s="147">
        <f ca="1">IF($AA64=0,"",IF($X64&gt;$Y64,Einstellungen!$C$4,IF($X64=$Y64,1,0)))</f>
        <v>0</v>
      </c>
      <c r="AF64" s="142">
        <f ca="1">IF($AA64=0,"",IF($X64&lt;$Y64,Einstellungen!$C$4,IF($X64=$Y64,1,0)))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IF(Planung!$C$60="","",Planung!$C$60)</f>
        <v>Paris St. Germain</v>
      </c>
      <c r="U65" s="67" t="s">
        <v>8</v>
      </c>
      <c r="V65" s="41" t="str">
        <f ca="1">Planung!$L7</f>
        <v>FC Grönlingen</v>
      </c>
      <c r="W65" s="13" t="str">
        <f ca="1">Planung!$N7</f>
        <v>Inter Mailand</v>
      </c>
      <c r="X65" s="13">
        <f ca="1">IF(AND(Vorrunde!$I13&lt;&gt;"",Vorrunde!$K13&lt;&gt;"",Vorrunde!$F13&lt;&gt;Vorrunde!$H13,$V65&lt;&gt;"",$W65&lt;&gt;""),Vorrunde!$I13,"")</f>
        <v>2</v>
      </c>
      <c r="Y65" s="36">
        <f ca="1">IF(AND(Vorrunde!$I13&lt;&gt;"",Vorrunde!$K13&lt;&gt;"",Vorrunde!$F13&lt;&gt;Vorrunde!$H13,$V65&lt;&gt;"",$W65&lt;&gt;""),Vorrunde!$K13,"")</f>
        <v>4</v>
      </c>
      <c r="Z65" s="35" t="str">
        <f t="shared" ref="Z65:Z73" ca="1" si="66">V65&amp;W65</f>
        <v>FC GrönlingenInter Mailand</v>
      </c>
      <c r="AA65" s="13">
        <f t="shared" ref="AA65:AA128" ca="1" si="67">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IF(Planung!$C$62="","",Planung!$C$62)</f>
        <v>HSV</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66"/>
        <v>1. FC NürnbergReal Madrid</v>
      </c>
      <c r="AA66" s="13">
        <f t="shared" ca="1" si="67"/>
        <v>1</v>
      </c>
      <c r="AB66" s="13" t="str">
        <f ca="1">IF(AA66&gt;0,X66&amp;Sprache!$E$111&amp;Y66,"")</f>
        <v>1:4</v>
      </c>
      <c r="AD66" s="143"/>
      <c r="AE66" s="148">
        <f ca="1">IF($AA66=0,"",IF($X66&gt;$Y66,Einstellungen!$C$4,IF($X66=$Y66,1,0)))</f>
        <v>0</v>
      </c>
      <c r="AF66" s="143">
        <f ca="1">IF($AA66=0,"",IF($X66&lt;$Y66,Einstellungen!$C$4,IF($X66=$Y66,1,0)))</f>
        <v>3</v>
      </c>
      <c r="AH66" s="4"/>
      <c r="AI66" s="13"/>
      <c r="AJ66" s="4"/>
      <c r="AK66" s="13"/>
      <c r="AL66" s="13"/>
      <c r="AM66" s="13"/>
      <c r="AN66" s="13"/>
      <c r="AO66" s="13"/>
      <c r="AP66" s="13"/>
      <c r="AQ66" s="13"/>
    </row>
    <row r="67" spans="2:43" s="2" customFormat="1" x14ac:dyDescent="0.2">
      <c r="P67" s="47" t="s">
        <v>10</v>
      </c>
      <c r="Q67" s="62" t="str">
        <f>IF(Planung!$C$64="","",Planung!$C$64)</f>
        <v>RB Leipzig</v>
      </c>
      <c r="U67" s="67" t="s">
        <v>10</v>
      </c>
      <c r="V67" s="41" t="str">
        <f ca="1">Planung!$L9</f>
        <v>SV Oberredenburg</v>
      </c>
      <c r="W67" s="13" t="str">
        <f ca="1">Planung!$N9</f>
        <v>Paris St. Germain</v>
      </c>
      <c r="X67" s="13">
        <f ca="1">IF(AND(Vorrunde!$I15&lt;&gt;"",Vorrunde!$K15&lt;&gt;"",Vorrunde!$F15&lt;&gt;Vorrunde!$H15,$V67&lt;&gt;"",$W67&lt;&gt;""),Vorrunde!$I15,"")</f>
        <v>2</v>
      </c>
      <c r="Y67" s="36">
        <f ca="1">IF(AND(Vorrunde!$I15&lt;&gt;"",Vorrunde!$K15&lt;&gt;"",Vorrunde!$F15&lt;&gt;Vorrunde!$H15,$V67&lt;&gt;"",$W67&lt;&gt;""),Vorrunde!$K15,"")</f>
        <v>5</v>
      </c>
      <c r="Z67" s="35" t="str">
        <f t="shared" ca="1" si="66"/>
        <v>SV OberredenburgParis St. Germain</v>
      </c>
      <c r="AA67" s="13">
        <f t="shared" ca="1" si="67"/>
        <v>1</v>
      </c>
      <c r="AB67" s="13" t="str">
        <f ca="1">IF(AA67&gt;0,X67&amp;Sprache!$E$111&amp;Y67,"")</f>
        <v>2:5</v>
      </c>
      <c r="AD67" s="143"/>
      <c r="AE67" s="148">
        <f ca="1">IF($AA67=0,"",IF($X67&gt;$Y67,Einstellungen!$C$4,IF($X67=$Y67,1,0)))</f>
        <v>0</v>
      </c>
      <c r="AF67" s="143">
        <f ca="1">IF($AA67=0,"",IF($X67&lt;$Y67,Einstellungen!$C$4,IF($X67=$Y67,1,0)))</f>
        <v>3</v>
      </c>
      <c r="AH67" s="4"/>
      <c r="AI67" s="13"/>
      <c r="AJ67" s="13"/>
      <c r="AK67" s="4"/>
      <c r="AL67" s="13"/>
      <c r="AM67" s="13"/>
      <c r="AN67" s="13"/>
      <c r="AO67" s="13"/>
      <c r="AP67" s="13"/>
      <c r="AQ67" s="13"/>
    </row>
    <row r="68" spans="2:43" s="2" customFormat="1" x14ac:dyDescent="0.2">
      <c r="P68" s="47" t="s">
        <v>11</v>
      </c>
      <c r="Q68" s="62" t="str">
        <f>IF(Planung!$C$66="","",Planung!$C$66)</f>
        <v>SV Oberredenburg</v>
      </c>
      <c r="U68" s="67" t="s">
        <v>11</v>
      </c>
      <c r="V68" s="41" t="str">
        <f ca="1">Planung!$L10</f>
        <v>Eintracht Frankfurt</v>
      </c>
      <c r="W68" s="13" t="str">
        <f ca="1">Planung!$N10</f>
        <v>Maibach 1822 eV</v>
      </c>
      <c r="X68" s="13">
        <f ca="1">IF(AND(Vorrunde!$I16&lt;&gt;"",Vorrunde!$K16&lt;&gt;"",Vorrunde!$F16&lt;&gt;Vorrunde!$H16,$V68&lt;&gt;"",$W68&lt;&gt;""),Vorrunde!$I16,"")</f>
        <v>3</v>
      </c>
      <c r="Y68" s="36">
        <f ca="1">IF(AND(Vorrunde!$I16&lt;&gt;"",Vorrunde!$K16&lt;&gt;"",Vorrunde!$F16&lt;&gt;Vorrunde!$H16,$V68&lt;&gt;"",$W68&lt;&gt;""),Vorrunde!$K16,"")</f>
        <v>2</v>
      </c>
      <c r="Z68" s="35" t="str">
        <f t="shared" ca="1" si="66"/>
        <v>Eintracht FrankfurtMaibach 1822 eV</v>
      </c>
      <c r="AA68" s="13">
        <f t="shared" ca="1" si="67"/>
        <v>1</v>
      </c>
      <c r="AB68" s="13" t="str">
        <f ca="1">IF(AA68&gt;0,X68&amp;Sprache!$E$111&amp;Y68,"")</f>
        <v>3:2</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t="s">
        <v>12</v>
      </c>
      <c r="Q69" s="62" t="str">
        <f>IF(Planung!$C$68="","",Planung!$C$68)</f>
        <v/>
      </c>
      <c r="U69" s="67" t="s">
        <v>12</v>
      </c>
      <c r="V69" s="41" t="str">
        <f ca="1">Planung!$L11</f>
        <v>SSV Wildbach</v>
      </c>
      <c r="W69" s="13" t="str">
        <f ca="1">Planung!$N11</f>
        <v>Manchester City</v>
      </c>
      <c r="X69" s="13">
        <f ca="1">IF(AND(Vorrunde!$I17&lt;&gt;"",Vorrunde!$K17&lt;&gt;"",Vorrunde!$F17&lt;&gt;Vorrunde!$H17,$V69&lt;&gt;"",$W69&lt;&gt;""),Vorrunde!$I17,"")</f>
        <v>0</v>
      </c>
      <c r="Y69" s="36">
        <f ca="1">IF(AND(Vorrunde!$I17&lt;&gt;"",Vorrunde!$K17&lt;&gt;"",Vorrunde!$F17&lt;&gt;Vorrunde!$H17,$V69&lt;&gt;"",$W69&lt;&gt;""),Vorrunde!$K17,"")</f>
        <v>5</v>
      </c>
      <c r="Z69" s="35" t="str">
        <f t="shared" ca="1" si="66"/>
        <v>SSV WildbachManchester City</v>
      </c>
      <c r="AA69" s="13">
        <f t="shared" ca="1" si="67"/>
        <v>1</v>
      </c>
      <c r="AB69" s="13" t="str">
        <f ca="1">IF(AA69&gt;0,X69&amp;Sprache!$E$111&amp;Y69,"")</f>
        <v>0:5</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Planung!$L12</f>
        <v>Borussia Dortmund</v>
      </c>
      <c r="W70" s="13" t="str">
        <f ca="1">Planung!$N12</f>
        <v>FSV Rauen</v>
      </c>
      <c r="X70" s="13">
        <f ca="1">IF(AND(Vorrunde!$I18&lt;&gt;"",Vorrunde!$K18&lt;&gt;"",Vorrunde!$F18&lt;&gt;Vorrunde!$H18,$V70&lt;&gt;"",$W70&lt;&gt;""),Vorrunde!$I18,"")</f>
        <v>3</v>
      </c>
      <c r="Y70" s="36">
        <f ca="1">IF(AND(Vorrunde!$I18&lt;&gt;"",Vorrunde!$K18&lt;&gt;"",Vorrunde!$F18&lt;&gt;Vorrunde!$H18,$V70&lt;&gt;"",$W70&lt;&gt;""),Vorrunde!$K18,"")</f>
        <v>1</v>
      </c>
      <c r="Z70" s="35" t="str">
        <f t="shared" ca="1" si="66"/>
        <v>Borussia DortmundFSV Rauen</v>
      </c>
      <c r="AA70" s="13">
        <f t="shared" ca="1" si="67"/>
        <v>1</v>
      </c>
      <c r="AB70" s="13" t="str">
        <f ca="1">IF(AA70&gt;0,X70&amp;Sprache!$E$111&amp;Y70,"")</f>
        <v>3:1</v>
      </c>
      <c r="AD70" s="143"/>
      <c r="AE70" s="148">
        <f ca="1">IF($AA70=0,"",IF($X70&gt;$Y70,Einstellungen!$C$4,IF($X70=$Y70,1,0)))</f>
        <v>3</v>
      </c>
      <c r="AF70" s="143">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HSV</v>
      </c>
      <c r="W71" s="13" t="str">
        <f ca="1">Planung!$N13</f>
        <v>RB Leipzig</v>
      </c>
      <c r="X71" s="13">
        <f ca="1">IF(AND(Vorrunde!$I19&lt;&gt;"",Vorrunde!$K19&lt;&gt;"",Vorrunde!$F19&lt;&gt;Vorrunde!$H19,$V71&lt;&gt;"",$W71&lt;&gt;""),Vorrunde!$I19,"")</f>
        <v>2</v>
      </c>
      <c r="Y71" s="36">
        <f ca="1">IF(AND(Vorrunde!$I19&lt;&gt;"",Vorrunde!$K19&lt;&gt;"",Vorrunde!$F19&lt;&gt;Vorrunde!$H19,$V71&lt;&gt;"",$W71&lt;&gt;""),Vorrunde!$K19,"")</f>
        <v>2</v>
      </c>
      <c r="Z71" s="35" t="str">
        <f t="shared" ca="1" si="66"/>
        <v>HSVRB Leipzig</v>
      </c>
      <c r="AA71" s="13">
        <f t="shared" ca="1" si="67"/>
        <v>1</v>
      </c>
      <c r="AB71" s="13" t="str">
        <f ca="1">IF(AA71&gt;0,X71&amp;Sprache!$E$111&amp;Y71,"")</f>
        <v>2:2</v>
      </c>
      <c r="AD71" s="143"/>
      <c r="AE71" s="148">
        <f ca="1">IF($AA71=0,"",IF($X71&gt;$Y71,Einstellungen!$C$4,IF($X71=$Y71,1,0)))</f>
        <v>1</v>
      </c>
      <c r="AF71" s="143">
        <f ca="1">IF($AA71=0,"",IF($X71&lt;$Y71,Einstellungen!$C$4,IF($X71=$Y71,1,0)))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VFB Essenheim</v>
      </c>
      <c r="W72" s="13" t="str">
        <f ca="1">Planung!$N14</f>
        <v>1. FC Riedwald</v>
      </c>
      <c r="X72" s="13">
        <f ca="1">IF(AND(Vorrunde!$I20&lt;&gt;"",Vorrunde!$K20&lt;&gt;"",Vorrunde!$F20&lt;&gt;Vorrunde!$H20,$V72&lt;&gt;"",$W72&lt;&gt;""),Vorrunde!$I20,"")</f>
        <v>1</v>
      </c>
      <c r="Y72" s="36">
        <f ca="1">IF(AND(Vorrunde!$I20&lt;&gt;"",Vorrunde!$K20&lt;&gt;"",Vorrunde!$F20&lt;&gt;Vorrunde!$H20,$V72&lt;&gt;"",$W72&lt;&gt;""),Vorrunde!$K20,"")</f>
        <v>5</v>
      </c>
      <c r="Z72" s="35" t="str">
        <f t="shared" ca="1" si="66"/>
        <v>VFB Essenheim1. FC Riedwald</v>
      </c>
      <c r="AA72" s="13">
        <f t="shared" ca="1" si="67"/>
        <v>1</v>
      </c>
      <c r="AB72" s="13" t="str">
        <f ca="1">IF(AA72&gt;0,X72&amp;Sprache!$E$111&amp;Y72,"")</f>
        <v>1:5</v>
      </c>
      <c r="AD72" s="143"/>
      <c r="AE72" s="148">
        <f ca="1">IF($AA72=0,"",IF($X72&gt;$Y72,Einstellungen!$C$4,IF($X72=$Y72,1,0)))</f>
        <v>0</v>
      </c>
      <c r="AF72" s="143">
        <f ca="1">IF($AA72=0,"",IF($X72&lt;$Y72,Einstellungen!$C$4,IF($X72=$Y72,1,0)))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Grönlingen</v>
      </c>
      <c r="W73" s="13" t="str">
        <f ca="1">Planung!$N15</f>
        <v>Mainz 05</v>
      </c>
      <c r="X73" s="13">
        <f ca="1">IF(AND(Vorrunde!$I21&lt;&gt;"",Vorrunde!$K21&lt;&gt;"",Vorrunde!$F21&lt;&gt;Vorrunde!$H21,$V73&lt;&gt;"",$W73&lt;&gt;""),Vorrunde!$I21,"")</f>
        <v>0</v>
      </c>
      <c r="Y73" s="36">
        <f ca="1">IF(AND(Vorrunde!$I21&lt;&gt;"",Vorrunde!$K21&lt;&gt;"",Vorrunde!$F21&lt;&gt;Vorrunde!$H21,$V73&lt;&gt;"",$W73&lt;&gt;""),Vorrunde!$K21,"")</f>
        <v>1</v>
      </c>
      <c r="Z73" s="35" t="str">
        <f t="shared" ca="1" si="66"/>
        <v>FC GrönlingenMainz 05</v>
      </c>
      <c r="AA73" s="13">
        <f t="shared" ca="1" si="67"/>
        <v>1</v>
      </c>
      <c r="AB73" s="13" t="str">
        <f ca="1">IF(AA73&gt;0,X73&amp;Sprache!$E$111&amp;Y73,"")</f>
        <v>0:1</v>
      </c>
      <c r="AD73" s="143"/>
      <c r="AE73" s="148">
        <f ca="1">IF($AA73=0,"",IF($X73&gt;$Y73,Einstellungen!$C$4,IF($X73=$Y73,1,0)))</f>
        <v>0</v>
      </c>
      <c r="AF73" s="143">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1. FC Nürnberg</v>
      </c>
      <c r="W74" s="13" t="str">
        <f ca="1">Planung!$N16</f>
        <v>Kickers Rodendorf</v>
      </c>
      <c r="X74" s="13">
        <f ca="1">IF(AND(Vorrunde!$I22&lt;&gt;"",Vorrunde!$K22&lt;&gt;"",Vorrunde!$F22&lt;&gt;Vorrunde!$H22,$V74&lt;&gt;"",$W74&lt;&gt;""),Vorrunde!$I22,"")</f>
        <v>5</v>
      </c>
      <c r="Y74" s="36">
        <f ca="1">IF(AND(Vorrunde!$I22&lt;&gt;"",Vorrunde!$K22&lt;&gt;"",Vorrunde!$F22&lt;&gt;Vorrunde!$H22,$V74&lt;&gt;"",$W74&lt;&gt;""),Vorrunde!$K22,"")</f>
        <v>3</v>
      </c>
      <c r="Z74" s="35" t="str">
        <f ca="1">V74&amp;W74</f>
        <v>1. FC NürnbergKickers Rodendorf</v>
      </c>
      <c r="AA74" s="13">
        <f t="shared" ca="1" si="67"/>
        <v>1</v>
      </c>
      <c r="AB74" s="13" t="str">
        <f ca="1">IF(AA74&gt;0,X74&amp;Sprache!$E$111&amp;Y74,"")</f>
        <v>5:3</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SV Oberredenburg</v>
      </c>
      <c r="W75" s="13" t="str">
        <f ca="1">Planung!$N17</f>
        <v>TSG Saalberg eV</v>
      </c>
      <c r="X75" s="13">
        <f ca="1">IF(AND(Vorrunde!$I23&lt;&gt;"",Vorrunde!$K23&lt;&gt;"",Vorrunde!$F23&lt;&gt;Vorrunde!$H23,$V75&lt;&gt;"",$W75&lt;&gt;""),Vorrunde!$I23,"")</f>
        <v>3</v>
      </c>
      <c r="Y75" s="36">
        <f ca="1">IF(AND(Vorrunde!$I23&lt;&gt;"",Vorrunde!$K23&lt;&gt;"",Vorrunde!$F23&lt;&gt;Vorrunde!$H23,$V75&lt;&gt;"",$W75&lt;&gt;""),Vorrunde!$K23,"")</f>
        <v>2</v>
      </c>
      <c r="Z75" s="35" t="str">
        <f t="shared" ref="Z75:Z123" ca="1" si="68">V75&amp;W75</f>
        <v>SV OberredenburgTSG Saalberg eV</v>
      </c>
      <c r="AA75" s="13">
        <f t="shared" ca="1" si="67"/>
        <v>1</v>
      </c>
      <c r="AB75" s="13" t="str">
        <f ca="1">IF(AA75&gt;0,X75&amp;Sprache!$E$111&amp;Y75,"")</f>
        <v>3:2</v>
      </c>
      <c r="AD75" s="143"/>
      <c r="AE75" s="148">
        <f ca="1">IF($AA75=0,"",IF($X75&gt;$Y75,Einstellungen!$C$4,IF($X75=$Y75,1,0)))</f>
        <v>3</v>
      </c>
      <c r="AF75" s="143">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Eintracht Frankfurt</v>
      </c>
      <c r="X76" s="13">
        <f ca="1">IF(AND(Vorrunde!$I24&lt;&gt;"",Vorrunde!$K24&lt;&gt;"",Vorrunde!$F24&lt;&gt;Vorrunde!$H24,$V76&lt;&gt;"",$W76&lt;&gt;""),Vorrunde!$I24,"")</f>
        <v>2</v>
      </c>
      <c r="Y76" s="36">
        <f ca="1">IF(AND(Vorrunde!$I24&lt;&gt;"",Vorrunde!$K24&lt;&gt;"",Vorrunde!$F24&lt;&gt;Vorrunde!$H24,$V76&lt;&gt;"",$W76&lt;&gt;""),Vorrunde!$K24,"")</f>
        <v>0</v>
      </c>
      <c r="Z76" s="35" t="str">
        <f t="shared" ca="1" si="68"/>
        <v>FC BarcelonaEintracht Frankfurt</v>
      </c>
      <c r="AA76" s="13">
        <f t="shared" ca="1" si="67"/>
        <v>1</v>
      </c>
      <c r="AB76" s="13" t="str">
        <f ca="1">IF(AA76&gt;0,X76&amp;Sprache!$E$111&amp;Y76,"")</f>
        <v>2:0</v>
      </c>
      <c r="AD76" s="143"/>
      <c r="AE76" s="148">
        <f ca="1">IF($AA76=0,"",IF($X76&gt;$Y76,Einstellungen!$C$4,IF($X76=$Y76,1,0)))</f>
        <v>3</v>
      </c>
      <c r="AF76" s="143">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SSV Wildbach</v>
      </c>
      <c r="X77" s="13">
        <f ca="1">IF(AND(Vorrunde!$I25&lt;&gt;"",Vorrunde!$K25&lt;&gt;"",Vorrunde!$F25&lt;&gt;Vorrunde!$H25,$V77&lt;&gt;"",$W77&lt;&gt;""),Vorrunde!$I25,"")</f>
        <v>4</v>
      </c>
      <c r="Y77" s="36">
        <f ca="1">IF(AND(Vorrunde!$I25&lt;&gt;"",Vorrunde!$K25&lt;&gt;"",Vorrunde!$F25&lt;&gt;Vorrunde!$H25,$V77&lt;&gt;"",$W77&lt;&gt;""),Vorrunde!$K25,"")</f>
        <v>0</v>
      </c>
      <c r="Z77" s="35" t="str">
        <f t="shared" ca="1" si="68"/>
        <v>Inter MailandSSV Wildbach</v>
      </c>
      <c r="AA77" s="13">
        <f t="shared" ca="1" si="67"/>
        <v>1</v>
      </c>
      <c r="AB77" s="13" t="str">
        <f ca="1">IF(AA77&gt;0,X77&amp;Sprache!$E$111&amp;Y77,"")</f>
        <v>4:0</v>
      </c>
      <c r="AD77" s="143"/>
      <c r="AE77" s="148">
        <f ca="1">IF($AA77=0,"",IF($X77&gt;$Y77,Einstellungen!$C$4,IF($X77=$Y77,1,0)))</f>
        <v>3</v>
      </c>
      <c r="AF77" s="143">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Planung!$L20</f>
        <v>Real Madrid</v>
      </c>
      <c r="W78" s="13" t="str">
        <f ca="1">Planung!$N20</f>
        <v>Borussia Dortmund</v>
      </c>
      <c r="X78" s="13">
        <f ca="1">IF(AND(Vorrunde!$I26&lt;&gt;"",Vorrunde!$K26&lt;&gt;"",Vorrunde!$F26&lt;&gt;Vorrunde!$H26,$V78&lt;&gt;"",$W78&lt;&gt;""),Vorrunde!$I26,"")</f>
        <v>0</v>
      </c>
      <c r="Y78" s="36">
        <f ca="1">IF(AND(Vorrunde!$I26&lt;&gt;"",Vorrunde!$K26&lt;&gt;"",Vorrunde!$F26&lt;&gt;Vorrunde!$H26,$V78&lt;&gt;"",$W78&lt;&gt;""),Vorrunde!$K26,"")</f>
        <v>1</v>
      </c>
      <c r="Z78" s="35" t="str">
        <f t="shared" ca="1" si="68"/>
        <v>Real MadridBorussia Dortmund</v>
      </c>
      <c r="AA78" s="13">
        <f t="shared" ca="1" si="67"/>
        <v>1</v>
      </c>
      <c r="AB78" s="13" t="str">
        <f ca="1">IF(AA78&gt;0,X78&amp;Sprache!$E$111&amp;Y78,"")</f>
        <v>0:1</v>
      </c>
      <c r="AD78" s="143"/>
      <c r="AE78" s="148">
        <f ca="1">IF($AA78=0,"",IF($X78&gt;$Y78,Einstellungen!$C$4,IF($X78=$Y78,1,0)))</f>
        <v>0</v>
      </c>
      <c r="AF78" s="143">
        <f ca="1">IF($AA78=0,"",IF($X78&lt;$Y78,Einstellungen!$C$4,IF($X78=$Y78,1,0)))</f>
        <v>3</v>
      </c>
    </row>
    <row r="79" spans="2:43" s="2" customFormat="1" x14ac:dyDescent="0.2">
      <c r="B79" s="4"/>
      <c r="C79" s="4"/>
      <c r="D79" s="4"/>
      <c r="E79" s="4"/>
      <c r="F79" s="13"/>
      <c r="G79" s="13"/>
      <c r="H79" s="13"/>
      <c r="I79" s="13"/>
      <c r="J79" s="13"/>
      <c r="K79" s="13"/>
      <c r="L79" s="13"/>
      <c r="M79" s="13"/>
      <c r="U79" s="67" t="s">
        <v>31</v>
      </c>
      <c r="V79" s="41" t="str">
        <f ca="1">Planung!$L21</f>
        <v>Paris St. Germain</v>
      </c>
      <c r="W79" s="13" t="str">
        <f ca="1">Planung!$N21</f>
        <v>HSV</v>
      </c>
      <c r="X79" s="13">
        <f ca="1">IF(AND(Vorrunde!$I27&lt;&gt;"",Vorrunde!$K27&lt;&gt;"",Vorrunde!$F27&lt;&gt;Vorrunde!$H27,$V79&lt;&gt;"",$W79&lt;&gt;""),Vorrunde!$I27,"")</f>
        <v>3</v>
      </c>
      <c r="Y79" s="36">
        <f ca="1">IF(AND(Vorrunde!$I27&lt;&gt;"",Vorrunde!$K27&lt;&gt;"",Vorrunde!$F27&lt;&gt;Vorrunde!$H27,$V79&lt;&gt;"",$W79&lt;&gt;""),Vorrunde!$K27,"")</f>
        <v>2</v>
      </c>
      <c r="Z79" s="35" t="str">
        <f t="shared" ca="1" si="68"/>
        <v>Paris St. GermainHSV</v>
      </c>
      <c r="AA79" s="13">
        <f t="shared" ca="1" si="67"/>
        <v>1</v>
      </c>
      <c r="AB79" s="13" t="str">
        <f ca="1">IF(AA79&gt;0,X79&amp;Sprache!$E$111&amp;Y79,"")</f>
        <v>3:2</v>
      </c>
      <c r="AD79" s="143"/>
      <c r="AE79" s="148">
        <f ca="1">IF($AA79=0,"",IF($X79&gt;$Y79,Einstellungen!$C$4,IF($X79=$Y79,1,0)))</f>
        <v>3</v>
      </c>
      <c r="AF79" s="143">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1. FC Riedwald</v>
      </c>
      <c r="W80" s="13" t="str">
        <f ca="1">Planung!$N22</f>
        <v>Maibach 1822 eV</v>
      </c>
      <c r="X80" s="13">
        <f ca="1">IF(AND(Vorrunde!$I28&lt;&gt;"",Vorrunde!$K28&lt;&gt;"",Vorrunde!$F28&lt;&gt;Vorrunde!$H28,$V80&lt;&gt;"",$W80&lt;&gt;""),Vorrunde!$I28,"")</f>
        <v>2</v>
      </c>
      <c r="Y80" s="36">
        <f ca="1">IF(AND(Vorrunde!$I28&lt;&gt;"",Vorrunde!$K28&lt;&gt;"",Vorrunde!$F28&lt;&gt;Vorrunde!$H28,$V80&lt;&gt;"",$W80&lt;&gt;""),Vorrunde!$K28,"")</f>
        <v>2</v>
      </c>
      <c r="Z80" s="35" t="str">
        <f t="shared" ca="1" si="68"/>
        <v>1. FC RiedwaldMaibach 1822 eV</v>
      </c>
      <c r="AA80" s="13">
        <f t="shared" ca="1" si="67"/>
        <v>1</v>
      </c>
      <c r="AB80" s="13" t="str">
        <f ca="1">IF(AA80&gt;0,X80&amp;Sprache!$E$111&amp;Y80,"")</f>
        <v>2:2</v>
      </c>
      <c r="AD80" s="143"/>
      <c r="AE80" s="148">
        <f ca="1">IF($AA80=0,"",IF($X80&gt;$Y80,Einstellungen!$C$4,IF($X80=$Y80,1,0)))</f>
        <v>1</v>
      </c>
      <c r="AF80" s="143">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Mainz 05</v>
      </c>
      <c r="W81" s="13" t="str">
        <f ca="1">Planung!$N23</f>
        <v>Manchester City</v>
      </c>
      <c r="X81" s="13">
        <f ca="1">IF(AND(Vorrunde!$I29&lt;&gt;"",Vorrunde!$K29&lt;&gt;"",Vorrunde!$F29&lt;&gt;Vorrunde!$H29,$V81&lt;&gt;"",$W81&lt;&gt;""),Vorrunde!$I29,"")</f>
        <v>0</v>
      </c>
      <c r="Y81" s="36">
        <f ca="1">IF(AND(Vorrunde!$I29&lt;&gt;"",Vorrunde!$K29&lt;&gt;"",Vorrunde!$F29&lt;&gt;Vorrunde!$H29,$V81&lt;&gt;"",$W81&lt;&gt;""),Vorrunde!$K29,"")</f>
        <v>1</v>
      </c>
      <c r="Z81" s="35" t="str">
        <f t="shared" ca="1" si="68"/>
        <v>Mainz 05Manchester City</v>
      </c>
      <c r="AA81" s="13">
        <f t="shared" ca="1" si="67"/>
        <v>1</v>
      </c>
      <c r="AB81" s="13" t="str">
        <f ca="1">IF(AA81&gt;0,X81&amp;Sprache!$E$111&amp;Y81,"")</f>
        <v>0:1</v>
      </c>
      <c r="AD81" s="143"/>
      <c r="AE81" s="148">
        <f ca="1">IF($AA81=0,"",IF($X81&gt;$Y81,Einstellungen!$C$4,IF($X81=$Y81,1,0)))</f>
        <v>0</v>
      </c>
      <c r="AF81" s="143">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Planung!$L24</f>
        <v>Kickers Rodendorf</v>
      </c>
      <c r="W82" s="13" t="str">
        <f ca="1">Planung!$N24</f>
        <v>FSV Rauen</v>
      </c>
      <c r="X82" s="13">
        <f ca="1">IF(AND(Vorrunde!$I30&lt;&gt;"",Vorrunde!$K30&lt;&gt;"",Vorrunde!$F30&lt;&gt;Vorrunde!$H30,$V82&lt;&gt;"",$W82&lt;&gt;""),Vorrunde!$I30,"")</f>
        <v>2</v>
      </c>
      <c r="Y82" s="36">
        <f ca="1">IF(AND(Vorrunde!$I30&lt;&gt;"",Vorrunde!$K30&lt;&gt;"",Vorrunde!$F30&lt;&gt;Vorrunde!$H30,$V82&lt;&gt;"",$W82&lt;&gt;""),Vorrunde!$K30,"")</f>
        <v>1</v>
      </c>
      <c r="Z82" s="35" t="str">
        <f t="shared" ca="1" si="68"/>
        <v>Kickers RodendorfFSV Rauen</v>
      </c>
      <c r="AA82" s="13">
        <f t="shared" ca="1" si="67"/>
        <v>1</v>
      </c>
      <c r="AB82" s="13" t="str">
        <f ca="1">IF(AA82&gt;0,X82&amp;Sprache!$E$111&amp;Y82,"")</f>
        <v>2:1</v>
      </c>
      <c r="AD82" s="143"/>
      <c r="AE82" s="148">
        <f ca="1">IF($AA82=0,"",IF($X82&gt;$Y82,Einstellungen!$C$4,IF($X82=$Y82,1,0)))</f>
        <v>3</v>
      </c>
      <c r="AF82" s="143">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TSG Saalberg eV</v>
      </c>
      <c r="W83" s="13" t="str">
        <f ca="1">Planung!$N25</f>
        <v>RB Leipzig</v>
      </c>
      <c r="X83" s="13">
        <f ca="1">IF(AND(Vorrunde!$I31&lt;&gt;"",Vorrunde!$K31&lt;&gt;"",Vorrunde!$F31&lt;&gt;Vorrunde!$H31,$V83&lt;&gt;"",$W83&lt;&gt;""),Vorrunde!$I31,"")</f>
        <v>1</v>
      </c>
      <c r="Y83" s="36">
        <f ca="1">IF(AND(Vorrunde!$I31&lt;&gt;"",Vorrunde!$K31&lt;&gt;"",Vorrunde!$F31&lt;&gt;Vorrunde!$H31,$V83&lt;&gt;"",$W83&lt;&gt;""),Vorrunde!$K31,"")</f>
        <v>4</v>
      </c>
      <c r="Z83" s="35" t="str">
        <f t="shared" ca="1" si="68"/>
        <v>TSG Saalberg eVRB Leipzig</v>
      </c>
      <c r="AA83" s="13">
        <f t="shared" ca="1" si="67"/>
        <v>1</v>
      </c>
      <c r="AB83" s="13" t="str">
        <f ca="1">IF(AA83&gt;0,X83&amp;Sprache!$E$111&amp;Y83,"")</f>
        <v>1:4</v>
      </c>
      <c r="AD83" s="143"/>
      <c r="AE83" s="148">
        <f ca="1">IF($AA83=0,"",IF($X83&gt;$Y83,Einstellungen!$C$4,IF($X83=$Y83,1,0)))</f>
        <v>0</v>
      </c>
      <c r="AF83" s="143">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Eintracht Frankfurt</v>
      </c>
      <c r="W84" s="13" t="str">
        <f ca="1">Planung!$N26</f>
        <v>VFB Essenheim</v>
      </c>
      <c r="X84" s="13">
        <f ca="1">IF(AND(Vorrunde!$I32&lt;&gt;"",Vorrunde!$K32&lt;&gt;"",Vorrunde!$F32&lt;&gt;Vorrunde!$H32,$V84&lt;&gt;"",$W84&lt;&gt;""),Vorrunde!$I32,"")</f>
        <v>3</v>
      </c>
      <c r="Y84" s="36">
        <f ca="1">IF(AND(Vorrunde!$I32&lt;&gt;"",Vorrunde!$K32&lt;&gt;"",Vorrunde!$F32&lt;&gt;Vorrunde!$H32,$V84&lt;&gt;"",$W84&lt;&gt;""),Vorrunde!$K32,"")</f>
        <v>2</v>
      </c>
      <c r="Z84" s="35" t="str">
        <f t="shared" ca="1" si="68"/>
        <v>Eintracht FrankfurtVFB Essenheim</v>
      </c>
      <c r="AA84" s="13">
        <f t="shared" ca="1" si="67"/>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SSV Wildbach</v>
      </c>
      <c r="W85" s="13" t="str">
        <f ca="1">Planung!$N27</f>
        <v>FC Grönlingen</v>
      </c>
      <c r="X85" s="13">
        <f ca="1">IF(AND(Vorrunde!$I33&lt;&gt;"",Vorrunde!$K33&lt;&gt;"",Vorrunde!$F33&lt;&gt;Vorrunde!$H33,$V85&lt;&gt;"",$W85&lt;&gt;""),Vorrunde!$I33,"")</f>
        <v>1</v>
      </c>
      <c r="Y85" s="36">
        <f ca="1">IF(AND(Vorrunde!$I33&lt;&gt;"",Vorrunde!$K33&lt;&gt;"",Vorrunde!$F33&lt;&gt;Vorrunde!$H33,$V85&lt;&gt;"",$W85&lt;&gt;""),Vorrunde!$K33,"")</f>
        <v>4</v>
      </c>
      <c r="Z85" s="35" t="str">
        <f t="shared" ca="1" si="68"/>
        <v>SSV WildbachFC Grönlingen</v>
      </c>
      <c r="AA85" s="13">
        <f t="shared" ca="1" si="67"/>
        <v>1</v>
      </c>
      <c r="AB85" s="13" t="str">
        <f ca="1">IF(AA85&gt;0,X85&amp;Sprache!$E$111&amp;Y85,"")</f>
        <v>1:4</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Planung!$L28</f>
        <v>Borussia Dortmund</v>
      </c>
      <c r="W86" s="13" t="str">
        <f ca="1">Planung!$N28</f>
        <v>1. FC Nürnberg</v>
      </c>
      <c r="X86" s="13">
        <f ca="1">IF(AND(Vorrunde!$I34&lt;&gt;"",Vorrunde!$K34&lt;&gt;"",Vorrunde!$F34&lt;&gt;Vorrunde!$H34,$V86&lt;&gt;"",$W86&lt;&gt;""),Vorrunde!$I34,"")</f>
        <v>2</v>
      </c>
      <c r="Y86" s="36">
        <f ca="1">IF(AND(Vorrunde!$I34&lt;&gt;"",Vorrunde!$K34&lt;&gt;"",Vorrunde!$F34&lt;&gt;Vorrunde!$H34,$V86&lt;&gt;"",$W86&lt;&gt;""),Vorrunde!$K34,"")</f>
        <v>2</v>
      </c>
      <c r="Z86" s="35" t="str">
        <f t="shared" ca="1" si="68"/>
        <v>Borussia Dortmund1. FC Nürnberg</v>
      </c>
      <c r="AA86" s="13">
        <f t="shared" ca="1" si="67"/>
        <v>1</v>
      </c>
      <c r="AB86" s="13" t="str">
        <f ca="1">IF(AA86&gt;0,X86&amp;Sprache!$E$111&amp;Y86,"")</f>
        <v>2:2</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Planung!$L29</f>
        <v>HSV</v>
      </c>
      <c r="W87" s="13" t="str">
        <f ca="1">Planung!$N29</f>
        <v>SV Oberredenburg</v>
      </c>
      <c r="X87" s="13">
        <f ca="1">IF(AND(Vorrunde!$I35&lt;&gt;"",Vorrunde!$K35&lt;&gt;"",Vorrunde!$F35&lt;&gt;Vorrunde!$H35,$V87&lt;&gt;"",$W87&lt;&gt;""),Vorrunde!$I35,"")</f>
        <v>1</v>
      </c>
      <c r="Y87" s="36">
        <f ca="1">IF(AND(Vorrunde!$I35&lt;&gt;"",Vorrunde!$K35&lt;&gt;"",Vorrunde!$F35&lt;&gt;Vorrunde!$H35,$V87&lt;&gt;"",$W87&lt;&gt;""),Vorrunde!$K35,"")</f>
        <v>0</v>
      </c>
      <c r="Z87" s="35" t="str">
        <f t="shared" ca="1" si="68"/>
        <v>HSVSV Oberredenburg</v>
      </c>
      <c r="AA87" s="13">
        <f t="shared" ca="1" si="67"/>
        <v>1</v>
      </c>
      <c r="AB87" s="13" t="str">
        <f ca="1">IF(AA87&gt;0,X87&amp;Sprache!$E$111&amp;Y87,"")</f>
        <v>1:0</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FC Barcelona</v>
      </c>
      <c r="W88" s="13" t="str">
        <f ca="1">Planung!$N30</f>
        <v>Maibach 1822 eV</v>
      </c>
      <c r="X88" s="13">
        <f ca="1">IF(AND(Vorrunde!$I36&lt;&gt;"",Vorrunde!$K36&lt;&gt;"",Vorrunde!$F36&lt;&gt;Vorrunde!$H36,$V88&lt;&gt;"",$W88&lt;&gt;""),Vorrunde!$I36,"")</f>
        <v>3</v>
      </c>
      <c r="Y88" s="36">
        <f ca="1">IF(AND(Vorrunde!$I36&lt;&gt;"",Vorrunde!$K36&lt;&gt;"",Vorrunde!$F36&lt;&gt;Vorrunde!$H36,$V88&lt;&gt;"",$W88&lt;&gt;""),Vorrunde!$K36,"")</f>
        <v>1</v>
      </c>
      <c r="Z88" s="35" t="str">
        <f t="shared" ca="1" si="68"/>
        <v>FC BarcelonaMaibach 1822 eV</v>
      </c>
      <c r="AA88" s="13">
        <f t="shared" ca="1" si="67"/>
        <v>1</v>
      </c>
      <c r="AB88" s="13" t="str">
        <f ca="1">IF(AA88&gt;0,X88&amp;Sprache!$E$111&amp;Y88,"")</f>
        <v>3:1</v>
      </c>
      <c r="AD88" s="143"/>
      <c r="AE88" s="148">
        <f ca="1">IF($AA88=0,"",IF($X88&gt;$Y88,Einstellungen!$C$4,IF($X88=$Y88,1,0)))</f>
        <v>3</v>
      </c>
      <c r="AF88" s="143">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Inter Mailand</v>
      </c>
      <c r="W89" s="13" t="str">
        <f ca="1">Planung!$N31</f>
        <v>Manchester City</v>
      </c>
      <c r="X89" s="13">
        <f ca="1">IF(AND(Vorrunde!$I37&lt;&gt;"",Vorrunde!$K37&lt;&gt;"",Vorrunde!$F37&lt;&gt;Vorrunde!$H37,$V89&lt;&gt;"",$W89&lt;&gt;""),Vorrunde!$I37,"")</f>
        <v>2</v>
      </c>
      <c r="Y89" s="36">
        <f ca="1">IF(AND(Vorrunde!$I37&lt;&gt;"",Vorrunde!$K37&lt;&gt;"",Vorrunde!$F37&lt;&gt;Vorrunde!$H37,$V89&lt;&gt;"",$W89&lt;&gt;""),Vorrunde!$K37,"")</f>
        <v>2</v>
      </c>
      <c r="Z89" s="35" t="str">
        <f t="shared" ca="1" si="68"/>
        <v>Inter MailandManchester City</v>
      </c>
      <c r="AA89" s="13">
        <f t="shared" ca="1" si="67"/>
        <v>1</v>
      </c>
      <c r="AB89" s="13" t="str">
        <f ca="1">IF(AA89&gt;0,X89&amp;Sprache!$E$111&amp;Y89,"")</f>
        <v>2:2</v>
      </c>
      <c r="AD89" s="143"/>
      <c r="AE89" s="148">
        <f ca="1">IF($AA89=0,"",IF($X89&gt;$Y89,Einstellungen!$C$4,IF($X89=$Y89,1,0)))</f>
        <v>1</v>
      </c>
      <c r="AF89" s="143">
        <f ca="1">IF($AA89=0,"",IF($X89&lt;$Y89,Einstellungen!$C$4,IF($X89=$Y89,1,0)))</f>
        <v>1</v>
      </c>
    </row>
    <row r="90" spans="2:32" s="2" customFormat="1" x14ac:dyDescent="0.2">
      <c r="B90" s="4"/>
      <c r="C90" s="4"/>
      <c r="D90" s="4"/>
      <c r="E90" s="4"/>
      <c r="F90" s="13"/>
      <c r="G90" s="13"/>
      <c r="H90" s="13"/>
      <c r="I90" s="13"/>
      <c r="J90" s="13"/>
      <c r="K90" s="13"/>
      <c r="L90" s="13"/>
      <c r="M90" s="13"/>
      <c r="U90" s="67" t="s">
        <v>42</v>
      </c>
      <c r="V90" s="41" t="str">
        <f ca="1">Planung!$L32</f>
        <v>Real Madrid</v>
      </c>
      <c r="W90" s="13" t="str">
        <f ca="1">Planung!$N32</f>
        <v>FSV Rauen</v>
      </c>
      <c r="X90" s="13">
        <f ca="1">IF(AND(Vorrunde!$I38&lt;&gt;"",Vorrunde!$K38&lt;&gt;"",Vorrunde!$F38&lt;&gt;Vorrunde!$H38,$V90&lt;&gt;"",$W90&lt;&gt;""),Vorrunde!$I38,"")</f>
        <v>4</v>
      </c>
      <c r="Y90" s="36">
        <f ca="1">IF(AND(Vorrunde!$I38&lt;&gt;"",Vorrunde!$K38&lt;&gt;"",Vorrunde!$F38&lt;&gt;Vorrunde!$H38,$V90&lt;&gt;"",$W90&lt;&gt;""),Vorrunde!$K38,"")</f>
        <v>0</v>
      </c>
      <c r="Z90" s="35" t="str">
        <f t="shared" ca="1" si="68"/>
        <v>Real MadridFSV Rauen</v>
      </c>
      <c r="AA90" s="13">
        <f t="shared" ca="1" si="67"/>
        <v>1</v>
      </c>
      <c r="AB90" s="13" t="str">
        <f ca="1">IF(AA90&gt;0,X90&amp;Sprache!$E$111&amp;Y90,"")</f>
        <v>4:0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Planung!$L33</f>
        <v>Paris St. Germain</v>
      </c>
      <c r="W91" s="13" t="str">
        <f ca="1">Planung!$N33</f>
        <v>RB Leipzig</v>
      </c>
      <c r="X91" s="13">
        <f ca="1">IF(AND(Vorrunde!$I39&lt;&gt;"",Vorrunde!$K39&lt;&gt;"",Vorrunde!$F39&lt;&gt;Vorrunde!$H39,$V91&lt;&gt;"",$W91&lt;&gt;""),Vorrunde!$I39,"")</f>
        <v>3</v>
      </c>
      <c r="Y91" s="36">
        <f ca="1">IF(AND(Vorrunde!$I39&lt;&gt;"",Vorrunde!$K39&lt;&gt;"",Vorrunde!$F39&lt;&gt;Vorrunde!$H39,$V91&lt;&gt;"",$W91&lt;&gt;""),Vorrunde!$K39,"")</f>
        <v>1</v>
      </c>
      <c r="Z91" s="35" t="str">
        <f t="shared" ca="1" si="68"/>
        <v>Paris St. GermainRB Leipzig</v>
      </c>
      <c r="AA91" s="13">
        <f t="shared" ca="1" si="67"/>
        <v>1</v>
      </c>
      <c r="AB91" s="13" t="str">
        <f ca="1">IF(AA91&gt;0,X91&amp;Sprache!$E$111&amp;Y91,"")</f>
        <v>3:1</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Planung!$L34</f>
        <v>Eintracht Frankfurt</v>
      </c>
      <c r="W92" s="13" t="str">
        <f ca="1">Planung!$N34</f>
        <v>1. FC Riedwald</v>
      </c>
      <c r="X92" s="13">
        <f ca="1">IF(AND(Vorrunde!$I40&lt;&gt;"",Vorrunde!$K40&lt;&gt;"",Vorrunde!$F40&lt;&gt;Vorrunde!$H40,$V92&lt;&gt;"",$W92&lt;&gt;""),Vorrunde!$I40,"")</f>
        <v>6</v>
      </c>
      <c r="Y92" s="36">
        <f ca="1">IF(AND(Vorrunde!$I40&lt;&gt;"",Vorrunde!$K40&lt;&gt;"",Vorrunde!$F40&lt;&gt;Vorrunde!$H40,$V92&lt;&gt;"",$W92&lt;&gt;""),Vorrunde!$K40,"")</f>
        <v>2</v>
      </c>
      <c r="Z92" s="35" t="str">
        <f t="shared" ca="1" si="68"/>
        <v>Eintracht Frankfurt1. FC Riedwald</v>
      </c>
      <c r="AA92" s="13">
        <f t="shared" ca="1" si="67"/>
        <v>1</v>
      </c>
      <c r="AB92" s="13" t="str">
        <f ca="1">IF(AA92&gt;0,X92&amp;Sprache!$E$111&amp;Y92,"")</f>
        <v>6:2</v>
      </c>
      <c r="AD92" s="143"/>
      <c r="AE92" s="148">
        <f ca="1">IF($AA92=0,"",IF($X92&gt;$Y92,Einstellungen!$C$4,IF($X92=$Y92,1,0)))</f>
        <v>3</v>
      </c>
      <c r="AF92" s="143">
        <f ca="1">IF($AA92=0,"",IF($X92&lt;$Y92,Einstellungen!$C$4,IF($X92=$Y92,1,0)))</f>
        <v>0</v>
      </c>
    </row>
    <row r="93" spans="2:32" s="2" customFormat="1" x14ac:dyDescent="0.2">
      <c r="B93" s="4"/>
      <c r="C93" s="4"/>
      <c r="D93" s="4"/>
      <c r="E93" s="4"/>
      <c r="F93" s="13"/>
      <c r="G93" s="13"/>
      <c r="H93" s="13"/>
      <c r="I93" s="13"/>
      <c r="J93" s="13"/>
      <c r="K93" s="13"/>
      <c r="L93" s="13"/>
      <c r="M93" s="13"/>
      <c r="U93" s="67" t="s">
        <v>45</v>
      </c>
      <c r="V93" s="41" t="str">
        <f ca="1">Planung!$L35</f>
        <v>SSV Wildbach</v>
      </c>
      <c r="W93" s="13" t="str">
        <f ca="1">Planung!$N35</f>
        <v>Mainz 05</v>
      </c>
      <c r="X93" s="13">
        <f ca="1">IF(AND(Vorrunde!$I41&lt;&gt;"",Vorrunde!$K41&lt;&gt;"",Vorrunde!$F41&lt;&gt;Vorrunde!$H41,$V93&lt;&gt;"",$W93&lt;&gt;""),Vorrunde!$I41,"")</f>
        <v>2</v>
      </c>
      <c r="Y93" s="36">
        <f ca="1">IF(AND(Vorrunde!$I41&lt;&gt;"",Vorrunde!$K41&lt;&gt;"",Vorrunde!$F41&lt;&gt;Vorrunde!$H41,$V93&lt;&gt;"",$W93&lt;&gt;""),Vorrunde!$K41,"")</f>
        <v>2</v>
      </c>
      <c r="Z93" s="35" t="str">
        <f t="shared" ca="1" si="68"/>
        <v>SSV WildbachMainz 05</v>
      </c>
      <c r="AA93" s="13">
        <f t="shared" ca="1" si="67"/>
        <v>1</v>
      </c>
      <c r="AB93" s="13" t="str">
        <f ca="1">IF(AA93&gt;0,X93&amp;Sprache!$E$111&amp;Y93,"")</f>
        <v>2:2</v>
      </c>
      <c r="AD93" s="143"/>
      <c r="AE93" s="148">
        <f ca="1">IF($AA93=0,"",IF($X93&gt;$Y93,Einstellungen!$C$4,IF($X93=$Y93,1,0)))</f>
        <v>1</v>
      </c>
      <c r="AF93" s="143">
        <f ca="1">IF($AA93=0,"",IF($X93&lt;$Y93,Einstellungen!$C$4,IF($X93=$Y93,1,0)))</f>
        <v>1</v>
      </c>
    </row>
    <row r="94" spans="2:32" s="2" customFormat="1" x14ac:dyDescent="0.2">
      <c r="B94" s="4"/>
      <c r="C94" s="4"/>
      <c r="D94" s="4"/>
      <c r="E94" s="4"/>
      <c r="F94" s="13"/>
      <c r="G94" s="13"/>
      <c r="H94" s="13"/>
      <c r="I94" s="13"/>
      <c r="J94" s="13"/>
      <c r="K94" s="13"/>
      <c r="L94" s="13"/>
      <c r="M94" s="13"/>
      <c r="U94" s="67" t="s">
        <v>46</v>
      </c>
      <c r="V94" s="41" t="str">
        <f ca="1">Planung!$L36</f>
        <v>Borussia Dortmund</v>
      </c>
      <c r="W94" s="13" t="str">
        <f ca="1">Planung!$N36</f>
        <v>Kickers Rodendorf</v>
      </c>
      <c r="X94" s="13">
        <f ca="1">IF(AND(Vorrunde!$I42&lt;&gt;"",Vorrunde!$K42&lt;&gt;"",Vorrunde!$F42&lt;&gt;Vorrunde!$H42,$V94&lt;&gt;"",$W94&lt;&gt;""),Vorrunde!$I42,"")</f>
        <v>4</v>
      </c>
      <c r="Y94" s="36">
        <f ca="1">IF(AND(Vorrunde!$I42&lt;&gt;"",Vorrunde!$K42&lt;&gt;"",Vorrunde!$F42&lt;&gt;Vorrunde!$H42,$V94&lt;&gt;"",$W94&lt;&gt;""),Vorrunde!$K42,"")</f>
        <v>1</v>
      </c>
      <c r="Z94" s="35" t="str">
        <f t="shared" ca="1" si="68"/>
        <v>Borussia DortmundKickers Rodendorf</v>
      </c>
      <c r="AA94" s="13">
        <f t="shared" ca="1" si="67"/>
        <v>1</v>
      </c>
      <c r="AB94" s="13" t="str">
        <f ca="1">IF(AA94&gt;0,X94&amp;Sprache!$E$111&amp;Y94,"")</f>
        <v>4:1</v>
      </c>
      <c r="AD94" s="143"/>
      <c r="AE94" s="148">
        <f ca="1">IF($AA94=0,"",IF($X94&gt;$Y94,Einstellungen!$C$4,IF($X94=$Y94,1,0)))</f>
        <v>3</v>
      </c>
      <c r="AF94" s="143">
        <f ca="1">IF($AA94=0,"",IF($X94&lt;$Y94,Einstellungen!$C$4,IF($X94=$Y94,1,0)))</f>
        <v>0</v>
      </c>
    </row>
    <row r="95" spans="2:32" s="2" customFormat="1" x14ac:dyDescent="0.2">
      <c r="B95" s="4"/>
      <c r="C95" s="4"/>
      <c r="D95" s="4"/>
      <c r="E95" s="4"/>
      <c r="F95" s="13"/>
      <c r="G95" s="13"/>
      <c r="H95" s="13"/>
      <c r="I95" s="13"/>
      <c r="J95" s="13"/>
      <c r="K95" s="13"/>
      <c r="L95" s="13"/>
      <c r="M95" s="13"/>
      <c r="U95" s="67" t="s">
        <v>47</v>
      </c>
      <c r="V95" s="41" t="str">
        <f ca="1">Planung!$L37</f>
        <v>HSV</v>
      </c>
      <c r="W95" s="13" t="str">
        <f ca="1">Planung!$N37</f>
        <v>TSG Saalberg eV</v>
      </c>
      <c r="X95" s="13">
        <f ca="1">IF(AND(Vorrunde!$I43&lt;&gt;"",Vorrunde!$K43&lt;&gt;"",Vorrunde!$F43&lt;&gt;Vorrunde!$H43,$V95&lt;&gt;"",$W95&lt;&gt;""),Vorrunde!$I43,"")</f>
        <v>3</v>
      </c>
      <c r="Y95" s="36">
        <f ca="1">IF(AND(Vorrunde!$I43&lt;&gt;"",Vorrunde!$K43&lt;&gt;"",Vorrunde!$F43&lt;&gt;Vorrunde!$H43,$V95&lt;&gt;"",$W95&lt;&gt;""),Vorrunde!$K43,"")</f>
        <v>2</v>
      </c>
      <c r="Z95" s="35" t="str">
        <f t="shared" ca="1" si="68"/>
        <v>HSVTSG Saalberg eV</v>
      </c>
      <c r="AA95" s="13">
        <f t="shared" ca="1" si="67"/>
        <v>1</v>
      </c>
      <c r="AB95" s="13" t="str">
        <f ca="1">IF(AA95&gt;0,X95&amp;Sprache!$E$111&amp;Y95,"")</f>
        <v>3:2</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Planung!$L38</f>
        <v>Maibach 1822 eV</v>
      </c>
      <c r="W96" s="13" t="str">
        <f ca="1">Planung!$N38</f>
        <v>VFB Essenheim</v>
      </c>
      <c r="X96" s="13">
        <f ca="1">IF(AND(Vorrunde!$I44&lt;&gt;"",Vorrunde!$K44&lt;&gt;"",Vorrunde!$F44&lt;&gt;Vorrunde!$H44,$V96&lt;&gt;"",$W96&lt;&gt;""),Vorrunde!$I44,"")</f>
        <v>3</v>
      </c>
      <c r="Y96" s="36">
        <f ca="1">IF(AND(Vorrunde!$I44&lt;&gt;"",Vorrunde!$K44&lt;&gt;"",Vorrunde!$F44&lt;&gt;Vorrunde!$H44,$V96&lt;&gt;"",$W96&lt;&gt;""),Vorrunde!$K44,"")</f>
        <v>5</v>
      </c>
      <c r="Z96" s="35" t="str">
        <f t="shared" ca="1" si="68"/>
        <v>Maibach 1822 eVVFB Essenheim</v>
      </c>
      <c r="AA96" s="13">
        <f t="shared" ca="1" si="67"/>
        <v>1</v>
      </c>
      <c r="AB96" s="13" t="str">
        <f ca="1">IF(AA96&gt;0,X96&amp;Sprache!$E$111&amp;Y96,"")</f>
        <v>3:5</v>
      </c>
      <c r="AD96" s="143"/>
      <c r="AE96" s="148">
        <f ca="1">IF($AA96=0,"",IF($X96&gt;$Y96,Einstellungen!$C$4,IF($X96=$Y96,1,0)))</f>
        <v>0</v>
      </c>
      <c r="AF96" s="143">
        <f ca="1">IF($AA96=0,"",IF($X96&lt;$Y96,Einstellungen!$C$4,IF($X96=$Y96,1,0)))</f>
        <v>3</v>
      </c>
    </row>
    <row r="97" spans="2:32" s="2" customFormat="1" x14ac:dyDescent="0.2">
      <c r="B97" s="4"/>
      <c r="C97" s="4"/>
      <c r="D97" s="4"/>
      <c r="E97" s="4"/>
      <c r="F97" s="13"/>
      <c r="G97" s="13"/>
      <c r="H97" s="13"/>
      <c r="I97" s="13"/>
      <c r="J97" s="13"/>
      <c r="K97" s="13"/>
      <c r="L97" s="13"/>
      <c r="M97" s="13"/>
      <c r="U97" s="67" t="s">
        <v>49</v>
      </c>
      <c r="V97" s="41" t="str">
        <f ca="1">Planung!$L39</f>
        <v>Manchester City</v>
      </c>
      <c r="W97" s="13" t="str">
        <f ca="1">Planung!$N39</f>
        <v>FC Grönlingen</v>
      </c>
      <c r="X97" s="13">
        <f ca="1">IF(AND(Vorrunde!$I45&lt;&gt;"",Vorrunde!$K45&lt;&gt;"",Vorrunde!$F45&lt;&gt;Vorrunde!$H45,$V97&lt;&gt;"",$W97&lt;&gt;""),Vorrunde!$I45,"")</f>
        <v>4</v>
      </c>
      <c r="Y97" s="36">
        <f ca="1">IF(AND(Vorrunde!$I45&lt;&gt;"",Vorrunde!$K45&lt;&gt;"",Vorrunde!$F45&lt;&gt;Vorrunde!$H45,$V97&lt;&gt;"",$W97&lt;&gt;""),Vorrunde!$K45,"")</f>
        <v>2</v>
      </c>
      <c r="Z97" s="35" t="str">
        <f t="shared" ca="1" si="68"/>
        <v>Manchester CityFC Grönlingen</v>
      </c>
      <c r="AA97" s="13">
        <f t="shared" ca="1" si="67"/>
        <v>1</v>
      </c>
      <c r="AB97" s="13" t="str">
        <f ca="1">IF(AA97&gt;0,X97&amp;Sprache!$E$111&amp;Y97,"")</f>
        <v>4:2</v>
      </c>
      <c r="AD97" s="143"/>
      <c r="AE97" s="148">
        <f ca="1">IF($AA97=0,"",IF($X97&gt;$Y97,Einstellungen!$C$4,IF($X97=$Y97,1,0)))</f>
        <v>3</v>
      </c>
      <c r="AF97" s="143">
        <f ca="1">IF($AA97=0,"",IF($X97&lt;$Y97,Einstellungen!$C$4,IF($X97=$Y97,1,0)))</f>
        <v>0</v>
      </c>
    </row>
    <row r="98" spans="2:32" s="2" customFormat="1" x14ac:dyDescent="0.2">
      <c r="B98" s="4"/>
      <c r="C98" s="4"/>
      <c r="D98" s="4"/>
      <c r="E98" s="4"/>
      <c r="F98" s="13"/>
      <c r="G98" s="13"/>
      <c r="H98" s="13"/>
      <c r="I98" s="13"/>
      <c r="J98" s="13"/>
      <c r="K98" s="13"/>
      <c r="L98" s="13"/>
      <c r="M98" s="13"/>
      <c r="U98" s="67" t="s">
        <v>50</v>
      </c>
      <c r="V98" s="41" t="str">
        <f ca="1">Planung!$L40</f>
        <v>FSV Rauen</v>
      </c>
      <c r="W98" s="13" t="str">
        <f ca="1">Planung!$N40</f>
        <v>1. FC Nürnberg</v>
      </c>
      <c r="X98" s="13">
        <f ca="1">IF(AND(Vorrunde!$I46&lt;&gt;"",Vorrunde!$K46&lt;&gt;"",Vorrunde!$F46&lt;&gt;Vorrunde!$H46,$V98&lt;&gt;"",$W98&lt;&gt;""),Vorrunde!$I46,"")</f>
        <v>3</v>
      </c>
      <c r="Y98" s="36">
        <f ca="1">IF(AND(Vorrunde!$I46&lt;&gt;"",Vorrunde!$K46&lt;&gt;"",Vorrunde!$F46&lt;&gt;Vorrunde!$H46,$V98&lt;&gt;"",$W98&lt;&gt;""),Vorrunde!$K46,"")</f>
        <v>4</v>
      </c>
      <c r="Z98" s="35" t="str">
        <f t="shared" ca="1" si="68"/>
        <v>FSV Rauen1. FC Nürnberg</v>
      </c>
      <c r="AA98" s="13">
        <f t="shared" ca="1" si="67"/>
        <v>1</v>
      </c>
      <c r="AB98" s="13" t="str">
        <f ca="1">IF(AA98&gt;0,X98&amp;Sprache!$E$111&amp;Y98,"")</f>
        <v>3:4</v>
      </c>
      <c r="AD98" s="143"/>
      <c r="AE98" s="148">
        <f ca="1">IF($AA98=0,"",IF($X98&gt;$Y98,Einstellungen!$C$4,IF($X98=$Y98,1,0)))</f>
        <v>0</v>
      </c>
      <c r="AF98" s="143">
        <f ca="1">IF($AA98=0,"",IF($X98&lt;$Y98,Einstellungen!$C$4,IF($X98=$Y98,1,0)))</f>
        <v>3</v>
      </c>
    </row>
    <row r="99" spans="2:32" s="2" customFormat="1" x14ac:dyDescent="0.2">
      <c r="B99" s="4"/>
      <c r="C99" s="4"/>
      <c r="D99" s="4"/>
      <c r="E99" s="4"/>
      <c r="F99" s="13"/>
      <c r="G99" s="13"/>
      <c r="H99" s="13"/>
      <c r="I99" s="13"/>
      <c r="J99" s="13"/>
      <c r="K99" s="13"/>
      <c r="L99" s="13"/>
      <c r="M99" s="13"/>
      <c r="U99" s="67" t="s">
        <v>51</v>
      </c>
      <c r="V99" s="41" t="str">
        <f ca="1">Planung!$L41</f>
        <v>RB Leipzig</v>
      </c>
      <c r="W99" s="13" t="str">
        <f ca="1">Planung!$N41</f>
        <v>SV Oberredenburg</v>
      </c>
      <c r="X99" s="13">
        <f ca="1">IF(AND(Vorrunde!$I47&lt;&gt;"",Vorrunde!$K47&lt;&gt;"",Vorrunde!$F47&lt;&gt;Vorrunde!$H47,$V99&lt;&gt;"",$W99&lt;&gt;""),Vorrunde!$I47,"")</f>
        <v>3</v>
      </c>
      <c r="Y99" s="36">
        <f ca="1">IF(AND(Vorrunde!$I47&lt;&gt;"",Vorrunde!$K47&lt;&gt;"",Vorrunde!$F47&lt;&gt;Vorrunde!$H47,$V99&lt;&gt;"",$W99&lt;&gt;""),Vorrunde!$K47,"")</f>
        <v>0</v>
      </c>
      <c r="Z99" s="35" t="str">
        <f t="shared" ca="1" si="68"/>
        <v>RB LeipzigSV Oberredenburg</v>
      </c>
      <c r="AA99" s="13">
        <f t="shared" ca="1" si="67"/>
        <v>1</v>
      </c>
      <c r="AB99" s="13" t="str">
        <f ca="1">IF(AA99&gt;0,X99&amp;Sprache!$E$111&amp;Y99,"")</f>
        <v>3:0</v>
      </c>
      <c r="AD99" s="143"/>
      <c r="AE99" s="148">
        <f ca="1">IF($AA99=0,"",IF($X99&gt;$Y99,Einstellungen!$C$4,IF($X99=$Y99,1,0)))</f>
        <v>3</v>
      </c>
      <c r="AF99" s="143">
        <f ca="1">IF($AA99=0,"",IF($X99&lt;$Y99,Einstellungen!$C$4,IF($X99=$Y99,1,0)))</f>
        <v>0</v>
      </c>
    </row>
    <row r="100" spans="2:32" s="2" customFormat="1" x14ac:dyDescent="0.2">
      <c r="B100" s="4"/>
      <c r="C100" s="4"/>
      <c r="D100" s="4"/>
      <c r="E100" s="4"/>
      <c r="F100" s="13"/>
      <c r="G100" s="13"/>
      <c r="H100" s="13"/>
      <c r="I100" s="13"/>
      <c r="J100" s="13"/>
      <c r="K100" s="13"/>
      <c r="L100" s="13"/>
      <c r="M100" s="13"/>
      <c r="U100" s="67" t="s">
        <v>60</v>
      </c>
      <c r="V100" s="41" t="str">
        <f ca="1">Planung!$L42</f>
        <v>1. FC Riedwald</v>
      </c>
      <c r="W100" s="13" t="str">
        <f ca="1">Planung!$N42</f>
        <v>FC Barcelona</v>
      </c>
      <c r="X100" s="13">
        <f ca="1">IF(AND(Vorrunde!$I48&lt;&gt;"",Vorrunde!$K48&lt;&gt;"",Vorrunde!$F48&lt;&gt;Vorrunde!$H48,$V100&lt;&gt;"",$W100&lt;&gt;""),Vorrunde!$I48,"")</f>
        <v>1</v>
      </c>
      <c r="Y100" s="36">
        <f ca="1">IF(AND(Vorrunde!$I48&lt;&gt;"",Vorrunde!$K48&lt;&gt;"",Vorrunde!$F48&lt;&gt;Vorrunde!$H48,$V100&lt;&gt;"",$W100&lt;&gt;""),Vorrunde!$K48,"")</f>
        <v>6</v>
      </c>
      <c r="Z100" s="35" t="str">
        <f t="shared" ca="1" si="68"/>
        <v>1. FC RiedwaldFC Barcelona</v>
      </c>
      <c r="AA100" s="13">
        <f t="shared" ca="1" si="67"/>
        <v>1</v>
      </c>
      <c r="AB100" s="13" t="str">
        <f ca="1">IF(AA100&gt;0,X100&amp;Sprache!$E$111&amp;Y100,"")</f>
        <v>1:6</v>
      </c>
      <c r="AD100" s="143"/>
      <c r="AE100" s="148">
        <f ca="1">IF($AA100=0,"",IF($X100&gt;$Y100,Einstellungen!$C$4,IF($X100=$Y100,1,0)))</f>
        <v>0</v>
      </c>
      <c r="AF100" s="143">
        <f ca="1">IF($AA100=0,"",IF($X100&lt;$Y100,Einstellungen!$C$4,IF($X100=$Y100,1,0)))</f>
        <v>3</v>
      </c>
    </row>
    <row r="101" spans="2:32" s="2" customFormat="1" x14ac:dyDescent="0.2">
      <c r="B101" s="4"/>
      <c r="C101" s="4"/>
      <c r="D101" s="4"/>
      <c r="E101" s="4"/>
      <c r="F101" s="13"/>
      <c r="G101" s="13"/>
      <c r="H101" s="13"/>
      <c r="I101" s="13"/>
      <c r="J101" s="13"/>
      <c r="K101" s="13"/>
      <c r="L101" s="13"/>
      <c r="M101" s="13"/>
      <c r="U101" s="67" t="s">
        <v>61</v>
      </c>
      <c r="V101" s="41" t="str">
        <f ca="1">Planung!$L43</f>
        <v>Mainz 05</v>
      </c>
      <c r="W101" s="13" t="str">
        <f ca="1">Planung!$N43</f>
        <v>Inter Mailand</v>
      </c>
      <c r="X101" s="13">
        <f ca="1">IF(AND(Vorrunde!$I49&lt;&gt;"",Vorrunde!$K49&lt;&gt;"",Vorrunde!$F49&lt;&gt;Vorrunde!$H49,$V101&lt;&gt;"",$W101&lt;&gt;""),Vorrunde!$I49,"")</f>
        <v>2</v>
      </c>
      <c r="Y101" s="36">
        <f ca="1">IF(AND(Vorrunde!$I49&lt;&gt;"",Vorrunde!$K49&lt;&gt;"",Vorrunde!$F49&lt;&gt;Vorrunde!$H49,$V101&lt;&gt;"",$W101&lt;&gt;""),Vorrunde!$K49,"")</f>
        <v>3</v>
      </c>
      <c r="Z101" s="35" t="str">
        <f t="shared" ca="1" si="68"/>
        <v>Mainz 05Inter Mailand</v>
      </c>
      <c r="AA101" s="13">
        <f t="shared" ca="1" si="67"/>
        <v>1</v>
      </c>
      <c r="AB101" s="13" t="str">
        <f ca="1">IF(AA101&gt;0,X101&amp;Sprache!$E$111&amp;Y101,"")</f>
        <v>2:3</v>
      </c>
      <c r="AD101" s="143"/>
      <c r="AE101" s="148">
        <f ca="1">IF($AA101=0,"",IF($X101&gt;$Y101,Einstellungen!$C$4,IF($X101=$Y101,1,0)))</f>
        <v>0</v>
      </c>
      <c r="AF101" s="143">
        <f ca="1">IF($AA101=0,"",IF($X101&lt;$Y101,Einstellungen!$C$4,IF($X101=$Y101,1,0)))</f>
        <v>3</v>
      </c>
    </row>
    <row r="102" spans="2:32" s="2" customFormat="1" x14ac:dyDescent="0.2">
      <c r="B102" s="4"/>
      <c r="C102" s="4"/>
      <c r="D102" s="4"/>
      <c r="E102" s="4"/>
      <c r="F102" s="13"/>
      <c r="G102" s="13"/>
      <c r="H102" s="13"/>
      <c r="I102" s="13"/>
      <c r="J102" s="13"/>
      <c r="K102" s="13"/>
      <c r="L102" s="13"/>
      <c r="M102" s="13"/>
      <c r="U102" s="67" t="s">
        <v>62</v>
      </c>
      <c r="V102" s="41" t="str">
        <f ca="1">Planung!$L44</f>
        <v>Kickers Rodendorf</v>
      </c>
      <c r="W102" s="13" t="str">
        <f ca="1">Planung!$N44</f>
        <v>Real Madrid</v>
      </c>
      <c r="X102" s="13">
        <f ca="1">IF(AND(Vorrunde!$I50&lt;&gt;"",Vorrunde!$K50&lt;&gt;"",Vorrunde!$F50&lt;&gt;Vorrunde!$H50,$V102&lt;&gt;"",$W102&lt;&gt;""),Vorrunde!$I50,"")</f>
        <v>1</v>
      </c>
      <c r="Y102" s="36">
        <f ca="1">IF(AND(Vorrunde!$I50&lt;&gt;"",Vorrunde!$K50&lt;&gt;"",Vorrunde!$F50&lt;&gt;Vorrunde!$H50,$V102&lt;&gt;"",$W102&lt;&gt;""),Vorrunde!$K50,"")</f>
        <v>5</v>
      </c>
      <c r="Z102" s="35" t="str">
        <f t="shared" ca="1" si="68"/>
        <v>Kickers RodendorfReal Madrid</v>
      </c>
      <c r="AA102" s="13">
        <f t="shared" ca="1" si="67"/>
        <v>1</v>
      </c>
      <c r="AB102" s="13" t="str">
        <f ca="1">IF(AA102&gt;0,X102&amp;Sprache!$E$111&amp;Y102,"")</f>
        <v>1:5</v>
      </c>
      <c r="AD102" s="143"/>
      <c r="AE102" s="148">
        <f ca="1">IF($AA102=0,"",IF($X102&gt;$Y102,Einstellungen!$C$4,IF($X102=$Y102,1,0)))</f>
        <v>0</v>
      </c>
      <c r="AF102" s="143">
        <f ca="1">IF($AA102=0,"",IF($X102&lt;$Y102,Einstellungen!$C$4,IF($X102=$Y102,1,0)))</f>
        <v>3</v>
      </c>
    </row>
    <row r="103" spans="2:32" s="2" customFormat="1" x14ac:dyDescent="0.2">
      <c r="B103" s="4"/>
      <c r="C103" s="4"/>
      <c r="D103" s="4"/>
      <c r="E103" s="4"/>
      <c r="F103" s="13"/>
      <c r="G103" s="13"/>
      <c r="H103" s="13"/>
      <c r="I103" s="13"/>
      <c r="J103" s="13"/>
      <c r="K103" s="13"/>
      <c r="L103" s="13"/>
      <c r="M103" s="13"/>
      <c r="U103" s="67" t="s">
        <v>63</v>
      </c>
      <c r="V103" s="41" t="str">
        <f ca="1">Planung!$L45</f>
        <v>TSG Saalberg eV</v>
      </c>
      <c r="W103" s="13" t="str">
        <f ca="1">Planung!$N45</f>
        <v>Paris St. Germain</v>
      </c>
      <c r="X103" s="13">
        <f ca="1">IF(AND(Vorrunde!$I51&lt;&gt;"",Vorrunde!$K51&lt;&gt;"",Vorrunde!$F51&lt;&gt;Vorrunde!$H51,$V103&lt;&gt;"",$W103&lt;&gt;""),Vorrunde!$I51,"")</f>
        <v>0</v>
      </c>
      <c r="Y103" s="36">
        <f ca="1">IF(AND(Vorrunde!$I51&lt;&gt;"",Vorrunde!$K51&lt;&gt;"",Vorrunde!$F51&lt;&gt;Vorrunde!$H51,$V103&lt;&gt;"",$W103&lt;&gt;""),Vorrunde!$K51,"")</f>
        <v>7</v>
      </c>
      <c r="Z103" s="35" t="str">
        <f t="shared" ca="1" si="68"/>
        <v>TSG Saalberg eVParis St. Germain</v>
      </c>
      <c r="AA103" s="13">
        <f t="shared" ca="1" si="67"/>
        <v>1</v>
      </c>
      <c r="AB103" s="13" t="str">
        <f ca="1">IF(AA103&gt;0,X103&amp;Sprache!$E$111&amp;Y103,"")</f>
        <v>0:7</v>
      </c>
      <c r="AD103" s="143"/>
      <c r="AE103" s="148">
        <f ca="1">IF($AA103=0,"",IF($X103&gt;$Y103,Einstellungen!$C$4,IF($X103=$Y103,1,0)))</f>
        <v>0</v>
      </c>
      <c r="AF103" s="143">
        <f ca="1">IF($AA103=0,"",IF($X103&lt;$Y103,Einstellungen!$C$4,IF($X103=$Y103,1,0)))</f>
        <v>3</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68"/>
        <v/>
      </c>
      <c r="AA104" s="13">
        <f t="shared" ca="1" si="67"/>
        <v>0</v>
      </c>
      <c r="AB104" s="13" t="str">
        <f ca="1">IF(AA104&gt;0,X104&amp;Sprache!$E$111&amp;Y104,"")</f>
        <v/>
      </c>
      <c r="AD104" s="143"/>
      <c r="AE104" s="148" t="str">
        <f ca="1">IF($AA104=0,"",IF($X104&gt;$Y104,Einstellungen!$C$4,IF($X104=$Y104,1,0)))</f>
        <v/>
      </c>
      <c r="AF104" s="143"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68"/>
        <v/>
      </c>
      <c r="AA105" s="13">
        <f t="shared" ca="1" si="67"/>
        <v>0</v>
      </c>
      <c r="AB105" s="13" t="str">
        <f ca="1">IF(AA105&gt;0,X105&amp;Sprache!$E$111&amp;Y105,"")</f>
        <v/>
      </c>
      <c r="AD105" s="143"/>
      <c r="AE105" s="148" t="str">
        <f ca="1">IF($AA105=0,"",IF($X105&gt;$Y105,Einstellungen!$C$4,IF($X105=$Y105,1,0)))</f>
        <v/>
      </c>
      <c r="AF105" s="143"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68"/>
        <v/>
      </c>
      <c r="AA106" s="13">
        <f t="shared" ca="1" si="67"/>
        <v>0</v>
      </c>
      <c r="AB106" s="13" t="str">
        <f ca="1">IF(AA106&gt;0,X106&amp;Sprache!$E$111&amp;Y106,"")</f>
        <v/>
      </c>
      <c r="AD106" s="143"/>
      <c r="AE106" s="148" t="str">
        <f ca="1">IF($AA106=0,"",IF($X106&gt;$Y106,Einstellungen!$C$4,IF($X106=$Y106,1,0)))</f>
        <v/>
      </c>
      <c r="AF106" s="143"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68"/>
        <v/>
      </c>
      <c r="AA107" s="13">
        <f t="shared" ca="1" si="67"/>
        <v>0</v>
      </c>
      <c r="AB107" s="13" t="str">
        <f ca="1">IF(AA107&gt;0,X107&amp;Sprache!$E$111&amp;Y107,"")</f>
        <v/>
      </c>
      <c r="AD107" s="143"/>
      <c r="AE107" s="148" t="str">
        <f ca="1">IF($AA107=0,"",IF($X107&gt;$Y107,Einstellungen!$C$4,IF($X107=$Y107,1,0)))</f>
        <v/>
      </c>
      <c r="AF107" s="143" t="str">
        <f ca="1">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68"/>
        <v/>
      </c>
      <c r="AA108" s="13">
        <f t="shared" ca="1" si="67"/>
        <v>0</v>
      </c>
      <c r="AB108" s="13" t="str">
        <f ca="1">IF(AA108&gt;0,X108&amp;Sprache!$E$111&amp;Y108,"")</f>
        <v/>
      </c>
      <c r="AD108" s="143"/>
      <c r="AE108" s="148" t="str">
        <f ca="1">IF($AA108=0,"",IF($X108&gt;$Y108,Einstellungen!$C$4,IF($X108=$Y108,1,0)))</f>
        <v/>
      </c>
      <c r="AF108" s="143" t="str">
        <f ca="1">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 ca="1">Planung!$L51</f>
        <v/>
      </c>
      <c r="W109" s="13" t="str">
        <f ca="1">Planung!$N51</f>
        <v/>
      </c>
      <c r="X109" s="13" t="str">
        <f ca="1">IF(AND(Vorrunde!$I57&lt;&gt;"",Vorrunde!$K57&lt;&gt;"",Vorrunde!$F57&lt;&gt;Vorrunde!$H57,$V109&lt;&gt;"",$W109&lt;&gt;""),Vorrunde!$I57,"")</f>
        <v/>
      </c>
      <c r="Y109" s="36" t="str">
        <f ca="1">IF(AND(Vorrunde!$I57&lt;&gt;"",Vorrunde!$K57&lt;&gt;"",Vorrunde!$F57&lt;&gt;Vorrunde!$H57,$V109&lt;&gt;"",$W109&lt;&gt;""),Vorrunde!$K57,"")</f>
        <v/>
      </c>
      <c r="Z109" s="35" t="str">
        <f t="shared" ca="1" si="68"/>
        <v/>
      </c>
      <c r="AA109" s="13">
        <f t="shared" ca="1" si="67"/>
        <v>0</v>
      </c>
      <c r="AB109" s="13" t="str">
        <f ca="1">IF(AA109&gt;0,X109&amp;Sprache!$E$111&amp;Y109,"")</f>
        <v/>
      </c>
      <c r="AD109" s="143"/>
      <c r="AE109" s="148" t="str">
        <f ca="1">IF($AA109=0,"",IF($X109&gt;$Y109,Einstellungen!$C$4,IF($X109=$Y109,1,0)))</f>
        <v/>
      </c>
      <c r="AF109" s="143" t="str">
        <f ca="1">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 ca="1">Planung!$L52</f>
        <v/>
      </c>
      <c r="W110" s="13" t="str">
        <f ca="1">Planung!$N52</f>
        <v/>
      </c>
      <c r="X110" s="13" t="str">
        <f ca="1">IF(AND(Vorrunde!$I58&lt;&gt;"",Vorrunde!$K58&lt;&gt;"",Vorrunde!$F58&lt;&gt;Vorrunde!$H58,$V110&lt;&gt;"",$W110&lt;&gt;""),Vorrunde!$I58,"")</f>
        <v/>
      </c>
      <c r="Y110" s="36" t="str">
        <f ca="1">IF(AND(Vorrunde!$I58&lt;&gt;"",Vorrunde!$K58&lt;&gt;"",Vorrunde!$F58&lt;&gt;Vorrunde!$H58,$V110&lt;&gt;"",$W110&lt;&gt;""),Vorrunde!$K58,"")</f>
        <v/>
      </c>
      <c r="Z110" s="35" t="str">
        <f t="shared" ca="1" si="68"/>
        <v/>
      </c>
      <c r="AA110" s="13">
        <f t="shared" ca="1" si="67"/>
        <v>0</v>
      </c>
      <c r="AB110" s="13" t="str">
        <f ca="1">IF(AA110&gt;0,X110&amp;Sprache!$E$111&amp;Y110,"")</f>
        <v/>
      </c>
      <c r="AD110" s="143"/>
      <c r="AE110" s="148" t="str">
        <f ca="1">IF($AA110=0,"",IF($X110&gt;$Y110,Einstellungen!$C$4,IF($X110=$Y110,1,0)))</f>
        <v/>
      </c>
      <c r="AF110" s="143" t="str">
        <f ca="1">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 ca="1">Planung!$L53</f>
        <v/>
      </c>
      <c r="W111" s="13" t="str">
        <f ca="1">Planung!$N53</f>
        <v/>
      </c>
      <c r="X111" s="13" t="str">
        <f ca="1">IF(AND(Vorrunde!$I59&lt;&gt;"",Vorrunde!$K59&lt;&gt;"",Vorrunde!$F59&lt;&gt;Vorrunde!$H59,$V111&lt;&gt;"",$W111&lt;&gt;""),Vorrunde!$I59,"")</f>
        <v/>
      </c>
      <c r="Y111" s="36" t="str">
        <f ca="1">IF(AND(Vorrunde!$I59&lt;&gt;"",Vorrunde!$K59&lt;&gt;"",Vorrunde!$F59&lt;&gt;Vorrunde!$H59,$V111&lt;&gt;"",$W111&lt;&gt;""),Vorrunde!$K59,"")</f>
        <v/>
      </c>
      <c r="Z111" s="35" t="str">
        <f t="shared" ca="1" si="68"/>
        <v/>
      </c>
      <c r="AA111" s="13">
        <f t="shared" ca="1" si="67"/>
        <v>0</v>
      </c>
      <c r="AB111" s="13" t="str">
        <f ca="1">IF(AA111&gt;0,X111&amp;Sprache!$E$111&amp;Y111,"")</f>
        <v/>
      </c>
      <c r="AD111" s="143"/>
      <c r="AE111" s="148" t="str">
        <f ca="1">IF($AA111=0,"",IF($X111&gt;$Y111,Einstellungen!$C$4,IF($X111=$Y111,1,0)))</f>
        <v/>
      </c>
      <c r="AF111" s="143" t="str">
        <f ca="1">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 ca="1">Planung!$L54</f>
        <v/>
      </c>
      <c r="W112" s="13" t="str">
        <f ca="1">Planung!$N54</f>
        <v/>
      </c>
      <c r="X112" s="13" t="str">
        <f ca="1">IF(AND(Vorrunde!$I60&lt;&gt;"",Vorrunde!$K60&lt;&gt;"",Vorrunde!$F60&lt;&gt;Vorrunde!$H60,$V112&lt;&gt;"",$W112&lt;&gt;""),Vorrunde!$I60,"")</f>
        <v/>
      </c>
      <c r="Y112" s="36" t="str">
        <f ca="1">IF(AND(Vorrunde!$I60&lt;&gt;"",Vorrunde!$K60&lt;&gt;"",Vorrunde!$F60&lt;&gt;Vorrunde!$H60,$V112&lt;&gt;"",$W112&lt;&gt;""),Vorrunde!$K60,"")</f>
        <v/>
      </c>
      <c r="Z112" s="35" t="str">
        <f t="shared" ca="1" si="68"/>
        <v/>
      </c>
      <c r="AA112" s="13">
        <f t="shared" ca="1" si="67"/>
        <v>0</v>
      </c>
      <c r="AB112" s="13" t="str">
        <f ca="1">IF(AA112&gt;0,X112&amp;Sprache!$E$111&amp;Y112,"")</f>
        <v/>
      </c>
      <c r="AD112" s="143"/>
      <c r="AE112" s="148" t="str">
        <f ca="1">IF($AA112=0,"",IF($X112&gt;$Y112,Einstellungen!$C$4,IF($X112=$Y112,1,0)))</f>
        <v/>
      </c>
      <c r="AF112" s="143" t="str">
        <f ca="1">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 ca="1">Planung!$L55</f>
        <v/>
      </c>
      <c r="W113" s="13" t="str">
        <f ca="1">Planung!$N55</f>
        <v/>
      </c>
      <c r="X113" s="13" t="str">
        <f ca="1">IF(AND(Vorrunde!$I61&lt;&gt;"",Vorrunde!$K61&lt;&gt;"",Vorrunde!$F61&lt;&gt;Vorrunde!$H61,$V113&lt;&gt;"",$W113&lt;&gt;""),Vorrunde!$I61,"")</f>
        <v/>
      </c>
      <c r="Y113" s="36" t="str">
        <f ca="1">IF(AND(Vorrunde!$I61&lt;&gt;"",Vorrunde!$K61&lt;&gt;"",Vorrunde!$F61&lt;&gt;Vorrunde!$H61,$V113&lt;&gt;"",$W113&lt;&gt;""),Vorrunde!$K61,"")</f>
        <v/>
      </c>
      <c r="Z113" s="35" t="str">
        <f t="shared" ca="1" si="68"/>
        <v/>
      </c>
      <c r="AA113" s="13">
        <f t="shared" ca="1" si="67"/>
        <v>0</v>
      </c>
      <c r="AB113" s="13" t="str">
        <f ca="1">IF(AA113&gt;0,X113&amp;Sprache!$E$111&amp;Y113,"")</f>
        <v/>
      </c>
      <c r="AD113" s="143"/>
      <c r="AE113" s="148" t="str">
        <f ca="1">IF($AA113=0,"",IF($X113&gt;$Y113,Einstellungen!$C$4,IF($X113=$Y113,1,0)))</f>
        <v/>
      </c>
      <c r="AF113" s="143" t="str">
        <f ca="1">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 ca="1">Planung!$L56</f>
        <v/>
      </c>
      <c r="W114" s="13" t="str">
        <f ca="1">Planung!$N56</f>
        <v/>
      </c>
      <c r="X114" s="13" t="str">
        <f ca="1">IF(AND(Vorrunde!$I62&lt;&gt;"",Vorrunde!$K62&lt;&gt;"",Vorrunde!$F62&lt;&gt;Vorrunde!$H62,$V114&lt;&gt;"",$W114&lt;&gt;""),Vorrunde!$I62,"")</f>
        <v/>
      </c>
      <c r="Y114" s="36" t="str">
        <f ca="1">IF(AND(Vorrunde!$I62&lt;&gt;"",Vorrunde!$K62&lt;&gt;"",Vorrunde!$F62&lt;&gt;Vorrunde!$H62,$V114&lt;&gt;"",$W114&lt;&gt;""),Vorrunde!$K62,"")</f>
        <v/>
      </c>
      <c r="Z114" s="35" t="str">
        <f t="shared" ca="1" si="68"/>
        <v/>
      </c>
      <c r="AA114" s="13">
        <f t="shared" ca="1" si="67"/>
        <v>0</v>
      </c>
      <c r="AB114" s="13" t="str">
        <f ca="1">IF(AA114&gt;0,X114&amp;Sprache!$E$111&amp;Y114,"")</f>
        <v/>
      </c>
      <c r="AD114" s="143"/>
      <c r="AE114" s="148" t="str">
        <f ca="1">IF($AA114=0,"",IF($X114&gt;$Y114,Einstellungen!$C$4,IF($X114=$Y114,1,0)))</f>
        <v/>
      </c>
      <c r="AF114" s="143" t="str">
        <f ca="1">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 ca="1">Planung!$L57</f>
        <v/>
      </c>
      <c r="W115" s="13" t="str">
        <f ca="1">Planung!$N57</f>
        <v/>
      </c>
      <c r="X115" s="13" t="str">
        <f ca="1">IF(AND(Vorrunde!$I63&lt;&gt;"",Vorrunde!$K63&lt;&gt;"",Vorrunde!$F63&lt;&gt;Vorrunde!$H63,$V115&lt;&gt;"",$W115&lt;&gt;""),Vorrunde!$I63,"")</f>
        <v/>
      </c>
      <c r="Y115" s="36" t="str">
        <f ca="1">IF(AND(Vorrunde!$I63&lt;&gt;"",Vorrunde!$K63&lt;&gt;"",Vorrunde!$F63&lt;&gt;Vorrunde!$H63,$V115&lt;&gt;"",$W115&lt;&gt;""),Vorrunde!$K63,"")</f>
        <v/>
      </c>
      <c r="Z115" s="35" t="str">
        <f t="shared" ca="1" si="68"/>
        <v/>
      </c>
      <c r="AA115" s="13">
        <f t="shared" ca="1" si="67"/>
        <v>0</v>
      </c>
      <c r="AB115" s="13" t="str">
        <f ca="1">IF(AA115&gt;0,X115&amp;Sprache!$E$111&amp;Y115,"")</f>
        <v/>
      </c>
      <c r="AD115" s="143"/>
      <c r="AE115" s="148" t="str">
        <f ca="1">IF($AA115=0,"",IF($X115&gt;$Y115,Einstellungen!$C$4,IF($X115=$Y115,1,0)))</f>
        <v/>
      </c>
      <c r="AF115" s="143" t="str">
        <f ca="1">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 ca="1">Planung!$L58</f>
        <v/>
      </c>
      <c r="W116" s="13" t="str">
        <f ca="1">Planung!$N58</f>
        <v/>
      </c>
      <c r="X116" s="13" t="str">
        <f ca="1">IF(AND(Vorrunde!$I64&lt;&gt;"",Vorrunde!$K64&lt;&gt;"",Vorrunde!$F64&lt;&gt;Vorrunde!$H64,$V116&lt;&gt;"",$W116&lt;&gt;""),Vorrunde!$I64,"")</f>
        <v/>
      </c>
      <c r="Y116" s="36" t="str">
        <f ca="1">IF(AND(Vorrunde!$I64&lt;&gt;"",Vorrunde!$K64&lt;&gt;"",Vorrunde!$F64&lt;&gt;Vorrunde!$H64,$V116&lt;&gt;"",$W116&lt;&gt;""),Vorrunde!$K64,"")</f>
        <v/>
      </c>
      <c r="Z116" s="35" t="str">
        <f t="shared" ca="1" si="68"/>
        <v/>
      </c>
      <c r="AA116" s="13">
        <f t="shared" ca="1" si="67"/>
        <v>0</v>
      </c>
      <c r="AB116" s="13" t="str">
        <f ca="1">IF(AA116&gt;0,X116&amp;Sprache!$E$111&amp;Y116,"")</f>
        <v/>
      </c>
      <c r="AD116" s="143"/>
      <c r="AE116" s="148" t="str">
        <f ca="1">IF($AA116=0,"",IF($X116&gt;$Y116,Einstellungen!$C$4,IF($X116=$Y116,1,0)))</f>
        <v/>
      </c>
      <c r="AF116" s="143" t="str">
        <f ca="1">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 ca="1">Planung!$L59</f>
        <v/>
      </c>
      <c r="W117" s="13" t="str">
        <f ca="1">Planung!$N59</f>
        <v/>
      </c>
      <c r="X117" s="13" t="str">
        <f ca="1">IF(AND(Vorrunde!$I65&lt;&gt;"",Vorrunde!$K65&lt;&gt;"",Vorrunde!$F65&lt;&gt;Vorrunde!$H65,$V117&lt;&gt;"",$W117&lt;&gt;""),Vorrunde!$I65,"")</f>
        <v/>
      </c>
      <c r="Y117" s="36" t="str">
        <f ca="1">IF(AND(Vorrunde!$I65&lt;&gt;"",Vorrunde!$K65&lt;&gt;"",Vorrunde!$F65&lt;&gt;Vorrunde!$H65,$V117&lt;&gt;"",$W117&lt;&gt;""),Vorrunde!$K65,"")</f>
        <v/>
      </c>
      <c r="Z117" s="35" t="str">
        <f t="shared" ca="1" si="68"/>
        <v/>
      </c>
      <c r="AA117" s="13">
        <f t="shared" ca="1" si="67"/>
        <v>0</v>
      </c>
      <c r="AB117" s="13" t="str">
        <f ca="1">IF(AA117&gt;0,X117&amp;Sprache!$E$111&amp;Y117,"")</f>
        <v/>
      </c>
      <c r="AD117" s="143"/>
      <c r="AE117" s="148" t="str">
        <f ca="1">IF($AA117=0,"",IF($X117&gt;$Y117,Einstellungen!$C$4,IF($X117=$Y117,1,0)))</f>
        <v/>
      </c>
      <c r="AF117" s="143" t="str">
        <f ca="1">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 ca="1">Planung!$L60</f>
        <v/>
      </c>
      <c r="W118" s="13" t="str">
        <f ca="1">Planung!$N60</f>
        <v/>
      </c>
      <c r="X118" s="13" t="str">
        <f ca="1">IF(AND(Vorrunde!$I66&lt;&gt;"",Vorrunde!$K66&lt;&gt;"",Vorrunde!$F66&lt;&gt;Vorrunde!$H66,$V118&lt;&gt;"",$W118&lt;&gt;""),Vorrunde!$I66,"")</f>
        <v/>
      </c>
      <c r="Y118" s="36" t="str">
        <f ca="1">IF(AND(Vorrunde!$I66&lt;&gt;"",Vorrunde!$K66&lt;&gt;"",Vorrunde!$F66&lt;&gt;Vorrunde!$H66,$V118&lt;&gt;"",$W118&lt;&gt;""),Vorrunde!$K66,"")</f>
        <v/>
      </c>
      <c r="Z118" s="35" t="str">
        <f t="shared" ca="1" si="68"/>
        <v/>
      </c>
      <c r="AA118" s="13">
        <f t="shared" ca="1" si="67"/>
        <v>0</v>
      </c>
      <c r="AB118" s="13" t="str">
        <f ca="1">IF(AA118&gt;0,X118&amp;Sprache!$E$111&amp;Y118,"")</f>
        <v/>
      </c>
      <c r="AD118" s="143"/>
      <c r="AE118" s="148" t="str">
        <f ca="1">IF($AA118=0,"",IF($X118&gt;$Y118,Einstellungen!$C$4,IF($X118=$Y118,1,0)))</f>
        <v/>
      </c>
      <c r="AF118" s="143" t="str">
        <f ca="1">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 ca="1">Planung!$L61</f>
        <v/>
      </c>
      <c r="W119" s="13" t="str">
        <f ca="1">Planung!$N61</f>
        <v/>
      </c>
      <c r="X119" s="13" t="str">
        <f ca="1">IF(AND(Vorrunde!$I67&lt;&gt;"",Vorrunde!$K67&lt;&gt;"",Vorrunde!$F67&lt;&gt;Vorrunde!$H67,$V119&lt;&gt;"",$W119&lt;&gt;""),Vorrunde!$I67,"")</f>
        <v/>
      </c>
      <c r="Y119" s="36" t="str">
        <f ca="1">IF(AND(Vorrunde!$I67&lt;&gt;"",Vorrunde!$K67&lt;&gt;"",Vorrunde!$F67&lt;&gt;Vorrunde!$H67,$V119&lt;&gt;"",$W119&lt;&gt;""),Vorrunde!$K67,"")</f>
        <v/>
      </c>
      <c r="Z119" s="35" t="str">
        <f t="shared" ca="1" si="68"/>
        <v/>
      </c>
      <c r="AA119" s="13">
        <f t="shared" ca="1" si="67"/>
        <v>0</v>
      </c>
      <c r="AB119" s="13" t="str">
        <f ca="1">IF(AA119&gt;0,X119&amp;Sprache!$E$111&amp;Y119,"")</f>
        <v/>
      </c>
      <c r="AD119" s="143"/>
      <c r="AE119" s="148" t="str">
        <f ca="1">IF($AA119=0,"",IF($X119&gt;$Y119,Einstellungen!$C$4,IF($X119=$Y119,1,0)))</f>
        <v/>
      </c>
      <c r="AF119" s="143" t="str">
        <f ca="1">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 ca="1">Planung!$L62</f>
        <v/>
      </c>
      <c r="W120" s="13" t="str">
        <f ca="1">Planung!$N62</f>
        <v/>
      </c>
      <c r="X120" s="13" t="str">
        <f ca="1">IF(AND(Vorrunde!$I68&lt;&gt;"",Vorrunde!$K68&lt;&gt;"",Vorrunde!$F68&lt;&gt;Vorrunde!$H68,$V120&lt;&gt;"",$W120&lt;&gt;""),Vorrunde!$I68,"")</f>
        <v/>
      </c>
      <c r="Y120" s="36" t="str">
        <f ca="1">IF(AND(Vorrunde!$I68&lt;&gt;"",Vorrunde!$K68&lt;&gt;"",Vorrunde!$F68&lt;&gt;Vorrunde!$H68,$V120&lt;&gt;"",$W120&lt;&gt;""),Vorrunde!$K68,"")</f>
        <v/>
      </c>
      <c r="Z120" s="35" t="str">
        <f t="shared" ca="1" si="68"/>
        <v/>
      </c>
      <c r="AA120" s="13">
        <f t="shared" ca="1" si="67"/>
        <v>0</v>
      </c>
      <c r="AB120" s="13" t="str">
        <f ca="1">IF(AA120&gt;0,X120&amp;Sprache!$E$111&amp;Y120,"")</f>
        <v/>
      </c>
      <c r="AD120" s="143"/>
      <c r="AE120" s="148" t="str">
        <f ca="1">IF($AA120=0,"",IF($X120&gt;$Y120,Einstellungen!$C$4,IF($X120=$Y120,1,0)))</f>
        <v/>
      </c>
      <c r="AF120" s="143" t="str">
        <f ca="1">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 ca="1">Planung!$L63</f>
        <v/>
      </c>
      <c r="W121" s="13" t="str">
        <f ca="1">Planung!$N63</f>
        <v/>
      </c>
      <c r="X121" s="13" t="str">
        <f ca="1">IF(AND(Vorrunde!$I69&lt;&gt;"",Vorrunde!$K69&lt;&gt;"",Vorrunde!$F69&lt;&gt;Vorrunde!$H69,$V121&lt;&gt;"",$W121&lt;&gt;""),Vorrunde!$I69,"")</f>
        <v/>
      </c>
      <c r="Y121" s="36" t="str">
        <f ca="1">IF(AND(Vorrunde!$I69&lt;&gt;"",Vorrunde!$K69&lt;&gt;"",Vorrunde!$F69&lt;&gt;Vorrunde!$H69,$V121&lt;&gt;"",$W121&lt;&gt;""),Vorrunde!$K69,"")</f>
        <v/>
      </c>
      <c r="Z121" s="35" t="str">
        <f t="shared" ca="1" si="68"/>
        <v/>
      </c>
      <c r="AA121" s="13">
        <f t="shared" ca="1" si="67"/>
        <v>0</v>
      </c>
      <c r="AB121" s="13" t="str">
        <f ca="1">IF(AA121&gt;0,X121&amp;Sprache!$E$111&amp;Y121,"")</f>
        <v/>
      </c>
      <c r="AD121" s="143"/>
      <c r="AE121" s="148" t="str">
        <f ca="1">IF($AA121=0,"",IF($X121&gt;$Y121,Einstellungen!$C$4,IF($X121=$Y121,1,0)))</f>
        <v/>
      </c>
      <c r="AF121" s="143" t="str">
        <f ca="1">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 ca="1">Planung!$L64</f>
        <v/>
      </c>
      <c r="W122" s="13" t="str">
        <f ca="1">Planung!$N64</f>
        <v/>
      </c>
      <c r="X122" s="13" t="str">
        <f ca="1">IF(AND(Vorrunde!$I70&lt;&gt;"",Vorrunde!$K70&lt;&gt;"",Vorrunde!$F70&lt;&gt;Vorrunde!$H70,$V122&lt;&gt;"",$W122&lt;&gt;""),Vorrunde!$I70,"")</f>
        <v/>
      </c>
      <c r="Y122" s="36" t="str">
        <f ca="1">IF(AND(Vorrunde!$I70&lt;&gt;"",Vorrunde!$K70&lt;&gt;"",Vorrunde!$F70&lt;&gt;Vorrunde!$H70,$V122&lt;&gt;"",$W122&lt;&gt;""),Vorrunde!$K70,"")</f>
        <v/>
      </c>
      <c r="Z122" s="35" t="str">
        <f t="shared" ca="1" si="68"/>
        <v/>
      </c>
      <c r="AA122" s="13">
        <f t="shared" ca="1" si="67"/>
        <v>0</v>
      </c>
      <c r="AB122" s="13" t="str">
        <f ca="1">IF(AA122&gt;0,X122&amp;Sprache!$E$111&amp;Y122,"")</f>
        <v/>
      </c>
      <c r="AD122" s="143"/>
      <c r="AE122" s="148" t="str">
        <f ca="1">IF($AA122=0,"",IF($X122&gt;$Y122,Einstellungen!$C$4,IF($X122=$Y122,1,0)))</f>
        <v/>
      </c>
      <c r="AF122" s="143" t="str">
        <f ca="1">IF($AA122=0,"",IF($X122&lt;$Y122,Einstellungen!$C$4,IF($X122=$Y122,1,0)))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Planung!$L65</f>
        <v/>
      </c>
      <c r="W123" s="13" t="str">
        <f ca="1">Planung!$N65</f>
        <v/>
      </c>
      <c r="X123" s="13" t="str">
        <f ca="1">IF(AND(Vorrunde!$I71&lt;&gt;"",Vorrunde!$K71&lt;&gt;"",Vorrunde!$F71&lt;&gt;Vorrunde!$H71,$V123&lt;&gt;"",$W123&lt;&gt;""),Vorrunde!$I71,"")</f>
        <v/>
      </c>
      <c r="Y123" s="36" t="str">
        <f ca="1">IF(AND(Vorrunde!$I71&lt;&gt;"",Vorrunde!$K71&lt;&gt;"",Vorrunde!$F71&lt;&gt;Vorrunde!$H71,$V123&lt;&gt;"",$W123&lt;&gt;""),Vorrunde!$K71,"")</f>
        <v/>
      </c>
      <c r="Z123" s="35" t="str">
        <f t="shared" ca="1" si="68"/>
        <v/>
      </c>
      <c r="AA123" s="13">
        <f t="shared" ca="1" si="67"/>
        <v>0</v>
      </c>
      <c r="AB123" s="13" t="str">
        <f ca="1">IF(AA123&gt;0,X123&amp;Sprache!$E$111&amp;Y123,"")</f>
        <v/>
      </c>
      <c r="AD123" s="143"/>
      <c r="AE123" s="148" t="str">
        <f ca="1">IF($AA123=0,"",IF($X123&gt;$Y123,Einstellungen!$C$4,IF($X123=$Y123,1,0)))</f>
        <v/>
      </c>
      <c r="AF123" s="143" t="str">
        <f ca="1">IF($AA123=0,"",IF($X123&lt;$Y123,Einstellungen!$C$4,IF($X123=$Y123,1,0)))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67"/>
        <v>0</v>
      </c>
      <c r="AB124" s="293" t="str">
        <f>""</f>
        <v/>
      </c>
      <c r="AC124" s="296"/>
      <c r="AD124" s="297"/>
      <c r="AE124" s="298" t="str">
        <f>IF($AA124=0,"",IF($X124&gt;$Y124,Einstellungen!$C$4,IF($X124=$Y124,1,0)))</f>
        <v/>
      </c>
      <c r="AF124" s="297"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69">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69"/>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69"/>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69"/>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69"/>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69"/>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69"/>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IF(AA136&gt;0,Y64&amp;Sprache!$E$111&amp;X64,"")</f>
        <v>6:2</v>
      </c>
      <c r="AD136" s="143"/>
    </row>
    <row r="137" spans="2:32" x14ac:dyDescent="0.2">
      <c r="Y137" s="67" t="s">
        <v>8</v>
      </c>
      <c r="Z137" s="35" t="str">
        <f ca="1">W65&amp;V65</f>
        <v>Inter MailandFC Grönlingen</v>
      </c>
      <c r="AA137" s="13">
        <f t="shared" ref="AA137:AA200" ca="1" si="70">AA65</f>
        <v>1</v>
      </c>
      <c r="AB137" s="13" t="str">
        <f ca="1">IF(AA137&gt;0,Y65&amp;Sprache!$E$111&amp;X65,"")</f>
        <v>4:2</v>
      </c>
      <c r="AC137" s="2"/>
      <c r="AD137" s="143"/>
    </row>
    <row r="138" spans="2:32" x14ac:dyDescent="0.2">
      <c r="Y138" s="67" t="s">
        <v>9</v>
      </c>
      <c r="Z138" s="35" t="str">
        <f t="shared" ref="Z138:Z201" ca="1" si="71">W66&amp;V66</f>
        <v>Real Madrid1. FC Nürnberg</v>
      </c>
      <c r="AA138" s="13">
        <f t="shared" ca="1" si="70"/>
        <v>1</v>
      </c>
      <c r="AB138" s="13" t="str">
        <f ca="1">IF(AA138&gt;0,Y66&amp;Sprache!$E$111&amp;X66,"")</f>
        <v>4:1</v>
      </c>
      <c r="AC138" s="2"/>
      <c r="AD138" s="143"/>
    </row>
    <row r="139" spans="2:32" x14ac:dyDescent="0.2">
      <c r="Y139" s="67" t="s">
        <v>10</v>
      </c>
      <c r="Z139" s="35" t="str">
        <f t="shared" ca="1" si="71"/>
        <v>Paris St. GermainSV Oberredenburg</v>
      </c>
      <c r="AA139" s="13">
        <f t="shared" ca="1" si="70"/>
        <v>1</v>
      </c>
      <c r="AB139" s="13" t="str">
        <f ca="1">IF(AA139&gt;0,Y67&amp;Sprache!$E$111&amp;X67,"")</f>
        <v>5:2</v>
      </c>
      <c r="AC139" s="2"/>
      <c r="AD139" s="143"/>
    </row>
    <row r="140" spans="2:32" x14ac:dyDescent="0.2">
      <c r="Y140" s="67" t="s">
        <v>11</v>
      </c>
      <c r="Z140" s="35" t="str">
        <f t="shared" ca="1" si="71"/>
        <v>Maibach 1822 eVEintracht Frankfurt</v>
      </c>
      <c r="AA140" s="13">
        <f t="shared" ca="1" si="70"/>
        <v>1</v>
      </c>
      <c r="AB140" s="13" t="str">
        <f ca="1">IF(AA140&gt;0,Y68&amp;Sprache!$E$111&amp;X68,"")</f>
        <v>2:3</v>
      </c>
      <c r="AC140" s="2"/>
      <c r="AD140" s="143"/>
    </row>
    <row r="141" spans="2:32" x14ac:dyDescent="0.2">
      <c r="Y141" s="67" t="s">
        <v>12</v>
      </c>
      <c r="Z141" s="35" t="str">
        <f t="shared" ca="1" si="71"/>
        <v>Manchester CitySSV Wildbach</v>
      </c>
      <c r="AA141" s="13">
        <f t="shared" ca="1" si="70"/>
        <v>1</v>
      </c>
      <c r="AB141" s="13" t="str">
        <f ca="1">IF(AA141&gt;0,Y69&amp;Sprache!$E$111&amp;X69,"")</f>
        <v>5:0</v>
      </c>
      <c r="AC141" s="2"/>
      <c r="AD141" s="143"/>
    </row>
    <row r="142" spans="2:32" x14ac:dyDescent="0.2">
      <c r="Y142" s="67" t="s">
        <v>17</v>
      </c>
      <c r="Z142" s="35" t="str">
        <f t="shared" ca="1" si="71"/>
        <v>FSV RauenBorussia Dortmund</v>
      </c>
      <c r="AA142" s="13">
        <f t="shared" ca="1" si="70"/>
        <v>1</v>
      </c>
      <c r="AB142" s="13" t="str">
        <f ca="1">IF(AA142&gt;0,Y70&amp;Sprache!$E$111&amp;X70,"")</f>
        <v>1:3</v>
      </c>
      <c r="AC142" s="2"/>
      <c r="AD142" s="143"/>
    </row>
    <row r="143" spans="2:32" x14ac:dyDescent="0.2">
      <c r="Y143" s="67" t="s">
        <v>18</v>
      </c>
      <c r="Z143" s="35" t="str">
        <f t="shared" ca="1" si="71"/>
        <v>RB LeipzigHSV</v>
      </c>
      <c r="AA143" s="13">
        <f t="shared" ca="1" si="70"/>
        <v>1</v>
      </c>
      <c r="AB143" s="13" t="str">
        <f ca="1">IF(AA143&gt;0,Y71&amp;Sprache!$E$111&amp;X71,"")</f>
        <v>2:2</v>
      </c>
      <c r="AC143" s="2"/>
      <c r="AD143" s="143"/>
    </row>
    <row r="144" spans="2:32" x14ac:dyDescent="0.2">
      <c r="Y144" s="67" t="s">
        <v>19</v>
      </c>
      <c r="Z144" s="35" t="str">
        <f t="shared" ca="1" si="71"/>
        <v>1. FC RiedwaldVFB Essenheim</v>
      </c>
      <c r="AA144" s="13">
        <f t="shared" ca="1" si="70"/>
        <v>1</v>
      </c>
      <c r="AB144" s="13" t="str">
        <f ca="1">IF(AA144&gt;0,Y72&amp;Sprache!$E$111&amp;X72,"")</f>
        <v>5:1</v>
      </c>
      <c r="AC144" s="2"/>
      <c r="AD144" s="143"/>
    </row>
    <row r="145" spans="25:30" x14ac:dyDescent="0.2">
      <c r="Y145" s="67" t="s">
        <v>25</v>
      </c>
      <c r="Z145" s="35" t="str">
        <f t="shared" ca="1" si="71"/>
        <v>Mainz 05FC Grönlingen</v>
      </c>
      <c r="AA145" s="13">
        <f t="shared" ca="1" si="70"/>
        <v>1</v>
      </c>
      <c r="AB145" s="13" t="str">
        <f ca="1">IF(AA145&gt;0,Y73&amp;Sprache!$E$111&amp;X73,"")</f>
        <v>1:0</v>
      </c>
      <c r="AC145" s="2"/>
      <c r="AD145" s="143"/>
    </row>
    <row r="146" spans="25:30" x14ac:dyDescent="0.2">
      <c r="Y146" s="67" t="s">
        <v>26</v>
      </c>
      <c r="Z146" s="35" t="str">
        <f t="shared" ca="1" si="71"/>
        <v>Kickers Rodendorf1. FC Nürnberg</v>
      </c>
      <c r="AA146" s="13">
        <f t="shared" ca="1" si="70"/>
        <v>1</v>
      </c>
      <c r="AB146" s="13" t="str">
        <f ca="1">IF(AA146&gt;0,Y74&amp;Sprache!$E$111&amp;X74,"")</f>
        <v>3:5</v>
      </c>
      <c r="AC146" s="2"/>
      <c r="AD146" s="143"/>
    </row>
    <row r="147" spans="25:30" x14ac:dyDescent="0.2">
      <c r="Y147" s="67" t="s">
        <v>27</v>
      </c>
      <c r="Z147" s="35" t="str">
        <f t="shared" ca="1" si="71"/>
        <v>TSG Saalberg eVSV Oberredenburg</v>
      </c>
      <c r="AA147" s="13">
        <f t="shared" ca="1" si="70"/>
        <v>1</v>
      </c>
      <c r="AB147" s="13" t="str">
        <f ca="1">IF(AA147&gt;0,Y75&amp;Sprache!$E$111&amp;X75,"")</f>
        <v>2:3</v>
      </c>
      <c r="AC147" s="2"/>
      <c r="AD147" s="143"/>
    </row>
    <row r="148" spans="25:30" x14ac:dyDescent="0.2">
      <c r="Y148" s="67" t="s">
        <v>28</v>
      </c>
      <c r="Z148" s="35" t="str">
        <f t="shared" ca="1" si="71"/>
        <v>Eintracht FrankfurtFC Barcelona</v>
      </c>
      <c r="AA148" s="13">
        <f t="shared" ca="1" si="70"/>
        <v>1</v>
      </c>
      <c r="AB148" s="13" t="str">
        <f ca="1">IF(AA148&gt;0,Y76&amp;Sprache!$E$111&amp;X76,"")</f>
        <v>0:2</v>
      </c>
      <c r="AC148" s="2"/>
      <c r="AD148" s="143"/>
    </row>
    <row r="149" spans="25:30" x14ac:dyDescent="0.2">
      <c r="Y149" s="67" t="s">
        <v>29</v>
      </c>
      <c r="Z149" s="35" t="str">
        <f t="shared" ca="1" si="71"/>
        <v>SSV WildbachInter Mailand</v>
      </c>
      <c r="AA149" s="13">
        <f t="shared" ca="1" si="70"/>
        <v>1</v>
      </c>
      <c r="AB149" s="13" t="str">
        <f ca="1">IF(AA149&gt;0,Y77&amp;Sprache!$E$111&amp;X77,"")</f>
        <v>0:4</v>
      </c>
      <c r="AC149" s="2"/>
      <c r="AD149" s="143"/>
    </row>
    <row r="150" spans="25:30" x14ac:dyDescent="0.2">
      <c r="Y150" s="67" t="s">
        <v>30</v>
      </c>
      <c r="Z150" s="35" t="str">
        <f t="shared" ca="1" si="71"/>
        <v>Borussia DortmundReal Madrid</v>
      </c>
      <c r="AA150" s="13">
        <f t="shared" ca="1" si="70"/>
        <v>1</v>
      </c>
      <c r="AB150" s="13" t="str">
        <f ca="1">IF(AA150&gt;0,Y78&amp;Sprache!$E$111&amp;X78,"")</f>
        <v>1:0</v>
      </c>
      <c r="AC150" s="2"/>
      <c r="AD150" s="143"/>
    </row>
    <row r="151" spans="25:30" x14ac:dyDescent="0.2">
      <c r="Y151" s="67" t="s">
        <v>31</v>
      </c>
      <c r="Z151" s="35" t="str">
        <f t="shared" ca="1" si="71"/>
        <v>HSVParis St. Germain</v>
      </c>
      <c r="AA151" s="13">
        <f t="shared" ca="1" si="70"/>
        <v>1</v>
      </c>
      <c r="AB151" s="13" t="str">
        <f ca="1">IF(AA151&gt;0,Y79&amp;Sprache!$E$111&amp;X79,"")</f>
        <v>2:3</v>
      </c>
      <c r="AC151" s="2"/>
      <c r="AD151" s="143"/>
    </row>
    <row r="152" spans="25:30" x14ac:dyDescent="0.2">
      <c r="Y152" s="67" t="s">
        <v>32</v>
      </c>
      <c r="Z152" s="35" t="str">
        <f t="shared" ca="1" si="71"/>
        <v>Maibach 1822 eV1. FC Riedwald</v>
      </c>
      <c r="AA152" s="13">
        <f t="shared" ca="1" si="70"/>
        <v>1</v>
      </c>
      <c r="AB152" s="13" t="str">
        <f ca="1">IF(AA152&gt;0,Y80&amp;Sprache!$E$111&amp;X80,"")</f>
        <v>2:2</v>
      </c>
      <c r="AC152" s="2"/>
      <c r="AD152" s="143"/>
    </row>
    <row r="153" spans="25:30" x14ac:dyDescent="0.2">
      <c r="Y153" s="67" t="s">
        <v>33</v>
      </c>
      <c r="Z153" s="35" t="str">
        <f t="shared" ca="1" si="71"/>
        <v>Manchester CityMainz 05</v>
      </c>
      <c r="AA153" s="13">
        <f t="shared" ca="1" si="70"/>
        <v>1</v>
      </c>
      <c r="AB153" s="13" t="str">
        <f ca="1">IF(AA153&gt;0,Y81&amp;Sprache!$E$111&amp;X81,"")</f>
        <v>1:0</v>
      </c>
      <c r="AC153" s="2"/>
      <c r="AD153" s="143"/>
    </row>
    <row r="154" spans="25:30" x14ac:dyDescent="0.2">
      <c r="Y154" s="67" t="s">
        <v>34</v>
      </c>
      <c r="Z154" s="35" t="str">
        <f t="shared" ca="1" si="71"/>
        <v>FSV RauenKickers Rodendorf</v>
      </c>
      <c r="AA154" s="13">
        <f t="shared" ca="1" si="70"/>
        <v>1</v>
      </c>
      <c r="AB154" s="13" t="str">
        <f ca="1">IF(AA154&gt;0,Y82&amp;Sprache!$E$111&amp;X82,"")</f>
        <v>1:2</v>
      </c>
      <c r="AC154" s="2"/>
      <c r="AD154" s="143"/>
    </row>
    <row r="155" spans="25:30" x14ac:dyDescent="0.2">
      <c r="Y155" s="67" t="s">
        <v>35</v>
      </c>
      <c r="Z155" s="35" t="str">
        <f t="shared" ca="1" si="71"/>
        <v>RB LeipzigTSG Saalberg eV</v>
      </c>
      <c r="AA155" s="13">
        <f t="shared" ca="1" si="70"/>
        <v>1</v>
      </c>
      <c r="AB155" s="13" t="str">
        <f ca="1">IF(AA155&gt;0,Y83&amp;Sprache!$E$111&amp;X83,"")</f>
        <v>4:1</v>
      </c>
      <c r="AC155" s="2"/>
      <c r="AD155" s="143"/>
    </row>
    <row r="156" spans="25:30" x14ac:dyDescent="0.2">
      <c r="Y156" s="67" t="s">
        <v>36</v>
      </c>
      <c r="Z156" s="35" t="str">
        <f t="shared" ca="1" si="71"/>
        <v>VFB EssenheimEintracht Frankfurt</v>
      </c>
      <c r="AA156" s="13">
        <f t="shared" ca="1" si="70"/>
        <v>1</v>
      </c>
      <c r="AB156" s="13" t="str">
        <f ca="1">IF(AA156&gt;0,Y84&amp;Sprache!$E$111&amp;X84,"")</f>
        <v>2:3</v>
      </c>
      <c r="AC156" s="2"/>
      <c r="AD156" s="143"/>
    </row>
    <row r="157" spans="25:30" x14ac:dyDescent="0.2">
      <c r="Y157" s="67" t="s">
        <v>37</v>
      </c>
      <c r="Z157" s="35" t="str">
        <f t="shared" ca="1" si="71"/>
        <v>FC GrönlingenSSV Wildbach</v>
      </c>
      <c r="AA157" s="13">
        <f t="shared" ca="1" si="70"/>
        <v>1</v>
      </c>
      <c r="AB157" s="13" t="str">
        <f ca="1">IF(AA157&gt;0,Y85&amp;Sprache!$E$111&amp;X85,"")</f>
        <v>4:1</v>
      </c>
      <c r="AC157" s="2"/>
      <c r="AD157" s="143"/>
    </row>
    <row r="158" spans="25:30" x14ac:dyDescent="0.2">
      <c r="Y158" s="67" t="s">
        <v>38</v>
      </c>
      <c r="Z158" s="35" t="str">
        <f t="shared" ca="1" si="71"/>
        <v>1. FC NürnbergBorussia Dortmund</v>
      </c>
      <c r="AA158" s="13">
        <f t="shared" ca="1" si="70"/>
        <v>1</v>
      </c>
      <c r="AB158" s="13" t="str">
        <f ca="1">IF(AA158&gt;0,Y86&amp;Sprache!$E$111&amp;X86,"")</f>
        <v>2:2</v>
      </c>
      <c r="AC158" s="2"/>
      <c r="AD158" s="143"/>
    </row>
    <row r="159" spans="25:30" x14ac:dyDescent="0.2">
      <c r="Y159" s="67" t="s">
        <v>39</v>
      </c>
      <c r="Z159" s="35" t="str">
        <f t="shared" ca="1" si="71"/>
        <v>SV OberredenburgHSV</v>
      </c>
      <c r="AA159" s="13">
        <f t="shared" ca="1" si="70"/>
        <v>1</v>
      </c>
      <c r="AB159" s="13" t="str">
        <f ca="1">IF(AA159&gt;0,Y87&amp;Sprache!$E$111&amp;X87,"")</f>
        <v>0:1</v>
      </c>
      <c r="AC159" s="2"/>
      <c r="AD159" s="143"/>
    </row>
    <row r="160" spans="25:30" x14ac:dyDescent="0.2">
      <c r="Y160" s="67" t="s">
        <v>40</v>
      </c>
      <c r="Z160" s="35" t="str">
        <f t="shared" ca="1" si="71"/>
        <v>Maibach 1822 eVFC Barcelona</v>
      </c>
      <c r="AA160" s="13">
        <f t="shared" ca="1" si="70"/>
        <v>1</v>
      </c>
      <c r="AB160" s="13" t="str">
        <f ca="1">IF(AA160&gt;0,Y88&amp;Sprache!$E$111&amp;X88,"")</f>
        <v>1:3</v>
      </c>
      <c r="AC160" s="2"/>
      <c r="AD160" s="143"/>
    </row>
    <row r="161" spans="25:30" x14ac:dyDescent="0.2">
      <c r="Y161" s="67" t="s">
        <v>41</v>
      </c>
      <c r="Z161" s="35" t="str">
        <f t="shared" ca="1" si="71"/>
        <v>Manchester CityInter Mailand</v>
      </c>
      <c r="AA161" s="13">
        <f t="shared" ca="1" si="70"/>
        <v>1</v>
      </c>
      <c r="AB161" s="13" t="str">
        <f ca="1">IF(AA161&gt;0,Y89&amp;Sprache!$E$111&amp;X89,"")</f>
        <v>2:2</v>
      </c>
      <c r="AC161" s="2"/>
      <c r="AD161" s="143"/>
    </row>
    <row r="162" spans="25:30" x14ac:dyDescent="0.2">
      <c r="Y162" s="67" t="s">
        <v>42</v>
      </c>
      <c r="Z162" s="35" t="str">
        <f t="shared" ca="1" si="71"/>
        <v>FSV RauenReal Madrid</v>
      </c>
      <c r="AA162" s="13">
        <f t="shared" ca="1" si="70"/>
        <v>1</v>
      </c>
      <c r="AB162" s="13" t="str">
        <f ca="1">IF(AA162&gt;0,Y90&amp;Sprache!$E$111&amp;X90,"")</f>
        <v>0:4</v>
      </c>
      <c r="AC162" s="2"/>
      <c r="AD162" s="143"/>
    </row>
    <row r="163" spans="25:30" x14ac:dyDescent="0.2">
      <c r="Y163" s="67" t="s">
        <v>43</v>
      </c>
      <c r="Z163" s="35" t="str">
        <f t="shared" ca="1" si="71"/>
        <v>RB LeipzigParis St. Germain</v>
      </c>
      <c r="AA163" s="13">
        <f t="shared" ca="1" si="70"/>
        <v>1</v>
      </c>
      <c r="AB163" s="13" t="str">
        <f ca="1">IF(AA163&gt;0,Y91&amp;Sprache!$E$111&amp;X91,"")</f>
        <v>1:3</v>
      </c>
      <c r="AC163" s="2"/>
      <c r="AD163" s="143"/>
    </row>
    <row r="164" spans="25:30" x14ac:dyDescent="0.2">
      <c r="Y164" s="67" t="s">
        <v>44</v>
      </c>
      <c r="Z164" s="35" t="str">
        <f t="shared" ca="1" si="71"/>
        <v>1. FC RiedwaldEintracht Frankfurt</v>
      </c>
      <c r="AA164" s="13">
        <f t="shared" ca="1" si="70"/>
        <v>1</v>
      </c>
      <c r="AB164" s="13" t="str">
        <f ca="1">IF(AA164&gt;0,Y92&amp;Sprache!$E$111&amp;X92,"")</f>
        <v>2:6</v>
      </c>
      <c r="AC164" s="2"/>
      <c r="AD164" s="143"/>
    </row>
    <row r="165" spans="25:30" x14ac:dyDescent="0.2">
      <c r="Y165" s="67" t="s">
        <v>45</v>
      </c>
      <c r="Z165" s="35" t="str">
        <f t="shared" ca="1" si="71"/>
        <v>Mainz 05SSV Wildbach</v>
      </c>
      <c r="AA165" s="13">
        <f t="shared" ca="1" si="70"/>
        <v>1</v>
      </c>
      <c r="AB165" s="13" t="str">
        <f ca="1">IF(AA165&gt;0,Y93&amp;Sprache!$E$111&amp;X93,"")</f>
        <v>2:2</v>
      </c>
      <c r="AC165" s="2"/>
      <c r="AD165" s="143"/>
    </row>
    <row r="166" spans="25:30" x14ac:dyDescent="0.2">
      <c r="Y166" s="67" t="s">
        <v>46</v>
      </c>
      <c r="Z166" s="35" t="str">
        <f t="shared" ca="1" si="71"/>
        <v>Kickers RodendorfBorussia Dortmund</v>
      </c>
      <c r="AA166" s="13">
        <f t="shared" ca="1" si="70"/>
        <v>1</v>
      </c>
      <c r="AB166" s="13" t="str">
        <f ca="1">IF(AA166&gt;0,Y94&amp;Sprache!$E$111&amp;X94,"")</f>
        <v>1:4</v>
      </c>
      <c r="AC166" s="2"/>
      <c r="AD166" s="143"/>
    </row>
    <row r="167" spans="25:30" x14ac:dyDescent="0.2">
      <c r="Y167" s="67" t="s">
        <v>47</v>
      </c>
      <c r="Z167" s="35" t="str">
        <f t="shared" ca="1" si="71"/>
        <v>TSG Saalberg eVHSV</v>
      </c>
      <c r="AA167" s="13">
        <f t="shared" ca="1" si="70"/>
        <v>1</v>
      </c>
      <c r="AB167" s="13" t="str">
        <f ca="1">IF(AA167&gt;0,Y95&amp;Sprache!$E$111&amp;X95,"")</f>
        <v>2:3</v>
      </c>
      <c r="AC167" s="2"/>
      <c r="AD167" s="143"/>
    </row>
    <row r="168" spans="25:30" x14ac:dyDescent="0.2">
      <c r="Y168" s="67" t="s">
        <v>48</v>
      </c>
      <c r="Z168" s="35" t="str">
        <f t="shared" ca="1" si="71"/>
        <v>VFB EssenheimMaibach 1822 eV</v>
      </c>
      <c r="AA168" s="13">
        <f t="shared" ca="1" si="70"/>
        <v>1</v>
      </c>
      <c r="AB168" s="13" t="str">
        <f ca="1">IF(AA168&gt;0,Y96&amp;Sprache!$E$111&amp;X96,"")</f>
        <v>5:3</v>
      </c>
      <c r="AC168" s="2"/>
      <c r="AD168" s="143"/>
    </row>
    <row r="169" spans="25:30" x14ac:dyDescent="0.2">
      <c r="Y169" s="67" t="s">
        <v>49</v>
      </c>
      <c r="Z169" s="35" t="str">
        <f t="shared" ca="1" si="71"/>
        <v>FC GrönlingenManchester City</v>
      </c>
      <c r="AA169" s="13">
        <f t="shared" ca="1" si="70"/>
        <v>1</v>
      </c>
      <c r="AB169" s="13" t="str">
        <f ca="1">IF(AA169&gt;0,Y97&amp;Sprache!$E$111&amp;X97,"")</f>
        <v>2:4</v>
      </c>
      <c r="AC169" s="2"/>
      <c r="AD169" s="143"/>
    </row>
    <row r="170" spans="25:30" x14ac:dyDescent="0.2">
      <c r="Y170" s="67" t="s">
        <v>50</v>
      </c>
      <c r="Z170" s="35" t="str">
        <f t="shared" ca="1" si="71"/>
        <v>1. FC NürnbergFSV Rauen</v>
      </c>
      <c r="AA170" s="13">
        <f t="shared" ca="1" si="70"/>
        <v>1</v>
      </c>
      <c r="AB170" s="13" t="str">
        <f ca="1">IF(AA170&gt;0,Y98&amp;Sprache!$E$111&amp;X98,"")</f>
        <v>4:3</v>
      </c>
      <c r="AC170" s="2"/>
      <c r="AD170" s="143"/>
    </row>
    <row r="171" spans="25:30" x14ac:dyDescent="0.2">
      <c r="Y171" s="67" t="s">
        <v>51</v>
      </c>
      <c r="Z171" s="35" t="str">
        <f t="shared" ca="1" si="71"/>
        <v>SV OberredenburgRB Leipzig</v>
      </c>
      <c r="AA171" s="13">
        <f t="shared" ca="1" si="70"/>
        <v>1</v>
      </c>
      <c r="AB171" s="13" t="str">
        <f ca="1">IF(AA171&gt;0,Y99&amp;Sprache!$E$111&amp;X99,"")</f>
        <v>0:3</v>
      </c>
      <c r="AC171" s="2"/>
      <c r="AD171" s="143"/>
    </row>
    <row r="172" spans="25:30" x14ac:dyDescent="0.2">
      <c r="Y172" s="67" t="s">
        <v>60</v>
      </c>
      <c r="Z172" s="35" t="str">
        <f t="shared" ca="1" si="71"/>
        <v>FC Barcelona1. FC Riedwald</v>
      </c>
      <c r="AA172" s="13">
        <f t="shared" ca="1" si="70"/>
        <v>1</v>
      </c>
      <c r="AB172" s="13" t="str">
        <f ca="1">IF(AA172&gt;0,Y100&amp;Sprache!$E$111&amp;X100,"")</f>
        <v>6:1</v>
      </c>
      <c r="AC172" s="2"/>
      <c r="AD172" s="143"/>
    </row>
    <row r="173" spans="25:30" x14ac:dyDescent="0.2">
      <c r="Y173" s="67" t="s">
        <v>61</v>
      </c>
      <c r="Z173" s="35" t="str">
        <f t="shared" ca="1" si="71"/>
        <v>Inter MailandMainz 05</v>
      </c>
      <c r="AA173" s="13">
        <f t="shared" ca="1" si="70"/>
        <v>1</v>
      </c>
      <c r="AB173" s="13" t="str">
        <f ca="1">IF(AA173&gt;0,Y101&amp;Sprache!$E$111&amp;X101,"")</f>
        <v>3:2</v>
      </c>
      <c r="AC173" s="2"/>
      <c r="AD173" s="143"/>
    </row>
    <row r="174" spans="25:30" x14ac:dyDescent="0.2">
      <c r="Y174" s="67" t="s">
        <v>62</v>
      </c>
      <c r="Z174" s="35" t="str">
        <f t="shared" ca="1" si="71"/>
        <v>Real MadridKickers Rodendorf</v>
      </c>
      <c r="AA174" s="13">
        <f t="shared" ca="1" si="70"/>
        <v>1</v>
      </c>
      <c r="AB174" s="13" t="str">
        <f ca="1">IF(AA174&gt;0,Y102&amp;Sprache!$E$111&amp;X102,"")</f>
        <v>5:1</v>
      </c>
      <c r="AC174" s="2"/>
      <c r="AD174" s="143"/>
    </row>
    <row r="175" spans="25:30" x14ac:dyDescent="0.2">
      <c r="Y175" s="67" t="s">
        <v>63</v>
      </c>
      <c r="Z175" s="35" t="str">
        <f t="shared" ca="1" si="71"/>
        <v>Paris St. GermainTSG Saalberg eV</v>
      </c>
      <c r="AA175" s="13">
        <f t="shared" ca="1" si="70"/>
        <v>1</v>
      </c>
      <c r="AB175" s="13" t="str">
        <f ca="1">IF(AA175&gt;0,Y103&amp;Sprache!$E$111&amp;X103,"")</f>
        <v>7:0</v>
      </c>
      <c r="AC175" s="2"/>
      <c r="AD175" s="143"/>
    </row>
    <row r="176" spans="25:30" x14ac:dyDescent="0.2">
      <c r="Y176" s="67" t="s">
        <v>64</v>
      </c>
      <c r="Z176" s="35" t="str">
        <f t="shared" ca="1" si="71"/>
        <v/>
      </c>
      <c r="AA176" s="13">
        <f t="shared" ca="1" si="70"/>
        <v>0</v>
      </c>
      <c r="AB176" s="13" t="str">
        <f ca="1">IF(AA176&gt;0,Y104&amp;Sprache!$E$111&amp;X104,"")</f>
        <v/>
      </c>
      <c r="AC176" s="2"/>
      <c r="AD176" s="143"/>
    </row>
    <row r="177" spans="25:30" x14ac:dyDescent="0.2">
      <c r="Y177" s="67" t="s">
        <v>65</v>
      </c>
      <c r="Z177" s="35" t="str">
        <f t="shared" ca="1" si="71"/>
        <v/>
      </c>
      <c r="AA177" s="13">
        <f t="shared" ca="1" si="70"/>
        <v>0</v>
      </c>
      <c r="AB177" s="13" t="str">
        <f ca="1">IF(AA177&gt;0,Y105&amp;Sprache!$E$111&amp;X105,"")</f>
        <v/>
      </c>
      <c r="AC177" s="2"/>
      <c r="AD177" s="143"/>
    </row>
    <row r="178" spans="25:30" x14ac:dyDescent="0.2">
      <c r="Y178" s="67" t="s">
        <v>66</v>
      </c>
      <c r="Z178" s="35" t="str">
        <f t="shared" ca="1" si="71"/>
        <v/>
      </c>
      <c r="AA178" s="13">
        <f t="shared" ca="1" si="70"/>
        <v>0</v>
      </c>
      <c r="AB178" s="13" t="str">
        <f ca="1">IF(AA178&gt;0,Y106&amp;Sprache!$E$111&amp;X106,"")</f>
        <v/>
      </c>
      <c r="AC178" s="2"/>
      <c r="AD178" s="143"/>
    </row>
    <row r="179" spans="25:30" x14ac:dyDescent="0.2">
      <c r="Y179" s="67" t="s">
        <v>67</v>
      </c>
      <c r="Z179" s="35" t="str">
        <f t="shared" ca="1" si="71"/>
        <v/>
      </c>
      <c r="AA179" s="13">
        <f t="shared" ca="1" si="70"/>
        <v>0</v>
      </c>
      <c r="AB179" s="13" t="str">
        <f ca="1">IF(AA179&gt;0,Y107&amp;Sprache!$E$111&amp;X107,"")</f>
        <v/>
      </c>
      <c r="AC179" s="2"/>
      <c r="AD179" s="143"/>
    </row>
    <row r="180" spans="25:30" x14ac:dyDescent="0.2">
      <c r="Y180" s="67" t="s">
        <v>68</v>
      </c>
      <c r="Z180" s="35" t="str">
        <f t="shared" ca="1" si="71"/>
        <v/>
      </c>
      <c r="AA180" s="13">
        <f t="shared" ca="1" si="70"/>
        <v>0</v>
      </c>
      <c r="AB180" s="13" t="str">
        <f ca="1">IF(AA180&gt;0,Y108&amp;Sprache!$E$111&amp;X108,"")</f>
        <v/>
      </c>
      <c r="AC180" s="2"/>
      <c r="AD180" s="143"/>
    </row>
    <row r="181" spans="25:30" x14ac:dyDescent="0.2">
      <c r="Y181" s="67" t="s">
        <v>69</v>
      </c>
      <c r="Z181" s="35" t="str">
        <f t="shared" ca="1" si="71"/>
        <v/>
      </c>
      <c r="AA181" s="13">
        <f t="shared" ca="1" si="70"/>
        <v>0</v>
      </c>
      <c r="AB181" s="13" t="str">
        <f ca="1">IF(AA181&gt;0,Y109&amp;Sprache!$E$111&amp;X109,"")</f>
        <v/>
      </c>
      <c r="AC181" s="2"/>
      <c r="AD181" s="143"/>
    </row>
    <row r="182" spans="25:30" x14ac:dyDescent="0.2">
      <c r="Y182" s="67" t="s">
        <v>70</v>
      </c>
      <c r="Z182" s="35" t="str">
        <f t="shared" ca="1" si="71"/>
        <v/>
      </c>
      <c r="AA182" s="13">
        <f t="shared" ca="1" si="70"/>
        <v>0</v>
      </c>
      <c r="AB182" s="13" t="str">
        <f ca="1">IF(AA182&gt;0,Y110&amp;Sprache!$E$111&amp;X110,"")</f>
        <v/>
      </c>
      <c r="AC182" s="2"/>
      <c r="AD182" s="143"/>
    </row>
    <row r="183" spans="25:30" x14ac:dyDescent="0.2">
      <c r="Y183" s="67" t="s">
        <v>71</v>
      </c>
      <c r="Z183" s="35" t="str">
        <f t="shared" ca="1" si="71"/>
        <v/>
      </c>
      <c r="AA183" s="13">
        <f t="shared" ca="1" si="70"/>
        <v>0</v>
      </c>
      <c r="AB183" s="13" t="str">
        <f ca="1">IF(AA183&gt;0,Y111&amp;Sprache!$E$111&amp;X111,"")</f>
        <v/>
      </c>
      <c r="AC183" s="2"/>
      <c r="AD183" s="143"/>
    </row>
    <row r="184" spans="25:30" x14ac:dyDescent="0.2">
      <c r="Y184" s="67" t="s">
        <v>72</v>
      </c>
      <c r="Z184" s="35" t="str">
        <f t="shared" ca="1" si="71"/>
        <v/>
      </c>
      <c r="AA184" s="13">
        <f t="shared" ca="1" si="70"/>
        <v>0</v>
      </c>
      <c r="AB184" s="13" t="str">
        <f ca="1">IF(AA184&gt;0,Y112&amp;Sprache!$E$111&amp;X112,"")</f>
        <v/>
      </c>
      <c r="AC184" s="2"/>
      <c r="AD184" s="143"/>
    </row>
    <row r="185" spans="25:30" x14ac:dyDescent="0.2">
      <c r="Y185" s="67" t="s">
        <v>73</v>
      </c>
      <c r="Z185" s="35" t="str">
        <f t="shared" ca="1" si="71"/>
        <v/>
      </c>
      <c r="AA185" s="13">
        <f t="shared" ca="1" si="70"/>
        <v>0</v>
      </c>
      <c r="AB185" s="13" t="str">
        <f ca="1">IF(AA185&gt;0,Y113&amp;Sprache!$E$111&amp;X113,"")</f>
        <v/>
      </c>
      <c r="AC185" s="2"/>
      <c r="AD185" s="143"/>
    </row>
    <row r="186" spans="25:30" x14ac:dyDescent="0.2">
      <c r="Y186" s="67" t="s">
        <v>74</v>
      </c>
      <c r="Z186" s="35" t="str">
        <f t="shared" ca="1" si="71"/>
        <v/>
      </c>
      <c r="AA186" s="13">
        <f t="shared" ca="1" si="70"/>
        <v>0</v>
      </c>
      <c r="AB186" s="13" t="str">
        <f ca="1">IF(AA186&gt;0,Y114&amp;Sprache!$E$111&amp;X114,"")</f>
        <v/>
      </c>
      <c r="AC186" s="2"/>
      <c r="AD186" s="143"/>
    </row>
    <row r="187" spans="25:30" x14ac:dyDescent="0.2">
      <c r="Y187" s="67" t="s">
        <v>75</v>
      </c>
      <c r="Z187" s="35" t="str">
        <f t="shared" ca="1" si="71"/>
        <v/>
      </c>
      <c r="AA187" s="13">
        <f t="shared" ca="1" si="70"/>
        <v>0</v>
      </c>
      <c r="AB187" s="13" t="str">
        <f ca="1">IF(AA187&gt;0,Y115&amp;Sprache!$E$111&amp;X115,"")</f>
        <v/>
      </c>
      <c r="AC187" s="2"/>
      <c r="AD187" s="143"/>
    </row>
    <row r="188" spans="25:30" x14ac:dyDescent="0.2">
      <c r="Y188" s="67" t="s">
        <v>76</v>
      </c>
      <c r="Z188" s="35" t="str">
        <f t="shared" ca="1" si="71"/>
        <v/>
      </c>
      <c r="AA188" s="13">
        <f t="shared" ca="1" si="70"/>
        <v>0</v>
      </c>
      <c r="AB188" s="13" t="str">
        <f ca="1">IF(AA188&gt;0,Y116&amp;Sprache!$E$111&amp;X116,"")</f>
        <v/>
      </c>
      <c r="AC188" s="2"/>
      <c r="AD188" s="143"/>
    </row>
    <row r="189" spans="25:30" x14ac:dyDescent="0.2">
      <c r="Y189" s="67" t="s">
        <v>77</v>
      </c>
      <c r="Z189" s="35" t="str">
        <f t="shared" ca="1" si="71"/>
        <v/>
      </c>
      <c r="AA189" s="13">
        <f t="shared" ca="1" si="70"/>
        <v>0</v>
      </c>
      <c r="AB189" s="13" t="str">
        <f ca="1">IF(AA189&gt;0,Y117&amp;Sprache!$E$111&amp;X117,"")</f>
        <v/>
      </c>
      <c r="AC189" s="2"/>
      <c r="AD189" s="143"/>
    </row>
    <row r="190" spans="25:30" x14ac:dyDescent="0.2">
      <c r="Y190" s="67" t="s">
        <v>78</v>
      </c>
      <c r="Z190" s="35" t="str">
        <f t="shared" ca="1" si="71"/>
        <v/>
      </c>
      <c r="AA190" s="13">
        <f t="shared" ca="1" si="70"/>
        <v>0</v>
      </c>
      <c r="AB190" s="13" t="str">
        <f ca="1">IF(AA190&gt;0,Y118&amp;Sprache!$E$111&amp;X118,"")</f>
        <v/>
      </c>
      <c r="AC190" s="2"/>
      <c r="AD190" s="143"/>
    </row>
    <row r="191" spans="25:30" x14ac:dyDescent="0.2">
      <c r="Y191" s="67" t="s">
        <v>79</v>
      </c>
      <c r="Z191" s="35" t="str">
        <f t="shared" ca="1" si="71"/>
        <v/>
      </c>
      <c r="AA191" s="13">
        <f t="shared" ca="1" si="70"/>
        <v>0</v>
      </c>
      <c r="AB191" s="13" t="str">
        <f ca="1">IF(AA191&gt;0,Y119&amp;Sprache!$E$111&amp;X119,"")</f>
        <v/>
      </c>
      <c r="AC191" s="2"/>
      <c r="AD191" s="143"/>
    </row>
    <row r="192" spans="25:30" x14ac:dyDescent="0.2">
      <c r="Y192" s="67" t="s">
        <v>80</v>
      </c>
      <c r="Z192" s="35" t="str">
        <f t="shared" ca="1" si="71"/>
        <v/>
      </c>
      <c r="AA192" s="13">
        <f t="shared" ca="1" si="70"/>
        <v>0</v>
      </c>
      <c r="AB192" s="13" t="str">
        <f ca="1">IF(AA192&gt;0,Y120&amp;Sprache!$E$111&amp;X120,"")</f>
        <v/>
      </c>
      <c r="AC192" s="2"/>
      <c r="AD192" s="143"/>
    </row>
    <row r="193" spans="25:30" x14ac:dyDescent="0.2">
      <c r="Y193" s="67" t="s">
        <v>81</v>
      </c>
      <c r="Z193" s="35" t="str">
        <f t="shared" ca="1" si="71"/>
        <v/>
      </c>
      <c r="AA193" s="13">
        <f t="shared" ca="1" si="70"/>
        <v>0</v>
      </c>
      <c r="AB193" s="13" t="str">
        <f ca="1">IF(AA193&gt;0,Y121&amp;Sprache!$E$111&amp;X121,"")</f>
        <v/>
      </c>
      <c r="AC193" s="2"/>
      <c r="AD193" s="143"/>
    </row>
    <row r="194" spans="25:30" x14ac:dyDescent="0.2">
      <c r="Y194" s="67" t="s">
        <v>82</v>
      </c>
      <c r="Z194" s="35" t="str">
        <f t="shared" ca="1" si="71"/>
        <v/>
      </c>
      <c r="AA194" s="13">
        <f t="shared" ca="1" si="70"/>
        <v>0</v>
      </c>
      <c r="AB194" s="13" t="str">
        <f ca="1">IF(AA194&gt;0,Y122&amp;Sprache!$E$111&amp;X122,"")</f>
        <v/>
      </c>
      <c r="AC194" s="2"/>
      <c r="AD194" s="143"/>
    </row>
    <row r="195" spans="25:30" x14ac:dyDescent="0.2">
      <c r="Y195" s="67" t="s">
        <v>83</v>
      </c>
      <c r="Z195" s="35" t="str">
        <f t="shared" ca="1" si="71"/>
        <v/>
      </c>
      <c r="AA195" s="13">
        <f t="shared" ca="1" si="70"/>
        <v>0</v>
      </c>
      <c r="AB195" s="13" t="str">
        <f ca="1">IF(AA195&gt;0,Y123&amp;Sprache!$E$111&amp;X123,"")</f>
        <v/>
      </c>
      <c r="AC195" s="2"/>
      <c r="AD195" s="143"/>
    </row>
    <row r="196" spans="25:30" x14ac:dyDescent="0.2">
      <c r="Y196" s="67" t="s">
        <v>84</v>
      </c>
      <c r="Z196" s="35" t="str">
        <f t="shared" si="71"/>
        <v/>
      </c>
      <c r="AA196" s="13">
        <f t="shared" si="70"/>
        <v>0</v>
      </c>
      <c r="AB196" s="13" t="str">
        <f>IF(AA196&gt;0,Y124&amp;Sprache!$E$111&amp;X124,"")</f>
        <v/>
      </c>
      <c r="AC196" s="2"/>
      <c r="AD196" s="143"/>
    </row>
    <row r="197" spans="25:30" x14ac:dyDescent="0.2">
      <c r="Y197" s="67" t="s">
        <v>85</v>
      </c>
      <c r="Z197" s="35" t="str">
        <f t="shared" si="71"/>
        <v/>
      </c>
      <c r="AA197" s="13">
        <f t="shared" si="70"/>
        <v>0</v>
      </c>
      <c r="AB197" s="13" t="str">
        <f>IF(AA197&gt;0,Y125&amp;Sprache!$E$111&amp;X125,"")</f>
        <v/>
      </c>
      <c r="AC197" s="2"/>
      <c r="AD197" s="143"/>
    </row>
    <row r="198" spans="25:30" x14ac:dyDescent="0.2">
      <c r="Y198" s="67" t="s">
        <v>86</v>
      </c>
      <c r="Z198" s="35" t="str">
        <f t="shared" si="71"/>
        <v/>
      </c>
      <c r="AA198" s="13">
        <f t="shared" si="70"/>
        <v>0</v>
      </c>
      <c r="AB198" s="13" t="str">
        <f>IF(AA198&gt;0,Y126&amp;Sprache!$E$111&amp;X126,"")</f>
        <v/>
      </c>
      <c r="AC198" s="2"/>
      <c r="AD198" s="143"/>
    </row>
    <row r="199" spans="25:30" x14ac:dyDescent="0.2">
      <c r="Y199" s="67" t="s">
        <v>87</v>
      </c>
      <c r="Z199" s="35" t="str">
        <f t="shared" si="71"/>
        <v/>
      </c>
      <c r="AA199" s="13">
        <f t="shared" si="70"/>
        <v>0</v>
      </c>
      <c r="AB199" s="13" t="str">
        <f>IF(AA199&gt;0,Y127&amp;Sprache!$E$111&amp;X127,"")</f>
        <v/>
      </c>
      <c r="AC199" s="2"/>
      <c r="AD199" s="143"/>
    </row>
    <row r="200" spans="25:30" x14ac:dyDescent="0.2">
      <c r="Y200" s="67" t="s">
        <v>88</v>
      </c>
      <c r="Z200" s="35" t="str">
        <f t="shared" si="71"/>
        <v/>
      </c>
      <c r="AA200" s="13">
        <f t="shared" si="70"/>
        <v>0</v>
      </c>
      <c r="AB200" s="13" t="str">
        <f>IF(AA200&gt;0,Y128&amp;Sprache!$E$111&amp;X128,"")</f>
        <v/>
      </c>
      <c r="AC200" s="2"/>
      <c r="AD200" s="143"/>
    </row>
    <row r="201" spans="25:30" x14ac:dyDescent="0.2">
      <c r="Y201" s="67" t="s">
        <v>89</v>
      </c>
      <c r="Z201" s="35" t="str">
        <f t="shared" si="71"/>
        <v/>
      </c>
      <c r="AA201" s="13">
        <f t="shared" ref="AA201:AA207" si="72">AA129</f>
        <v>0</v>
      </c>
      <c r="AB201" s="13" t="str">
        <f>IF(AA201&gt;0,Y129&amp;Sprache!$E$111&amp;X129,"")</f>
        <v/>
      </c>
      <c r="AC201" s="2"/>
      <c r="AD201" s="143"/>
    </row>
    <row r="202" spans="25:30" x14ac:dyDescent="0.2">
      <c r="Y202" s="67" t="s">
        <v>90</v>
      </c>
      <c r="Z202" s="35" t="str">
        <f t="shared" ref="Z202:Z206" si="73">W130&amp;V130</f>
        <v/>
      </c>
      <c r="AA202" s="13">
        <f t="shared" si="72"/>
        <v>0</v>
      </c>
      <c r="AB202" s="13" t="str">
        <f>IF(AA202&gt;0,Y130&amp;Sprache!$E$111&amp;X130,"")</f>
        <v/>
      </c>
      <c r="AC202" s="2"/>
      <c r="AD202" s="143"/>
    </row>
    <row r="203" spans="25:30" x14ac:dyDescent="0.2">
      <c r="Y203" s="67" t="s">
        <v>91</v>
      </c>
      <c r="Z203" s="35" t="str">
        <f t="shared" si="73"/>
        <v/>
      </c>
      <c r="AA203" s="13">
        <f t="shared" si="72"/>
        <v>0</v>
      </c>
      <c r="AB203" s="13" t="str">
        <f>IF(AA203&gt;0,Y131&amp;Sprache!$E$111&amp;X131,"")</f>
        <v/>
      </c>
      <c r="AC203" s="2"/>
      <c r="AD203" s="143"/>
    </row>
    <row r="204" spans="25:30" x14ac:dyDescent="0.2">
      <c r="Y204" s="67" t="s">
        <v>92</v>
      </c>
      <c r="Z204" s="35" t="str">
        <f t="shared" si="73"/>
        <v/>
      </c>
      <c r="AA204" s="13">
        <f t="shared" si="72"/>
        <v>0</v>
      </c>
      <c r="AB204" s="13" t="str">
        <f>IF(AA204&gt;0,Y132&amp;Sprache!$E$111&amp;X132,"")</f>
        <v/>
      </c>
      <c r="AC204" s="2"/>
      <c r="AD204" s="143"/>
    </row>
    <row r="205" spans="25:30" x14ac:dyDescent="0.2">
      <c r="Y205" s="67" t="s">
        <v>93</v>
      </c>
      <c r="Z205" s="35" t="str">
        <f t="shared" si="73"/>
        <v/>
      </c>
      <c r="AA205" s="13">
        <f t="shared" si="72"/>
        <v>0</v>
      </c>
      <c r="AB205" s="13" t="str">
        <f>IF(AA205&gt;0,Y133&amp;Sprache!$E$111&amp;X133,"")</f>
        <v/>
      </c>
      <c r="AC205" s="2"/>
      <c r="AD205" s="143"/>
    </row>
    <row r="206" spans="25:30" x14ac:dyDescent="0.2">
      <c r="Y206" s="67" t="s">
        <v>94</v>
      </c>
      <c r="Z206" s="35" t="str">
        <f t="shared" si="73"/>
        <v/>
      </c>
      <c r="AA206" s="13">
        <f t="shared" si="72"/>
        <v>0</v>
      </c>
      <c r="AB206" s="13" t="str">
        <f>IF(AA206&gt;0,Y134&amp;Sprache!$E$111&amp;X134,"")</f>
        <v/>
      </c>
      <c r="AC206" s="2"/>
      <c r="AD206" s="143"/>
    </row>
    <row r="207" spans="25:30" ht="12.75" thickBot="1" x14ac:dyDescent="0.25">
      <c r="Y207" s="68" t="s">
        <v>95</v>
      </c>
      <c r="Z207" s="37" t="str">
        <f>W135&amp;V135</f>
        <v/>
      </c>
      <c r="AA207" s="38">
        <f t="shared" si="72"/>
        <v>0</v>
      </c>
      <c r="AB207" s="144" t="str">
        <f>IF(AA207&gt;0,Y135&amp;Sprache!$E$111&amp;X135,"")</f>
        <v/>
      </c>
      <c r="AC207" s="146"/>
      <c r="AD207" s="145"/>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1</v>
      </c>
      <c r="D4" s="13">
        <f ca="1">E4+ROW()/1000+(F4="")*10</f>
        <v>1.004</v>
      </c>
      <c r="E4" s="251">
        <f ca="1">IF($AI$15,RANK(AH17,AH$17:AH$25,1),RANK(X17,X$17:X$25,1))</f>
        <v>1</v>
      </c>
      <c r="F4" s="1" t="str">
        <f ca="1">$Q64</f>
        <v>FC Barcelona</v>
      </c>
      <c r="G4" s="1">
        <f t="shared" ref="G4:G12" ca="1" si="1">SUMIFS($X$64:$X$135,$V$64:$V$135,$F4)+SUMIFS($Y$64:$Y$135,$W$64:$W$135,$F4)</f>
        <v>8</v>
      </c>
      <c r="H4" s="1">
        <f t="shared" ref="H4:H12" ca="1" si="2">SUMIFS($Y$64:$Y$135,$V$64:$V$135,$F4)+SUMIFS($X$64:$X$135,$W$64:$W$135,$F4)</f>
        <v>4</v>
      </c>
      <c r="I4" s="13">
        <f t="shared" ref="I4:I12" ca="1" si="3">G4-H4</f>
        <v>4</v>
      </c>
      <c r="J4" s="1">
        <f ca="1">SUMIF($V$64:$V$135,F4,$AE$64:$AE$135)+SUMIF($W$64:$W$135,F4,$AF$64:$AF$135)</f>
        <v>6</v>
      </c>
      <c r="K4" s="1">
        <f t="shared" ref="K4:K12" ca="1" si="4">SUMPRODUCT(($V$64:$V$135=F4)*($X$64:$X$135&lt;&gt;""))+SUMPRODUCT(($W$64:$W$135=F4)*($Y$64:$Y$135&lt;&gt;""))</f>
        <v>3</v>
      </c>
      <c r="L4" s="1">
        <f t="shared" ref="L4:L12" ca="1" si="5">SUMPRODUCT(($V$64:$V$135=F4)*($X$64:$X$135&gt;$Y$64:$Y$135))+SUMPRODUCT(($W$64:$W$135=F4)*($X$64:$X$135&lt;$Y$64:$Y$135))</f>
        <v>2</v>
      </c>
      <c r="M4" s="1">
        <f t="shared" ref="M4:M12" ca="1" si="6">SUMPRODUCT(($V$64:$W$135=F4)*($X$64:$X$135=$Y$64:$Y$135)*($X$64:$X$135&lt;&gt;"")*($Y$64:$Y$135&lt;&gt;""))</f>
        <v>0</v>
      </c>
      <c r="N4" s="1">
        <f t="shared" ref="N4:N12" ca="1" si="7">SUMPRODUCT(($V$64:$V$135=F4)*($X$64:$X$135&lt;$Y$64:$Y$135))+SUMPRODUCT(($W$64:$W$135=F4)*($X$64:$X$135&gt;$Y$64:$Y$135))</f>
        <v>1</v>
      </c>
      <c r="O4" s="120">
        <f ca="1">SMALL($O$3:$V$3,1)</f>
        <v>99999</v>
      </c>
      <c r="P4" s="120">
        <f ca="1">SMALL($O$3:$V$3,2)</f>
        <v>99999</v>
      </c>
      <c r="Q4" s="120">
        <f ca="1">SMALL($O$3:$V$3,3)</f>
        <v>99999</v>
      </c>
      <c r="R4" s="120">
        <f ca="1">SMALL($O$3:$V$3,4)</f>
        <v>99999</v>
      </c>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8">RANK(D5,$D$4:$D$12,1)</f>
        <v>3</v>
      </c>
      <c r="D5" s="13">
        <f t="shared" ref="D5:D12" ca="1" si="9">E5+ROW()/1000+(F5="")*10</f>
        <v>3.0049999999999999</v>
      </c>
      <c r="E5" s="251">
        <f t="shared" ref="E5:E12" ca="1" si="10">IF($AI$15,RANK(AH18,AH$17:AH$25,1),RANK(X18,X$17:X$25,1))</f>
        <v>3</v>
      </c>
      <c r="F5" s="1" t="str">
        <f t="shared" ref="F5:F12" ca="1" si="11">$Q65</f>
        <v>Manchester City</v>
      </c>
      <c r="G5" s="1">
        <f t="shared" ca="1" si="1"/>
        <v>7</v>
      </c>
      <c r="H5" s="1">
        <f t="shared" ca="1" si="2"/>
        <v>7</v>
      </c>
      <c r="I5" s="13">
        <f t="shared" ca="1" si="3"/>
        <v>0</v>
      </c>
      <c r="J5" s="1">
        <f t="shared" ref="J5:J12" ca="1" si="12">SUMIF($V$64:$V$135,F5,$AE$64:$AE$135)+SUMIF($W$64:$W$135,F5,$AF$64:$AF$135)</f>
        <v>4</v>
      </c>
      <c r="K5" s="1">
        <f t="shared" ca="1" si="4"/>
        <v>3</v>
      </c>
      <c r="L5" s="1">
        <f t="shared" ca="1" si="5"/>
        <v>1</v>
      </c>
      <c r="M5" s="1">
        <f t="shared" ca="1" si="6"/>
        <v>1</v>
      </c>
      <c r="N5" s="1">
        <f t="shared" ca="1" si="7"/>
        <v>1</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8"/>
        <v>4</v>
      </c>
      <c r="D6" s="13">
        <f t="shared" ca="1" si="9"/>
        <v>4.0060000000000002</v>
      </c>
      <c r="E6" s="251">
        <f t="shared" ca="1" si="10"/>
        <v>4</v>
      </c>
      <c r="F6" s="1" t="str">
        <f t="shared" ca="1" si="11"/>
        <v>Borussia Dortmund</v>
      </c>
      <c r="G6" s="1">
        <f t="shared" ca="1" si="1"/>
        <v>3</v>
      </c>
      <c r="H6" s="1">
        <f t="shared" ca="1" si="2"/>
        <v>9</v>
      </c>
      <c r="I6" s="13">
        <f t="shared" ca="1" si="3"/>
        <v>-6</v>
      </c>
      <c r="J6" s="1">
        <f t="shared" ca="1" si="12"/>
        <v>1</v>
      </c>
      <c r="K6" s="1">
        <f t="shared" ca="1" si="4"/>
        <v>3</v>
      </c>
      <c r="L6" s="1">
        <f t="shared" ca="1" si="5"/>
        <v>0</v>
      </c>
      <c r="M6" s="1">
        <f t="shared" ca="1" si="6"/>
        <v>1</v>
      </c>
      <c r="N6" s="1">
        <f t="shared" ca="1" si="7"/>
        <v>2</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8"/>
        <v>2</v>
      </c>
      <c r="D7" s="13">
        <f t="shared" ca="1" si="9"/>
        <v>2.0070000000000001</v>
      </c>
      <c r="E7" s="251">
        <f t="shared" ca="1" si="10"/>
        <v>2</v>
      </c>
      <c r="F7" s="1" t="str">
        <f t="shared" ca="1" si="11"/>
        <v>Paris St. Germain</v>
      </c>
      <c r="G7" s="1">
        <f t="shared" ca="1" si="1"/>
        <v>7</v>
      </c>
      <c r="H7" s="1">
        <f t="shared" ca="1" si="2"/>
        <v>5</v>
      </c>
      <c r="I7" s="13">
        <f t="shared" ca="1" si="3"/>
        <v>2</v>
      </c>
      <c r="J7" s="1">
        <f t="shared" ca="1" si="12"/>
        <v>6</v>
      </c>
      <c r="K7" s="1">
        <f t="shared" ca="1" si="4"/>
        <v>3</v>
      </c>
      <c r="L7" s="1">
        <f t="shared" ca="1" si="5"/>
        <v>2</v>
      </c>
      <c r="M7" s="1">
        <f t="shared" ca="1" si="6"/>
        <v>0</v>
      </c>
      <c r="N7" s="1">
        <f t="shared" ca="1" si="7"/>
        <v>1</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8"/>
        <v>5</v>
      </c>
      <c r="D8" s="13">
        <f t="shared" ca="1" si="9"/>
        <v>15.007999999999999</v>
      </c>
      <c r="E8" s="251">
        <f t="shared" ca="1" si="10"/>
        <v>5</v>
      </c>
      <c r="F8" s="1" t="str">
        <f t="shared" si="11"/>
        <v/>
      </c>
      <c r="G8" s="1">
        <f t="shared" ca="1" si="1"/>
        <v>0</v>
      </c>
      <c r="H8" s="1">
        <f t="shared" ca="1" si="2"/>
        <v>0</v>
      </c>
      <c r="I8" s="13">
        <f t="shared" ca="1" si="3"/>
        <v>0</v>
      </c>
      <c r="J8" s="1">
        <f t="shared" ca="1" si="12"/>
        <v>0</v>
      </c>
      <c r="K8" s="1">
        <f t="shared" ca="1" si="4"/>
        <v>0</v>
      </c>
      <c r="L8" s="1">
        <f t="shared" ca="1" si="5"/>
        <v>0</v>
      </c>
      <c r="M8" s="1">
        <f t="shared" ca="1" si="6"/>
        <v>0</v>
      </c>
      <c r="N8" s="1">
        <f t="shared" ca="1" si="7"/>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8"/>
        <v>6</v>
      </c>
      <c r="D9" s="13">
        <f t="shared" ca="1" si="9"/>
        <v>15.009</v>
      </c>
      <c r="E9" s="251">
        <f t="shared" ca="1" si="10"/>
        <v>5</v>
      </c>
      <c r="F9" s="1" t="str">
        <f t="shared" si="11"/>
        <v/>
      </c>
      <c r="G9" s="1">
        <f t="shared" ca="1" si="1"/>
        <v>0</v>
      </c>
      <c r="H9" s="1">
        <f t="shared" ca="1" si="2"/>
        <v>0</v>
      </c>
      <c r="I9" s="13">
        <f t="shared" ca="1" si="3"/>
        <v>0</v>
      </c>
      <c r="J9" s="1">
        <f t="shared" ca="1" si="12"/>
        <v>0</v>
      </c>
      <c r="K9" s="1">
        <f t="shared" ca="1" si="4"/>
        <v>0</v>
      </c>
      <c r="L9" s="1">
        <f t="shared" ca="1" si="5"/>
        <v>0</v>
      </c>
      <c r="M9" s="1">
        <f t="shared" ca="1" si="6"/>
        <v>0</v>
      </c>
      <c r="N9" s="1">
        <f t="shared" ca="1" si="7"/>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8"/>
        <v>7</v>
      </c>
      <c r="D10" s="13">
        <f t="shared" ca="1" si="9"/>
        <v>17.009999999999998</v>
      </c>
      <c r="E10" s="251">
        <f t="shared" ca="1" si="10"/>
        <v>7</v>
      </c>
      <c r="F10" s="1" t="str">
        <f t="shared" si="11"/>
        <v/>
      </c>
      <c r="G10" s="1">
        <f t="shared" ca="1" si="1"/>
        <v>0</v>
      </c>
      <c r="H10" s="1">
        <f t="shared" ca="1" si="2"/>
        <v>0</v>
      </c>
      <c r="I10" s="13">
        <f t="shared" ca="1" si="3"/>
        <v>0</v>
      </c>
      <c r="J10" s="1">
        <f t="shared" ca="1" si="12"/>
        <v>0</v>
      </c>
      <c r="K10" s="1">
        <f t="shared" ca="1" si="4"/>
        <v>0</v>
      </c>
      <c r="L10" s="1">
        <f t="shared" ca="1" si="5"/>
        <v>0</v>
      </c>
      <c r="M10" s="1">
        <f t="shared" ca="1" si="6"/>
        <v>0</v>
      </c>
      <c r="N10" s="1">
        <f t="shared" ca="1" si="7"/>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8"/>
        <v>8</v>
      </c>
      <c r="D11" s="13">
        <f t="shared" ca="1" si="9"/>
        <v>17.010999999999999</v>
      </c>
      <c r="E11" s="251">
        <f t="shared" ca="1" si="10"/>
        <v>7</v>
      </c>
      <c r="F11" s="1" t="str">
        <f t="shared" si="11"/>
        <v/>
      </c>
      <c r="G11" s="1">
        <f t="shared" ca="1" si="1"/>
        <v>0</v>
      </c>
      <c r="H11" s="1">
        <f t="shared" ca="1" si="2"/>
        <v>0</v>
      </c>
      <c r="I11" s="13">
        <f t="shared" ca="1" si="3"/>
        <v>0</v>
      </c>
      <c r="J11" s="1">
        <f t="shared" ca="1" si="12"/>
        <v>0</v>
      </c>
      <c r="K11" s="1">
        <f t="shared" ca="1" si="4"/>
        <v>0</v>
      </c>
      <c r="L11" s="1">
        <f t="shared" ca="1" si="5"/>
        <v>0</v>
      </c>
      <c r="M11" s="1">
        <f t="shared" ca="1" si="6"/>
        <v>0</v>
      </c>
      <c r="N11" s="1">
        <f t="shared" ca="1" si="7"/>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8"/>
        <v>9</v>
      </c>
      <c r="D12" s="13">
        <f t="shared" ca="1" si="9"/>
        <v>17.012</v>
      </c>
      <c r="E12" s="251">
        <f t="shared" ca="1" si="10"/>
        <v>7</v>
      </c>
      <c r="F12" s="1" t="str">
        <f t="shared" si="11"/>
        <v/>
      </c>
      <c r="G12" s="1">
        <f t="shared" ca="1" si="1"/>
        <v>0</v>
      </c>
      <c r="H12" s="1">
        <f t="shared" ca="1" si="2"/>
        <v>0</v>
      </c>
      <c r="I12" s="13">
        <f t="shared" ca="1" si="3"/>
        <v>0</v>
      </c>
      <c r="J12" s="1">
        <f t="shared" ca="1" si="12"/>
        <v>0</v>
      </c>
      <c r="K12" s="29">
        <f t="shared" ca="1" si="4"/>
        <v>0</v>
      </c>
      <c r="L12" s="1">
        <f t="shared" ca="1" si="5"/>
        <v>0</v>
      </c>
      <c r="M12" s="1">
        <f t="shared" ca="1" si="6"/>
        <v>0</v>
      </c>
      <c r="N12" s="1">
        <f t="shared" ca="1" si="7"/>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FC Barcelona</v>
      </c>
      <c r="D17" s="1">
        <f t="shared" ref="D17:G25" ca="1" si="13">K4</f>
        <v>3</v>
      </c>
      <c r="E17" s="1">
        <f t="shared" ca="1" si="13"/>
        <v>2</v>
      </c>
      <c r="F17" s="1">
        <f t="shared" ca="1" si="13"/>
        <v>0</v>
      </c>
      <c r="G17" s="1">
        <f t="shared" ca="1" si="13"/>
        <v>1</v>
      </c>
      <c r="H17" s="1">
        <f t="shared" ref="H17:K25" ca="1" si="14">G4</f>
        <v>8</v>
      </c>
      <c r="I17" s="1">
        <f t="shared" ca="1" si="14"/>
        <v>4</v>
      </c>
      <c r="J17" s="13">
        <f t="shared" ca="1" si="14"/>
        <v>4</v>
      </c>
      <c r="K17" s="1">
        <f t="shared" ca="1" si="14"/>
        <v>6</v>
      </c>
      <c r="L17" s="30">
        <f t="shared" ref="L17:L25" ca="1" si="15">K17*$F$64+(J17+$H$65)*$F$65+H17*$F$66</f>
        <v>6504008</v>
      </c>
      <c r="M17" s="14">
        <f ca="1">IF($AI$15,COUNTIF($K$17:$K$25,K17),COUNTIF($L$17:$L$25,L17))</f>
        <v>1</v>
      </c>
      <c r="N17" s="14">
        <f t="array" aca="1" ref="N17" ca="1">IF($AI$15,SUM(($K$17:$K$25&gt;=K17)/COUNTIF($K$17:$K$25,$K$17:$K$25)),SUM(($L$17:$L$25&gt;=L17)/COUNTIF($L$17:$L$25,$L$17:$L$25)))</f>
        <v>1</v>
      </c>
      <c r="O17" s="54" t="str">
        <f t="shared" ref="O17:O25" ca="1" si="16">IF(AND(M17&gt;1,N17=1),C17,"")</f>
        <v/>
      </c>
      <c r="P17" s="55" t="str">
        <f t="shared" ref="P17:P25" ca="1" si="17">IF(AND(M17&gt;1,N17=2),C17,"")</f>
        <v/>
      </c>
      <c r="Q17" s="55" t="str">
        <f t="shared" ref="Q17:Q25" ca="1" si="18">IF(AND(M17&gt;1,N17=3),C17,"")</f>
        <v/>
      </c>
      <c r="R17" s="55" t="str">
        <f t="shared" ref="R17:R25" ca="1" si="19">IF(AND(M17&gt;1,N17=4),C17,"")</f>
        <v/>
      </c>
      <c r="S17" s="55" t="str">
        <f t="shared" ref="S17:S25" ca="1" si="20">IF(AND(M17&gt;1,N17=5),C17,"")</f>
        <v/>
      </c>
      <c r="T17" s="55" t="str">
        <f t="shared" ref="T17:T25" ca="1" si="21">IF(AND($M17&gt;1,$N17=6),$C17,"")</f>
        <v/>
      </c>
      <c r="U17" s="55" t="str">
        <f t="shared" ref="U17:U25" ca="1" si="22">IF(AND($M17&gt;1,$N17=7),$C17,"")</f>
        <v/>
      </c>
      <c r="V17" s="56" t="str">
        <f t="shared" ref="V17:V25" ca="1" si="23">IF(AND($M17&gt;1,$N17=8),$C17,"")</f>
        <v/>
      </c>
      <c r="W17" s="64">
        <f t="shared" ref="W17:W22" ca="1" si="24">AA17*$F$64+(AB17+$H$65)*$F$65+AC17*$F$66</f>
        <v>500000</v>
      </c>
      <c r="X17" s="21">
        <f ca="1">RANK($L17,$L$17:$L$25)+RANK($W17,$W$17:$W$25)/100+(9-$Y17)/10000</f>
        <v>1.0108999999999999</v>
      </c>
      <c r="Y17" s="13">
        <f>'Endrunde 4'!$AF47</f>
        <v>0</v>
      </c>
      <c r="Z17" s="1">
        <f ca="1">RANK($W17,$W$17:$W$25)+(9-$Y17)/10</f>
        <v>1.9</v>
      </c>
      <c r="AA17" s="1">
        <f ca="1">SUM(E30:BP30)</f>
        <v>0</v>
      </c>
      <c r="AB17" s="1">
        <f ca="1">SUM(E41:BP41)</f>
        <v>0</v>
      </c>
      <c r="AC17" s="1">
        <f ca="1">SUM(E52:BP52)</f>
        <v>0</v>
      </c>
      <c r="AD17" s="245">
        <f ca="1">RANK($K17,$K$17:$K$25)</f>
        <v>1</v>
      </c>
      <c r="AE17" s="30">
        <f t="shared" ref="AE17:AE22" ca="1" si="25">(J17+$H$65)*$F$65+H17*$F$66</f>
        <v>504008</v>
      </c>
      <c r="AF17" s="1">
        <f ca="1">RANK($AE17,$AE$17:$AE$25)</f>
        <v>1</v>
      </c>
      <c r="AG17" s="1">
        <f ca="1">RANK($W17,$W$17:$W$25)</f>
        <v>1</v>
      </c>
      <c r="AH17" s="247">
        <f ca="1">AD17+AG17/100+AF17/10000+(10-Y17)/1000000</f>
        <v>1.0101100000000001</v>
      </c>
      <c r="AI17" s="1"/>
    </row>
    <row r="18" spans="2:80" s="2" customFormat="1" x14ac:dyDescent="0.2">
      <c r="C18" s="2" t="str">
        <f t="shared" ref="C18:C25" ca="1" si="26">$Q65</f>
        <v>Manchester City</v>
      </c>
      <c r="D18" s="1">
        <f t="shared" ca="1" si="13"/>
        <v>3</v>
      </c>
      <c r="E18" s="1">
        <f t="shared" ca="1" si="13"/>
        <v>1</v>
      </c>
      <c r="F18" s="1">
        <f t="shared" ca="1" si="13"/>
        <v>1</v>
      </c>
      <c r="G18" s="1">
        <f t="shared" ca="1" si="13"/>
        <v>1</v>
      </c>
      <c r="H18" s="1">
        <f t="shared" ca="1" si="14"/>
        <v>7</v>
      </c>
      <c r="I18" s="1">
        <f t="shared" ca="1" si="14"/>
        <v>7</v>
      </c>
      <c r="J18" s="13">
        <f t="shared" ca="1" si="14"/>
        <v>0</v>
      </c>
      <c r="K18" s="1">
        <f t="shared" ca="1" si="14"/>
        <v>4</v>
      </c>
      <c r="L18" s="30">
        <f t="shared" ca="1" si="15"/>
        <v>4500007</v>
      </c>
      <c r="M18" s="14">
        <f t="shared" ref="M18:M25" ca="1" si="27">IF($AI$15,COUNTIF($K$17:$K$25,K18),COUNTIF($L$17:$L$25,L18))</f>
        <v>1</v>
      </c>
      <c r="N18" s="14">
        <f t="array" aca="1" ref="N18" ca="1">IF($AI$15,SUM(($K$17:$K$25&gt;=K18)/COUNTIF($K$17:$K$25,$K$17:$K$25)),SUM(($L$17:$L$25&gt;=L18)/COUNTIF($L$17:$L$25,$L$17:$L$25)))</f>
        <v>3</v>
      </c>
      <c r="O18" s="6" t="str">
        <f t="shared" ca="1" si="16"/>
        <v/>
      </c>
      <c r="P18" s="4" t="str">
        <f t="shared" ca="1" si="17"/>
        <v/>
      </c>
      <c r="Q18" s="4" t="str">
        <f t="shared" ca="1" si="18"/>
        <v/>
      </c>
      <c r="R18" s="4" t="str">
        <f t="shared" ca="1" si="19"/>
        <v/>
      </c>
      <c r="S18" s="4" t="str">
        <f t="shared" ca="1" si="20"/>
        <v/>
      </c>
      <c r="T18" s="4" t="str">
        <f t="shared" ca="1" si="21"/>
        <v/>
      </c>
      <c r="U18" s="4" t="str">
        <f t="shared" ca="1" si="22"/>
        <v/>
      </c>
      <c r="V18" s="57" t="str">
        <f t="shared" ca="1" si="23"/>
        <v/>
      </c>
      <c r="W18" s="64">
        <f t="shared" ca="1" si="24"/>
        <v>500000</v>
      </c>
      <c r="X18" s="22">
        <f t="shared" ref="X18:X25" ca="1" si="28">RANK($L18,$L$17:$L$25)+RANK($W18,$W$17:$W$25)/100+(9-$Y18)/10000</f>
        <v>3.0108999999999999</v>
      </c>
      <c r="Y18" s="13">
        <f>'Endrunde 4'!$AF48</f>
        <v>0</v>
      </c>
      <c r="Z18" s="1">
        <f t="shared" ref="Z18:Z25" ca="1" si="29">RANK($W18,$W$17:$W$25)+(9-$Y18)/10</f>
        <v>1.9</v>
      </c>
      <c r="AA18" s="1">
        <f t="shared" ref="AA18:AA25" ca="1" si="30">SUM(E31:BP31)</f>
        <v>0</v>
      </c>
      <c r="AB18" s="1">
        <f t="shared" ref="AB18:AB25" ca="1" si="31">SUM(E42:BP42)</f>
        <v>0</v>
      </c>
      <c r="AC18" s="1">
        <f t="shared" ref="AC18:AC25" ca="1" si="32">SUM(E53:BP53)</f>
        <v>0</v>
      </c>
      <c r="AD18" s="245">
        <f t="shared" ref="AD18:AD25" ca="1" si="33">RANK($K18,$K$17:$K$25)</f>
        <v>3</v>
      </c>
      <c r="AE18" s="30">
        <f t="shared" ca="1" si="25"/>
        <v>500007</v>
      </c>
      <c r="AF18" s="1">
        <f t="shared" ref="AF18:AF25" ca="1" si="34">RANK($AE18,$AE$17:$AE$25)</f>
        <v>3</v>
      </c>
      <c r="AG18" s="1">
        <f t="shared" ref="AG18:AG25" ca="1" si="35">RANK($W18,$W$17:$W$25)</f>
        <v>1</v>
      </c>
      <c r="AH18" s="248">
        <f t="shared" ref="AH18:AH25" ca="1" si="36">AD18+AG18/100+AF18/10000+(10-Y18)/1000000</f>
        <v>3.01031</v>
      </c>
      <c r="AI18" s="1"/>
    </row>
    <row r="19" spans="2:80" s="2" customFormat="1" x14ac:dyDescent="0.2">
      <c r="C19" s="2" t="str">
        <f t="shared" ca="1" si="26"/>
        <v>Borussia Dortmund</v>
      </c>
      <c r="D19" s="1">
        <f t="shared" ca="1" si="13"/>
        <v>3</v>
      </c>
      <c r="E19" s="1">
        <f t="shared" ca="1" si="13"/>
        <v>0</v>
      </c>
      <c r="F19" s="1">
        <f t="shared" ca="1" si="13"/>
        <v>1</v>
      </c>
      <c r="G19" s="1">
        <f t="shared" ca="1" si="13"/>
        <v>2</v>
      </c>
      <c r="H19" s="1">
        <f t="shared" ca="1" si="14"/>
        <v>3</v>
      </c>
      <c r="I19" s="1">
        <f t="shared" ca="1" si="14"/>
        <v>9</v>
      </c>
      <c r="J19" s="13">
        <f t="shared" ca="1" si="14"/>
        <v>-6</v>
      </c>
      <c r="K19" s="1">
        <f t="shared" ca="1" si="14"/>
        <v>1</v>
      </c>
      <c r="L19" s="30">
        <f t="shared" ca="1" si="15"/>
        <v>1494003</v>
      </c>
      <c r="M19" s="14">
        <f t="shared" ca="1" si="27"/>
        <v>1</v>
      </c>
      <c r="N19" s="14">
        <f t="array" aca="1" ref="N19" ca="1">IF($AI$15,SUM(($K$17:$K$25&gt;=K19)/COUNTIF($K$17:$K$25,$K$17:$K$25)),SUM(($L$17:$L$25&gt;=L19)/COUNTIF($L$17:$L$25,$L$17:$L$25)))</f>
        <v>4</v>
      </c>
      <c r="O19" s="6" t="str">
        <f t="shared" ca="1" si="16"/>
        <v/>
      </c>
      <c r="P19" s="4" t="str">
        <f t="shared" ca="1" si="17"/>
        <v/>
      </c>
      <c r="Q19" s="4" t="str">
        <f t="shared" ca="1" si="18"/>
        <v/>
      </c>
      <c r="R19" s="4" t="str">
        <f t="shared" ca="1" si="19"/>
        <v/>
      </c>
      <c r="S19" s="4" t="str">
        <f t="shared" ca="1" si="20"/>
        <v/>
      </c>
      <c r="T19" s="4" t="str">
        <f t="shared" ca="1" si="21"/>
        <v/>
      </c>
      <c r="U19" s="4" t="str">
        <f t="shared" ca="1" si="22"/>
        <v/>
      </c>
      <c r="V19" s="57" t="str">
        <f t="shared" ca="1" si="23"/>
        <v/>
      </c>
      <c r="W19" s="64">
        <f t="shared" ca="1" si="24"/>
        <v>500000</v>
      </c>
      <c r="X19" s="22">
        <f t="shared" ca="1" si="28"/>
        <v>4.0108999999999995</v>
      </c>
      <c r="Y19" s="13">
        <f>'Endrunde 4'!$AF49</f>
        <v>0</v>
      </c>
      <c r="Z19" s="1">
        <f t="shared" ca="1" si="29"/>
        <v>1.9</v>
      </c>
      <c r="AA19" s="1">
        <f t="shared" ca="1" si="30"/>
        <v>0</v>
      </c>
      <c r="AB19" s="1">
        <f t="shared" ca="1" si="31"/>
        <v>0</v>
      </c>
      <c r="AC19" s="1">
        <f t="shared" ca="1" si="32"/>
        <v>0</v>
      </c>
      <c r="AD19" s="245">
        <f t="shared" ca="1" si="33"/>
        <v>4</v>
      </c>
      <c r="AE19" s="30">
        <f t="shared" ca="1" si="25"/>
        <v>494003</v>
      </c>
      <c r="AF19" s="1">
        <f t="shared" ca="1" si="34"/>
        <v>6</v>
      </c>
      <c r="AG19" s="1">
        <f t="shared" ca="1" si="35"/>
        <v>1</v>
      </c>
      <c r="AH19" s="248">
        <f t="shared" ca="1" si="36"/>
        <v>4.0106099999999998</v>
      </c>
      <c r="AI19" s="1"/>
    </row>
    <row r="20" spans="2:80" s="2" customFormat="1" x14ac:dyDescent="0.2">
      <c r="C20" s="2" t="str">
        <f t="shared" ca="1" si="26"/>
        <v>Paris St. Germain</v>
      </c>
      <c r="D20" s="1">
        <f t="shared" ca="1" si="13"/>
        <v>3</v>
      </c>
      <c r="E20" s="1">
        <f t="shared" ca="1" si="13"/>
        <v>2</v>
      </c>
      <c r="F20" s="1">
        <f t="shared" ca="1" si="13"/>
        <v>0</v>
      </c>
      <c r="G20" s="1">
        <f t="shared" ca="1" si="13"/>
        <v>1</v>
      </c>
      <c r="H20" s="1">
        <f t="shared" ca="1" si="14"/>
        <v>7</v>
      </c>
      <c r="I20" s="1">
        <f t="shared" ca="1" si="14"/>
        <v>5</v>
      </c>
      <c r="J20" s="13">
        <f t="shared" ca="1" si="14"/>
        <v>2</v>
      </c>
      <c r="K20" s="1">
        <f t="shared" ca="1" si="14"/>
        <v>6</v>
      </c>
      <c r="L20" s="30">
        <f t="shared" ca="1" si="15"/>
        <v>6502007</v>
      </c>
      <c r="M20" s="14">
        <f t="shared" ca="1" si="27"/>
        <v>1</v>
      </c>
      <c r="N20" s="14">
        <f t="array" aca="1" ref="N20" ca="1">IF($AI$15,SUM(($K$17:$K$25&gt;=K20)/COUNTIF($K$17:$K$25,$K$17:$K$25)),SUM(($L$17:$L$25&gt;=L20)/COUNTIF($L$17:$L$25,$L$17:$L$25)))</f>
        <v>2</v>
      </c>
      <c r="O20" s="6" t="str">
        <f t="shared" ca="1" si="16"/>
        <v/>
      </c>
      <c r="P20" s="4" t="str">
        <f t="shared" ca="1" si="17"/>
        <v/>
      </c>
      <c r="Q20" s="4" t="str">
        <f t="shared" ca="1" si="18"/>
        <v/>
      </c>
      <c r="R20" s="4" t="str">
        <f t="shared" ca="1" si="19"/>
        <v/>
      </c>
      <c r="S20" s="4" t="str">
        <f t="shared" ca="1" si="20"/>
        <v/>
      </c>
      <c r="T20" s="4" t="str">
        <f t="shared" ca="1" si="21"/>
        <v/>
      </c>
      <c r="U20" s="4" t="str">
        <f t="shared" ca="1" si="22"/>
        <v/>
      </c>
      <c r="V20" s="57" t="str">
        <f t="shared" ca="1" si="23"/>
        <v/>
      </c>
      <c r="W20" s="64">
        <f t="shared" ca="1" si="24"/>
        <v>500000</v>
      </c>
      <c r="X20" s="22">
        <f t="shared" ca="1" si="28"/>
        <v>2.0108999999999999</v>
      </c>
      <c r="Y20" s="13">
        <f>'Endrunde 4'!$AF50</f>
        <v>0</v>
      </c>
      <c r="Z20" s="1">
        <f t="shared" ca="1" si="29"/>
        <v>1.9</v>
      </c>
      <c r="AA20" s="1">
        <f t="shared" ca="1" si="30"/>
        <v>0</v>
      </c>
      <c r="AB20" s="1">
        <f t="shared" ca="1" si="31"/>
        <v>0</v>
      </c>
      <c r="AC20" s="1">
        <f t="shared" ca="1" si="32"/>
        <v>0</v>
      </c>
      <c r="AD20" s="245">
        <f t="shared" ca="1" si="33"/>
        <v>1</v>
      </c>
      <c r="AE20" s="30">
        <f t="shared" ca="1" si="25"/>
        <v>502007</v>
      </c>
      <c r="AF20" s="1">
        <f t="shared" ca="1" si="34"/>
        <v>2</v>
      </c>
      <c r="AG20" s="1">
        <f t="shared" ca="1" si="35"/>
        <v>1</v>
      </c>
      <c r="AH20" s="248">
        <f t="shared" ca="1" si="36"/>
        <v>1.0102100000000001</v>
      </c>
      <c r="AI20" s="1"/>
    </row>
    <row r="21" spans="2:80" s="2" customFormat="1" x14ac:dyDescent="0.2">
      <c r="C21" s="2" t="str">
        <f t="shared" si="26"/>
        <v/>
      </c>
      <c r="D21" s="1">
        <f t="shared" ca="1" si="13"/>
        <v>0</v>
      </c>
      <c r="E21" s="1">
        <f t="shared" ca="1" si="13"/>
        <v>0</v>
      </c>
      <c r="F21" s="1">
        <f t="shared" ca="1" si="13"/>
        <v>0</v>
      </c>
      <c r="G21" s="1">
        <f t="shared" ca="1" si="13"/>
        <v>0</v>
      </c>
      <c r="H21" s="1">
        <f t="shared" ca="1" si="14"/>
        <v>0</v>
      </c>
      <c r="I21" s="1">
        <f t="shared" ca="1" si="14"/>
        <v>0</v>
      </c>
      <c r="J21" s="13">
        <f t="shared" ca="1" si="14"/>
        <v>0</v>
      </c>
      <c r="K21" s="1">
        <f t="shared" ca="1" si="14"/>
        <v>0</v>
      </c>
      <c r="L21" s="30">
        <f t="shared" ca="1" si="15"/>
        <v>500000</v>
      </c>
      <c r="M21" s="14">
        <f t="shared" ca="1" si="27"/>
        <v>5</v>
      </c>
      <c r="N21" s="14">
        <f t="array" aca="1" ref="N21" ca="1">IF($AI$15,SUM(($K$17:$K$25&gt;=K21)/COUNTIF($K$17:$K$25,$K$17:$K$25)),SUM(($L$17:$L$25&gt;=L21)/COUNTIF($L$17:$L$25,$L$17:$L$25)))</f>
        <v>5.0000000000000009</v>
      </c>
      <c r="O21" s="6" t="str">
        <f t="shared" ca="1" si="16"/>
        <v/>
      </c>
      <c r="P21" s="4" t="str">
        <f t="shared" ca="1" si="17"/>
        <v/>
      </c>
      <c r="Q21" s="4" t="str">
        <f t="shared" ca="1" si="18"/>
        <v/>
      </c>
      <c r="R21" s="4" t="str">
        <f t="shared" ca="1" si="19"/>
        <v/>
      </c>
      <c r="S21" s="4" t="str">
        <f t="shared" ca="1" si="20"/>
        <v/>
      </c>
      <c r="T21" s="4" t="str">
        <f t="shared" ca="1" si="21"/>
        <v/>
      </c>
      <c r="U21" s="4" t="str">
        <f t="shared" ca="1" si="22"/>
        <v/>
      </c>
      <c r="V21" s="57" t="str">
        <f t="shared" ca="1" si="23"/>
        <v/>
      </c>
      <c r="W21" s="64">
        <f t="shared" ca="1" si="24"/>
        <v>500000</v>
      </c>
      <c r="X21" s="22">
        <f t="shared" ca="1" si="28"/>
        <v>5.0108999999999995</v>
      </c>
      <c r="Y21" s="13">
        <v>0</v>
      </c>
      <c r="Z21" s="1">
        <f t="shared" ca="1" si="29"/>
        <v>1.9</v>
      </c>
      <c r="AA21" s="1">
        <f t="shared" ca="1" si="30"/>
        <v>0</v>
      </c>
      <c r="AB21" s="1">
        <f t="shared" ca="1" si="31"/>
        <v>0</v>
      </c>
      <c r="AC21" s="1">
        <f t="shared" ca="1" si="32"/>
        <v>0</v>
      </c>
      <c r="AD21" s="245">
        <f t="shared" ca="1" si="33"/>
        <v>5</v>
      </c>
      <c r="AE21" s="30">
        <f t="shared" ca="1" si="25"/>
        <v>500000</v>
      </c>
      <c r="AF21" s="1">
        <f t="shared" ca="1" si="34"/>
        <v>4</v>
      </c>
      <c r="AG21" s="1">
        <f t="shared" ca="1" si="35"/>
        <v>1</v>
      </c>
      <c r="AH21" s="248">
        <f t="shared" ca="1" si="36"/>
        <v>5.0104099999999994</v>
      </c>
      <c r="AI21" s="1"/>
    </row>
    <row r="22" spans="2:80" s="2" customFormat="1" x14ac:dyDescent="0.2">
      <c r="C22" s="2" t="str">
        <f t="shared" si="26"/>
        <v/>
      </c>
      <c r="D22" s="1">
        <f t="shared" ca="1" si="13"/>
        <v>0</v>
      </c>
      <c r="E22" s="1">
        <f t="shared" ca="1" si="13"/>
        <v>0</v>
      </c>
      <c r="F22" s="1">
        <f t="shared" ca="1" si="13"/>
        <v>0</v>
      </c>
      <c r="G22" s="1">
        <f t="shared" ca="1" si="13"/>
        <v>0</v>
      </c>
      <c r="H22" s="1">
        <f t="shared" ca="1" si="14"/>
        <v>0</v>
      </c>
      <c r="I22" s="1">
        <f t="shared" ca="1" si="14"/>
        <v>0</v>
      </c>
      <c r="J22" s="13">
        <f t="shared" ca="1" si="14"/>
        <v>0</v>
      </c>
      <c r="K22" s="1">
        <f t="shared" ca="1" si="14"/>
        <v>0</v>
      </c>
      <c r="L22" s="30">
        <f t="shared" ca="1" si="15"/>
        <v>500000</v>
      </c>
      <c r="M22" s="14">
        <f t="shared" ca="1" si="27"/>
        <v>5</v>
      </c>
      <c r="N22" s="14">
        <f t="array" aca="1" ref="N22" ca="1">IF($AI$15,SUM(($K$17:$K$25&gt;=K22)/COUNTIF($K$17:$K$25,$K$17:$K$25)),SUM(($L$17:$L$25&gt;=L22)/COUNTIF($L$17:$L$25,$L$17:$L$25)))</f>
        <v>5.0000000000000009</v>
      </c>
      <c r="O22" s="6" t="str">
        <f t="shared" ca="1" si="16"/>
        <v/>
      </c>
      <c r="P22" s="4" t="str">
        <f t="shared" ca="1" si="17"/>
        <v/>
      </c>
      <c r="Q22" s="4" t="str">
        <f t="shared" ca="1" si="18"/>
        <v/>
      </c>
      <c r="R22" s="4" t="str">
        <f t="shared" ca="1" si="19"/>
        <v/>
      </c>
      <c r="S22" s="4" t="str">
        <f t="shared" ca="1" si="20"/>
        <v/>
      </c>
      <c r="T22" s="4" t="str">
        <f t="shared" ca="1" si="21"/>
        <v/>
      </c>
      <c r="U22" s="4" t="str">
        <f t="shared" ca="1" si="22"/>
        <v/>
      </c>
      <c r="V22" s="57" t="str">
        <f t="shared" ca="1" si="23"/>
        <v/>
      </c>
      <c r="W22" s="64">
        <f t="shared" ca="1" si="24"/>
        <v>500000</v>
      </c>
      <c r="X22" s="22">
        <f t="shared" ca="1" si="28"/>
        <v>5.0108999999999995</v>
      </c>
      <c r="Y22" s="13">
        <v>0</v>
      </c>
      <c r="Z22" s="1">
        <f t="shared" ca="1" si="29"/>
        <v>1.9</v>
      </c>
      <c r="AA22" s="1">
        <f t="shared" ca="1" si="30"/>
        <v>0</v>
      </c>
      <c r="AB22" s="1">
        <f t="shared" ca="1" si="31"/>
        <v>0</v>
      </c>
      <c r="AC22" s="1">
        <f t="shared" ca="1" si="32"/>
        <v>0</v>
      </c>
      <c r="AD22" s="245">
        <f t="shared" ca="1" si="33"/>
        <v>5</v>
      </c>
      <c r="AE22" s="30">
        <f t="shared" ca="1" si="25"/>
        <v>500000</v>
      </c>
      <c r="AF22" s="1">
        <f t="shared" ca="1" si="34"/>
        <v>4</v>
      </c>
      <c r="AG22" s="1">
        <f t="shared" ca="1" si="35"/>
        <v>1</v>
      </c>
      <c r="AH22" s="248">
        <f t="shared" ca="1" si="36"/>
        <v>5.0104099999999994</v>
      </c>
      <c r="AI22" s="1"/>
    </row>
    <row r="23" spans="2:80" s="2" customFormat="1" x14ac:dyDescent="0.2">
      <c r="C23" s="2" t="str">
        <f t="shared" si="26"/>
        <v/>
      </c>
      <c r="D23" s="1">
        <f t="shared" ca="1" si="13"/>
        <v>0</v>
      </c>
      <c r="E23" s="1">
        <f t="shared" ca="1" si="13"/>
        <v>0</v>
      </c>
      <c r="F23" s="1">
        <f t="shared" ca="1" si="13"/>
        <v>0</v>
      </c>
      <c r="G23" s="1">
        <f t="shared" ca="1" si="13"/>
        <v>0</v>
      </c>
      <c r="H23" s="1">
        <f t="shared" ca="1" si="14"/>
        <v>0</v>
      </c>
      <c r="I23" s="1">
        <f t="shared" ca="1" si="14"/>
        <v>0</v>
      </c>
      <c r="J23" s="13">
        <f t="shared" ca="1" si="14"/>
        <v>0</v>
      </c>
      <c r="K23" s="1">
        <f t="shared" ca="1" si="14"/>
        <v>0</v>
      </c>
      <c r="L23" s="30">
        <f t="shared" ca="1" si="15"/>
        <v>500000</v>
      </c>
      <c r="M23" s="14">
        <f t="shared" ca="1" si="27"/>
        <v>5</v>
      </c>
      <c r="N23" s="14">
        <f t="array" aca="1" ref="N23" ca="1">IF($AI$15,SUM(($K$17:$K$25&gt;=K23)/COUNTIF($K$17:$K$25,$K$17:$K$25)),SUM(($L$17:$L$25&gt;=L23)/COUNTIF($L$17:$L$25,$L$17:$L$25)))</f>
        <v>5.0000000000000009</v>
      </c>
      <c r="O23" s="6" t="str">
        <f t="shared" ca="1" si="16"/>
        <v/>
      </c>
      <c r="P23" s="4" t="str">
        <f t="shared" ca="1" si="17"/>
        <v/>
      </c>
      <c r="Q23" s="4" t="str">
        <f t="shared" ca="1" si="18"/>
        <v/>
      </c>
      <c r="R23" s="4" t="str">
        <f t="shared" ca="1" si="19"/>
        <v/>
      </c>
      <c r="S23" s="4" t="str">
        <f t="shared" ca="1" si="20"/>
        <v/>
      </c>
      <c r="T23" s="4" t="str">
        <f t="shared" ca="1" si="21"/>
        <v/>
      </c>
      <c r="U23" s="4" t="str">
        <f t="shared" ca="1" si="22"/>
        <v/>
      </c>
      <c r="V23" s="57" t="str">
        <f t="shared" ca="1" si="23"/>
        <v/>
      </c>
      <c r="W23" s="64">
        <v>0</v>
      </c>
      <c r="X23" s="22">
        <f t="shared" ca="1" si="28"/>
        <v>5.0709</v>
      </c>
      <c r="Y23" s="13">
        <v>0</v>
      </c>
      <c r="Z23" s="1">
        <f t="shared" ca="1" si="29"/>
        <v>7.9</v>
      </c>
      <c r="AA23" s="1">
        <f t="shared" ca="1" si="30"/>
        <v>0</v>
      </c>
      <c r="AB23" s="1">
        <f t="shared" ca="1" si="31"/>
        <v>0</v>
      </c>
      <c r="AC23" s="1">
        <f t="shared" ca="1" si="32"/>
        <v>0</v>
      </c>
      <c r="AD23" s="245">
        <f t="shared" ca="1" si="33"/>
        <v>5</v>
      </c>
      <c r="AE23" s="30">
        <v>0</v>
      </c>
      <c r="AF23" s="1">
        <f t="shared" ca="1" si="34"/>
        <v>7</v>
      </c>
      <c r="AG23" s="1">
        <f t="shared" ca="1" si="35"/>
        <v>7</v>
      </c>
      <c r="AH23" s="248">
        <f t="shared" ca="1" si="36"/>
        <v>5.0707100000000001</v>
      </c>
      <c r="AI23" s="1"/>
    </row>
    <row r="24" spans="2:80" s="2" customFormat="1" x14ac:dyDescent="0.2">
      <c r="C24" s="2" t="str">
        <f t="shared" si="26"/>
        <v/>
      </c>
      <c r="D24" s="1">
        <f t="shared" ca="1" si="13"/>
        <v>0</v>
      </c>
      <c r="E24" s="1">
        <f t="shared" ca="1" si="13"/>
        <v>0</v>
      </c>
      <c r="F24" s="1">
        <f t="shared" ca="1" si="13"/>
        <v>0</v>
      </c>
      <c r="G24" s="1">
        <f t="shared" ca="1" si="13"/>
        <v>0</v>
      </c>
      <c r="H24" s="1">
        <f t="shared" ca="1" si="14"/>
        <v>0</v>
      </c>
      <c r="I24" s="1">
        <f t="shared" ca="1" si="14"/>
        <v>0</v>
      </c>
      <c r="J24" s="13">
        <f t="shared" ca="1" si="14"/>
        <v>0</v>
      </c>
      <c r="K24" s="1">
        <f t="shared" ca="1" si="14"/>
        <v>0</v>
      </c>
      <c r="L24" s="30">
        <f t="shared" ca="1" si="15"/>
        <v>500000</v>
      </c>
      <c r="M24" s="14">
        <f t="shared" ca="1" si="27"/>
        <v>5</v>
      </c>
      <c r="N24" s="14">
        <f t="array" aca="1" ref="N24" ca="1">IF($AI$15,SUM(($K$17:$K$25&gt;=K24)/COUNTIF($K$17:$K$25,$K$17:$K$25)),SUM(($L$17:$L$25&gt;=L24)/COUNTIF($L$17:$L$25,$L$17:$L$25)))</f>
        <v>5.0000000000000009</v>
      </c>
      <c r="O24" s="6" t="str">
        <f t="shared" ca="1" si="16"/>
        <v/>
      </c>
      <c r="P24" s="4" t="str">
        <f t="shared" ca="1" si="17"/>
        <v/>
      </c>
      <c r="Q24" s="4" t="str">
        <f t="shared" ca="1" si="18"/>
        <v/>
      </c>
      <c r="R24" s="4" t="str">
        <f t="shared" ca="1" si="19"/>
        <v/>
      </c>
      <c r="S24" s="4" t="str">
        <f t="shared" ca="1" si="20"/>
        <v/>
      </c>
      <c r="T24" s="4" t="str">
        <f t="shared" ca="1" si="21"/>
        <v/>
      </c>
      <c r="U24" s="4" t="str">
        <f t="shared" ca="1" si="22"/>
        <v/>
      </c>
      <c r="V24" s="57" t="str">
        <f t="shared" ca="1" si="23"/>
        <v/>
      </c>
      <c r="W24" s="64">
        <v>0</v>
      </c>
      <c r="X24" s="22">
        <f t="shared" ca="1" si="28"/>
        <v>5.0709</v>
      </c>
      <c r="Y24" s="13">
        <v>0</v>
      </c>
      <c r="Z24" s="1">
        <f t="shared" ca="1" si="29"/>
        <v>7.9</v>
      </c>
      <c r="AA24" s="1">
        <f t="shared" ca="1" si="30"/>
        <v>0</v>
      </c>
      <c r="AB24" s="1">
        <f t="shared" ca="1" si="31"/>
        <v>0</v>
      </c>
      <c r="AC24" s="1">
        <f t="shared" ca="1" si="32"/>
        <v>0</v>
      </c>
      <c r="AD24" s="245">
        <f t="shared" ca="1" si="33"/>
        <v>5</v>
      </c>
      <c r="AE24" s="30">
        <v>0</v>
      </c>
      <c r="AF24" s="1">
        <f t="shared" ca="1" si="34"/>
        <v>7</v>
      </c>
      <c r="AG24" s="1">
        <f t="shared" ca="1" si="35"/>
        <v>7</v>
      </c>
      <c r="AH24" s="248">
        <f t="shared" ca="1" si="36"/>
        <v>5.0707100000000001</v>
      </c>
      <c r="AI24" s="1"/>
    </row>
    <row r="25" spans="2:80" s="2" customFormat="1" ht="12.75" thickBot="1" x14ac:dyDescent="0.25">
      <c r="C25" s="2" t="str">
        <f t="shared" si="26"/>
        <v/>
      </c>
      <c r="D25" s="1">
        <f t="shared" ca="1" si="13"/>
        <v>0</v>
      </c>
      <c r="E25" s="1">
        <f t="shared" ca="1" si="13"/>
        <v>0</v>
      </c>
      <c r="F25" s="1">
        <f t="shared" ca="1" si="13"/>
        <v>0</v>
      </c>
      <c r="G25" s="1">
        <f t="shared" ca="1" si="13"/>
        <v>0</v>
      </c>
      <c r="H25" s="1">
        <f t="shared" ca="1" si="14"/>
        <v>0</v>
      </c>
      <c r="I25" s="1">
        <f t="shared" ca="1" si="14"/>
        <v>0</v>
      </c>
      <c r="J25" s="13">
        <f t="shared" ca="1" si="14"/>
        <v>0</v>
      </c>
      <c r="K25" s="1">
        <f t="shared" ca="1" si="14"/>
        <v>0</v>
      </c>
      <c r="L25" s="30">
        <f t="shared" ca="1" si="15"/>
        <v>500000</v>
      </c>
      <c r="M25" s="14">
        <f t="shared" ca="1" si="27"/>
        <v>5</v>
      </c>
      <c r="N25" s="14">
        <f t="array" aca="1" ref="N25" ca="1">IF($AI$15,SUM(($K$17:$K$25&gt;=K25)/COUNTIF($K$17:$K$25,$K$17:$K$25)),SUM(($L$17:$L$25&gt;=L25)/COUNTIF($L$17:$L$25,$L$17:$L$25)))</f>
        <v>5.0000000000000009</v>
      </c>
      <c r="O25" s="58" t="str">
        <f t="shared" ca="1" si="16"/>
        <v/>
      </c>
      <c r="P25" s="59" t="str">
        <f t="shared" ca="1" si="17"/>
        <v/>
      </c>
      <c r="Q25" s="59" t="str">
        <f t="shared" ca="1" si="18"/>
        <v/>
      </c>
      <c r="R25" s="59" t="str">
        <f t="shared" ca="1" si="19"/>
        <v/>
      </c>
      <c r="S25" s="59" t="str">
        <f t="shared" ca="1" si="20"/>
        <v/>
      </c>
      <c r="T25" s="59" t="str">
        <f t="shared" ca="1" si="21"/>
        <v/>
      </c>
      <c r="U25" s="59" t="str">
        <f t="shared" ca="1" si="22"/>
        <v/>
      </c>
      <c r="V25" s="60" t="str">
        <f t="shared" ca="1" si="23"/>
        <v/>
      </c>
      <c r="W25" s="64">
        <v>0</v>
      </c>
      <c r="X25" s="23">
        <f t="shared" ca="1" si="28"/>
        <v>5.0709</v>
      </c>
      <c r="Y25" s="13">
        <v>0</v>
      </c>
      <c r="Z25" s="1">
        <f t="shared" ca="1" si="29"/>
        <v>7.9</v>
      </c>
      <c r="AA25" s="1">
        <f t="shared" ca="1" si="30"/>
        <v>0</v>
      </c>
      <c r="AB25" s="1">
        <f t="shared" ca="1" si="31"/>
        <v>0</v>
      </c>
      <c r="AC25" s="1">
        <f t="shared" ca="1" si="32"/>
        <v>0</v>
      </c>
      <c r="AD25" s="245">
        <f t="shared" ca="1" si="33"/>
        <v>5</v>
      </c>
      <c r="AE25" s="30">
        <v>0</v>
      </c>
      <c r="AF25" s="1">
        <f t="shared" ca="1" si="34"/>
        <v>7</v>
      </c>
      <c r="AG25" s="1">
        <f t="shared" ca="1" si="35"/>
        <v>7</v>
      </c>
      <c r="AH25" s="249">
        <f t="shared" ca="1" si="36"/>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FC Barcelona</v>
      </c>
      <c r="BT29" s="2" t="str">
        <f ca="1">$F$5</f>
        <v>Manchester City</v>
      </c>
      <c r="BU29" s="2" t="str">
        <f ca="1">$F$6</f>
        <v>Borussia Dortmund</v>
      </c>
      <c r="BV29" s="2" t="str">
        <f ca="1">$F$7</f>
        <v>Paris St. Germain</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7">F4</f>
        <v>FC Barcelona</v>
      </c>
      <c r="BS30" s="7"/>
      <c r="BT30" s="8">
        <f t="shared" ref="BT30:CA32" ca="1" si="38">SUMIFS($X$64:$X$135,$V$64:$V$135,$BR30,$W$64:$W$135,BT$29)+SUMIFS($Y$64:$Y$135,$W$64:$W$135,$BR30,$V$64:$V$135,BT$29)</f>
        <v>2</v>
      </c>
      <c r="BU30" s="8">
        <f t="shared" ca="1" si="38"/>
        <v>4</v>
      </c>
      <c r="BV30" s="8">
        <f t="shared" ca="1" si="38"/>
        <v>2</v>
      </c>
      <c r="BW30" s="8">
        <f t="shared" ca="1" si="38"/>
        <v>0</v>
      </c>
      <c r="BX30" s="8">
        <f t="shared" ca="1" si="38"/>
        <v>0</v>
      </c>
      <c r="BY30" s="8">
        <f t="shared" ca="1" si="38"/>
        <v>0</v>
      </c>
      <c r="BZ30" s="8">
        <f t="shared" ca="1" si="38"/>
        <v>0</v>
      </c>
      <c r="CA30" s="8">
        <f t="shared" ca="1" si="38"/>
        <v>0</v>
      </c>
      <c r="CB30" s="4"/>
    </row>
    <row r="31" spans="2:80" s="2" customFormat="1" x14ac:dyDescent="0.2">
      <c r="C31" s="2" t="str">
        <f t="shared" ref="C31:C38" ca="1" si="39">$Q65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7"/>
        <v>Manchester City</v>
      </c>
      <c r="BS31" s="9">
        <f t="shared" ref="BS31:BU38" ca="1" si="40">SUMIFS($X$64:$X$135,$V$64:$V$135,$BR31,$W$64:$W$135,BS$29)+SUMIFS($Y$64:$Y$135,$W$64:$W$135,$BR31,$V$64:$V$135,BS$29)</f>
        <v>3</v>
      </c>
      <c r="BT31" s="7"/>
      <c r="BU31" s="8">
        <f t="shared" ca="1" si="38"/>
        <v>2</v>
      </c>
      <c r="BV31" s="8">
        <f t="shared" ca="1" si="38"/>
        <v>2</v>
      </c>
      <c r="BW31" s="8">
        <f t="shared" ca="1" si="38"/>
        <v>0</v>
      </c>
      <c r="BX31" s="8">
        <f t="shared" ca="1" si="38"/>
        <v>0</v>
      </c>
      <c r="BY31" s="8">
        <f t="shared" ca="1" si="38"/>
        <v>0</v>
      </c>
      <c r="BZ31" s="8">
        <f t="shared" ca="1" si="38"/>
        <v>0</v>
      </c>
      <c r="CA31" s="8">
        <f t="shared" ca="1" si="38"/>
        <v>0</v>
      </c>
      <c r="CB31" s="4"/>
    </row>
    <row r="32" spans="2:80" s="2" customFormat="1" x14ac:dyDescent="0.2">
      <c r="C32" s="2" t="str">
        <f t="shared" ca="1" si="39"/>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7"/>
        <v>Borussia Dortmund</v>
      </c>
      <c r="BS32" s="9">
        <f t="shared" ca="1" si="40"/>
        <v>0</v>
      </c>
      <c r="BT32" s="9">
        <f t="shared" ca="1" si="40"/>
        <v>2</v>
      </c>
      <c r="BU32" s="7"/>
      <c r="BV32" s="8">
        <f t="shared" ca="1" si="38"/>
        <v>1</v>
      </c>
      <c r="BW32" s="8">
        <f t="shared" ca="1" si="38"/>
        <v>0</v>
      </c>
      <c r="BX32" s="8">
        <f t="shared" ca="1" si="38"/>
        <v>0</v>
      </c>
      <c r="BY32" s="8">
        <f t="shared" ca="1" si="38"/>
        <v>0</v>
      </c>
      <c r="BZ32" s="8">
        <f t="shared" ca="1" si="38"/>
        <v>0</v>
      </c>
      <c r="CA32" s="8">
        <f t="shared" ca="1" si="38"/>
        <v>0</v>
      </c>
      <c r="CB32" s="4"/>
    </row>
    <row r="33" spans="2:80" s="2" customFormat="1" x14ac:dyDescent="0.2">
      <c r="C33" s="2" t="str">
        <f t="shared" ca="1" si="39"/>
        <v>Paris St. Germain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7"/>
        <v>Paris St. Germain</v>
      </c>
      <c r="BS33" s="9">
        <f t="shared" ca="1" si="40"/>
        <v>1</v>
      </c>
      <c r="BT33" s="9">
        <f t="shared" ca="1" si="40"/>
        <v>3</v>
      </c>
      <c r="BU33" s="9">
        <f t="shared" ca="1" si="40"/>
        <v>3</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9"/>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7"/>
        <v/>
      </c>
      <c r="BS34" s="9">
        <f t="shared" ca="1" si="40"/>
        <v>0</v>
      </c>
      <c r="BT34" s="9">
        <f t="shared" ca="1" si="40"/>
        <v>0</v>
      </c>
      <c r="BU34" s="9">
        <f t="shared" ca="1" si="40"/>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7"/>
        <v/>
      </c>
      <c r="BS35" s="9">
        <f t="shared" ca="1" si="40"/>
        <v>0</v>
      </c>
      <c r="BT35" s="9">
        <f t="shared" ca="1" si="40"/>
        <v>0</v>
      </c>
      <c r="BU35" s="9">
        <f t="shared" ca="1" si="4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7"/>
        <v/>
      </c>
      <c r="BS36" s="9">
        <f t="shared" ca="1" si="40"/>
        <v>0</v>
      </c>
      <c r="BT36" s="9">
        <f t="shared" ca="1" si="40"/>
        <v>0</v>
      </c>
      <c r="BU36" s="9">
        <f t="shared" ca="1" si="4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7"/>
        <v/>
      </c>
      <c r="BS37" s="9">
        <f t="shared" ca="1" si="40"/>
        <v>0</v>
      </c>
      <c r="BT37" s="9">
        <f t="shared" ca="1" si="40"/>
        <v>0</v>
      </c>
      <c r="BU37" s="9">
        <f t="shared" ca="1" si="4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7"/>
        <v/>
      </c>
      <c r="BS38" s="9">
        <f t="shared" ca="1" si="40"/>
        <v>0</v>
      </c>
      <c r="BT38" s="9">
        <f t="shared" ca="1" si="40"/>
        <v>0</v>
      </c>
      <c r="BU38" s="9">
        <f t="shared" ca="1" si="4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Borussia Dortmund</v>
      </c>
      <c r="BV40" s="2" t="str">
        <f ca="1">$F$7</f>
        <v>Paris St. Germain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1">F4</f>
        <v>FC Barcelona</v>
      </c>
      <c r="BS41" s="7"/>
      <c r="BT41" s="8">
        <f ca="1">BT30-BS31</f>
        <v>-1</v>
      </c>
      <c r="BU41" s="8">
        <f ca="1">BU30-BS32</f>
        <v>4</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1"/>
        <v>Manchester City</v>
      </c>
      <c r="BS42" s="9">
        <f ca="1">IF(BT41="","",-1*BT41)</f>
        <v>1</v>
      </c>
      <c r="BT42" s="7"/>
      <c r="BU42" s="8">
        <f ca="1">BU31-BT32</f>
        <v>0</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1"/>
        <v>Borussia Dortmund</v>
      </c>
      <c r="BS43" s="9">
        <f ca="1">IF(BU41="","",-1*BU41)</f>
        <v>-4</v>
      </c>
      <c r="BT43" s="9">
        <f ca="1">IF(BU42="","",-1*BU42)</f>
        <v>0</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1"/>
        <v>Paris St. Germain</v>
      </c>
      <c r="BS44" s="9">
        <f ca="1">IF(BV41="","",-1*BV41)</f>
        <v>-1</v>
      </c>
      <c r="BT44" s="9">
        <f ca="1">IF(BV42="","",-1*BV42)</f>
        <v>1</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1"/>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Borussia Dortmund</v>
      </c>
      <c r="BV51" s="2" t="str">
        <f ca="1">$F$7</f>
        <v>Paris St. Germain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3">F4</f>
        <v>FC Barcelona</v>
      </c>
      <c r="BS52" s="7"/>
      <c r="BT52" s="8">
        <f t="shared" ref="BT52:CA58" ca="1" si="44">SUMIFS($AE$64:$AE$135,$V$64:$V$135,$BR52,$W$64:$W$135,BT$51)+SUMIFS($AF$64:$AF$135,$W$64:$W$135,$BR52,$V$64:$V$135,BT$51)</f>
        <v>0</v>
      </c>
      <c r="BU52" s="8">
        <f t="shared" ca="1" si="44"/>
        <v>3</v>
      </c>
      <c r="BV52" s="8">
        <f t="shared" ca="1" si="44"/>
        <v>3</v>
      </c>
      <c r="BW52" s="8">
        <f t="shared" ca="1" si="44"/>
        <v>0</v>
      </c>
      <c r="BX52" s="8">
        <f t="shared" ca="1" si="44"/>
        <v>0</v>
      </c>
      <c r="BY52" s="8">
        <f t="shared" ca="1" si="44"/>
        <v>0</v>
      </c>
      <c r="BZ52" s="8">
        <f t="shared" ca="1" si="44"/>
        <v>0</v>
      </c>
      <c r="CA52" s="8">
        <f t="shared" ca="1" si="4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3"/>
        <v>Manchester City</v>
      </c>
      <c r="BS53" s="9">
        <f t="shared" ref="BS53:BU60" ca="1" si="45">SUMIFS($AE$64:$AE$135,$V$64:$V$135,$BR53,$W$64:$W$135,BS$51)+SUMIFS($AF$64:$AF$135,$W$64:$W$135,$BR53,$V$64:$V$135,BS$51)</f>
        <v>3</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4"/>
        <v>0</v>
      </c>
      <c r="CA53" s="8">
        <f t="shared" ca="1" si="4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3"/>
        <v>Borussia Dortmund</v>
      </c>
      <c r="BS54" s="9">
        <f t="shared" ca="1" si="45"/>
        <v>0</v>
      </c>
      <c r="BT54" s="9">
        <f t="shared" ca="1" si="45"/>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4"/>
        <v>0</v>
      </c>
      <c r="CA54" s="8">
        <f t="shared" ca="1" si="4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3"/>
        <v>Paris St. Germain</v>
      </c>
      <c r="BS55" s="9">
        <f t="shared" ca="1" si="45"/>
        <v>0</v>
      </c>
      <c r="BT55" s="9">
        <f t="shared" ca="1" si="45"/>
        <v>3</v>
      </c>
      <c r="BU55" s="9">
        <f t="shared" ca="1" si="45"/>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4"/>
        <v>0</v>
      </c>
      <c r="CA55" s="8">
        <f t="shared" ca="1" si="4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3"/>
        <v/>
      </c>
      <c r="BS56" s="9">
        <f t="shared" ca="1" si="45"/>
        <v>0</v>
      </c>
      <c r="BT56" s="9">
        <f t="shared" ca="1" si="45"/>
        <v>0</v>
      </c>
      <c r="BU56" s="9">
        <f t="shared" ca="1" si="45"/>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4"/>
        <v>0</v>
      </c>
      <c r="CA56" s="8">
        <f t="shared" ca="1" si="4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3"/>
        <v/>
      </c>
      <c r="BS57" s="9">
        <f t="shared" ca="1" si="45"/>
        <v>0</v>
      </c>
      <c r="BT57" s="9">
        <f t="shared" ca="1" si="45"/>
        <v>0</v>
      </c>
      <c r="BU57" s="9">
        <f t="shared" ca="1" si="4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4"/>
        <v>0</v>
      </c>
      <c r="CA57" s="8">
        <f t="shared" ca="1" si="4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3"/>
        <v/>
      </c>
      <c r="BS58" s="9">
        <f t="shared" ca="1" si="45"/>
        <v>0</v>
      </c>
      <c r="BT58" s="9">
        <f t="shared" ca="1" si="45"/>
        <v>0</v>
      </c>
      <c r="BU58" s="9">
        <f t="shared" ca="1" si="4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4"/>
        <v>0</v>
      </c>
      <c r="CA58" s="8">
        <f t="shared" ca="1" si="4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3"/>
        <v/>
      </c>
      <c r="BS59" s="9">
        <f t="shared" ca="1" si="45"/>
        <v>0</v>
      </c>
      <c r="BT59" s="9">
        <f t="shared" ca="1" si="45"/>
        <v>0</v>
      </c>
      <c r="BU59" s="9">
        <f t="shared" ca="1" si="4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3"/>
        <v/>
      </c>
      <c r="BS60" s="9">
        <f t="shared" ca="1" si="45"/>
        <v>0</v>
      </c>
      <c r="BT60" s="9">
        <f t="shared" ca="1" si="45"/>
        <v>0</v>
      </c>
      <c r="BU60" s="9">
        <f t="shared" ca="1" si="4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IF('Endrunde 4'!$AE47="","",'Endrunde 4'!$AE47)</f>
        <v>FC Barcelona</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1" t="str">
        <f ca="1">IF(AA64&gt;0,X64&amp;Sprache!$E$111&amp;Y64,"")</f>
        <v/>
      </c>
      <c r="AD64" s="142"/>
      <c r="AE64" s="147" t="str">
        <f ca="1">IF($AA64=0,"",IF($X64&gt;$Y64,Einstellungen!$C$4,IF($X64=$Y64,1,0)))</f>
        <v/>
      </c>
      <c r="AF64" s="142" t="str">
        <f ca="1">IF($AA64=0,"",IF($X64&lt;$Y64,Einstellungen!$C$4,IF($X64=$Y64,1,0)))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 ca="1">IF('Endrunde 4'!$AE48="","",'Endrunde 4'!$AE48)</f>
        <v>Manchester City</v>
      </c>
      <c r="U65" s="67" t="s">
        <v>8</v>
      </c>
      <c r="V65" s="41" t="str">
        <f ca="1">'Endrunde 4'!$I13</f>
        <v>Maibach 1822 eV</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6">V65&amp;W65</f>
        <v>Maibach 1822 eVSSV Wildbach</v>
      </c>
      <c r="AA65" s="13">
        <f t="shared" ref="AA65:AA128" ca="1" si="47">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IF('Endrunde 4'!$AE49="","",'Endrunde 4'!$AE49)</f>
        <v>Borussia Dortmund</v>
      </c>
      <c r="U66" s="67" t="s">
        <v>9</v>
      </c>
      <c r="V66" s="41" t="str">
        <f ca="1">'Endrunde 4'!$I14</f>
        <v>VFB Essenheim</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6"/>
        <v>VFB EssenheimFC Grönlingen</v>
      </c>
      <c r="AA66" s="13">
        <f t="shared" ca="1" si="47"/>
        <v>1</v>
      </c>
      <c r="AB66" s="13" t="str">
        <f ca="1">IF(AA66&gt;0,X66&amp;Sprache!$E$111&amp;Y66,"")</f>
        <v>2:1</v>
      </c>
      <c r="AD66" s="143"/>
      <c r="AE66" s="148">
        <f ca="1">IF($AA66=0,"",IF($X66&gt;$Y66,Einstellungen!$C$4,IF($X66=$Y66,1,0)))</f>
        <v>3</v>
      </c>
      <c r="AF66" s="143">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4'!$AE50="","",'Endrunde 4'!$AE50)</f>
        <v>Paris St. Germain</v>
      </c>
      <c r="U67" s="67" t="s">
        <v>10</v>
      </c>
      <c r="V67" s="41" t="str">
        <f ca="1">'Endrunde 4'!$I15</f>
        <v>1. FC Riedwald</v>
      </c>
      <c r="W67" s="13" t="str">
        <f ca="1">'Endrunde 4'!$K15</f>
        <v>Mainz 05</v>
      </c>
      <c r="X67" s="13">
        <f ca="1">IF(AND('Endrunde 4'!$L15&lt;&gt;"",'Endrunde 4'!$N15&lt;&gt;"",$V67&lt;&gt;$W67,$V67&lt;&gt;"",$W67&lt;&gt;""),'Endrunde 4'!$L15,"")</f>
        <v>0</v>
      </c>
      <c r="Y67" s="36">
        <f ca="1">IF(AND('Endrunde 4'!$L15&lt;&gt;"",'Endrunde 4'!$N15&lt;&gt;"",$V67&lt;&gt;$W67,$V67&lt;&gt;"",$W67&lt;&gt;""),'Endrunde 4'!$N15,"")</f>
        <v>0</v>
      </c>
      <c r="Z67" s="35" t="str">
        <f t="shared" ca="1" si="46"/>
        <v>1. FC RiedwaldMainz 05</v>
      </c>
      <c r="AA67" s="13">
        <f t="shared" ca="1" si="47"/>
        <v>1</v>
      </c>
      <c r="AB67" s="13" t="str">
        <f ca="1">IF(AA67&gt;0,X67&amp;Sprache!$E$111&amp;Y67,"")</f>
        <v>0:0</v>
      </c>
      <c r="AD67" s="143"/>
      <c r="AE67" s="148">
        <f ca="1">IF($AA67=0,"",IF($X67&gt;$Y67,Einstellungen!$C$4,IF($X67=$Y67,1,0)))</f>
        <v>1</v>
      </c>
      <c r="AF67" s="143">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Eintracht Frankfurt</v>
      </c>
      <c r="W68" s="13" t="str">
        <f ca="1">'Endrunde 4'!$K16</f>
        <v>Inter Mailand</v>
      </c>
      <c r="X68" s="13">
        <f ca="1">IF(AND('Endrunde 4'!$L16&lt;&gt;"",'Endrunde 4'!$N16&lt;&gt;"",$V68&lt;&gt;$W68,$V68&lt;&gt;"",$W68&lt;&gt;""),'Endrunde 4'!$L16,"")</f>
        <v>5</v>
      </c>
      <c r="Y68" s="36">
        <f ca="1">IF(AND('Endrunde 4'!$L16&lt;&gt;"",'Endrunde 4'!$N16&lt;&gt;"",$V68&lt;&gt;$W68,$V68&lt;&gt;"",$W68&lt;&gt;""),'Endrunde 4'!$N16,"")</f>
        <v>1</v>
      </c>
      <c r="Z68" s="35" t="str">
        <f t="shared" ca="1" si="46"/>
        <v>Eintracht FrankfurtInter Mailand</v>
      </c>
      <c r="AA68" s="13">
        <f t="shared" ca="1" si="47"/>
        <v>1</v>
      </c>
      <c r="AB68" s="13" t="str">
        <f ca="1">IF(AA68&gt;0,X68&amp;Sprache!$E$111&amp;Y68,"")</f>
        <v>5:1</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FC Barcelona</v>
      </c>
      <c r="W69" s="13" t="str">
        <f ca="1">'Endrunde 4'!$K17</f>
        <v>Manchester City</v>
      </c>
      <c r="X69" s="13">
        <f ca="1">IF(AND('Endrunde 4'!$L17&lt;&gt;"",'Endrunde 4'!$N17&lt;&gt;"",$V69&lt;&gt;$W69,$V69&lt;&gt;"",$W69&lt;&gt;""),'Endrunde 4'!$L17,"")</f>
        <v>2</v>
      </c>
      <c r="Y69" s="36">
        <f ca="1">IF(AND('Endrunde 4'!$L17&lt;&gt;"",'Endrunde 4'!$N17&lt;&gt;"",$V69&lt;&gt;$W69,$V69&lt;&gt;"",$W69&lt;&gt;""),'Endrunde 4'!$N17,"")</f>
        <v>3</v>
      </c>
      <c r="Z69" s="35" t="str">
        <f t="shared" ca="1" si="46"/>
        <v>FC BarcelonaManchester City</v>
      </c>
      <c r="AA69" s="13">
        <f t="shared" ca="1" si="47"/>
        <v>1</v>
      </c>
      <c r="AB69" s="13" t="str">
        <f ca="1">IF(AA69&gt;0,X69&amp;Sprache!$E$111&amp;Y69,"")</f>
        <v>2:3</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'Endrunde 4'!$I18</f>
        <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6"/>
        <v/>
      </c>
      <c r="AA70" s="13">
        <f t="shared" ca="1" si="47"/>
        <v>0</v>
      </c>
      <c r="AB70" s="13" t="str">
        <f ca="1">IF(AA70&gt;0,X70&amp;Sprache!$E$111&amp;Y70,"")</f>
        <v/>
      </c>
      <c r="AD70" s="143"/>
      <c r="AE70" s="148" t="str">
        <f ca="1">IF($AA70=0,"",IF($X70&gt;$Y70,Einstellungen!$C$4,IF($X70=$Y70,1,0)))</f>
        <v/>
      </c>
      <c r="AF70" s="143"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FSV Rauen</v>
      </c>
      <c r="W71" s="13" t="str">
        <f ca="1">'Endrunde 4'!$K19</f>
        <v>TSG Saalberg eV</v>
      </c>
      <c r="X71" s="13">
        <f ca="1">IF(AND('Endrunde 4'!$L19&lt;&gt;"",'Endrunde 4'!$N19&lt;&gt;"",$V71&lt;&gt;$W71,$V71&lt;&gt;"",$W71&lt;&gt;""),'Endrunde 4'!$L19,"")</f>
        <v>5</v>
      </c>
      <c r="Y71" s="36">
        <f ca="1">IF(AND('Endrunde 4'!$L19&lt;&gt;"",'Endrunde 4'!$N19&lt;&gt;"",$V71&lt;&gt;$W71,$V71&lt;&gt;"",$W71&lt;&gt;""),'Endrunde 4'!$N19,"")</f>
        <v>3</v>
      </c>
      <c r="Z71" s="35" t="str">
        <f t="shared" ca="1" si="46"/>
        <v>FSV RauenTSG Saalberg eV</v>
      </c>
      <c r="AA71" s="13">
        <f t="shared" ca="1" si="47"/>
        <v>1</v>
      </c>
      <c r="AB71" s="13" t="str">
        <f ca="1">IF(AA71&gt;0,X71&amp;Sprache!$E$111&amp;Y71,"")</f>
        <v>5:3</v>
      </c>
      <c r="AD71" s="143"/>
      <c r="AE71" s="148">
        <f ca="1">IF($AA71=0,"",IF($X71&gt;$Y71,Einstellungen!$C$4,IF($X71=$Y71,1,0)))</f>
        <v>3</v>
      </c>
      <c r="AF71" s="143">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Kickers Rodendorf</v>
      </c>
      <c r="W72" s="13" t="str">
        <f ca="1">'Endrunde 4'!$K20</f>
        <v>SV Oberredenburg</v>
      </c>
      <c r="X72" s="13">
        <f ca="1">IF(AND('Endrunde 4'!$L20&lt;&gt;"",'Endrunde 4'!$N20&lt;&gt;"",$V72&lt;&gt;$W72,$V72&lt;&gt;"",$W72&lt;&gt;""),'Endrunde 4'!$L20,"")</f>
        <v>2</v>
      </c>
      <c r="Y72" s="36">
        <f ca="1">IF(AND('Endrunde 4'!$L20&lt;&gt;"",'Endrunde 4'!$N20&lt;&gt;"",$V72&lt;&gt;$W72,$V72&lt;&gt;"",$W72&lt;&gt;""),'Endrunde 4'!$N20,"")</f>
        <v>1</v>
      </c>
      <c r="Z72" s="35" t="str">
        <f t="shared" ca="1" si="46"/>
        <v>Kickers RodendorfSV Oberredenburg</v>
      </c>
      <c r="AA72" s="13">
        <f t="shared" ca="1" si="47"/>
        <v>1</v>
      </c>
      <c r="AB72" s="13" t="str">
        <f ca="1">IF(AA72&gt;0,X72&amp;Sprache!$E$111&amp;Y72,"")</f>
        <v>2:1</v>
      </c>
      <c r="AD72" s="143"/>
      <c r="AE72" s="148">
        <f ca="1">IF($AA72=0,"",IF($X72&gt;$Y72,Einstellungen!$C$4,IF($X72=$Y72,1,0)))</f>
        <v>3</v>
      </c>
      <c r="AF72" s="143">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1. FC Nürnberg</v>
      </c>
      <c r="W73" s="13" t="str">
        <f ca="1">'Endrunde 4'!$K21</f>
        <v>HSV</v>
      </c>
      <c r="X73" s="13">
        <f ca="1">IF(AND('Endrunde 4'!$L21&lt;&gt;"",'Endrunde 4'!$N21&lt;&gt;"",$V73&lt;&gt;$W73,$V73&lt;&gt;"",$W73&lt;&gt;""),'Endrunde 4'!$L21,"")</f>
        <v>3</v>
      </c>
      <c r="Y73" s="36">
        <f ca="1">IF(AND('Endrunde 4'!$L21&lt;&gt;"",'Endrunde 4'!$N21&lt;&gt;"",$V73&lt;&gt;$W73,$V73&lt;&gt;"",$W73&lt;&gt;""),'Endrunde 4'!$N21,"")</f>
        <v>1</v>
      </c>
      <c r="Z73" s="35" t="str">
        <f t="shared" ca="1" si="46"/>
        <v>1. FC NürnbergHSV</v>
      </c>
      <c r="AA73" s="13">
        <f t="shared" ca="1" si="47"/>
        <v>1</v>
      </c>
      <c r="AB73" s="13" t="str">
        <f ca="1">IF(AA73&gt;0,X73&amp;Sprache!$E$111&amp;Y73,"")</f>
        <v>3:1</v>
      </c>
      <c r="AD73" s="143"/>
      <c r="AE73" s="148">
        <f ca="1">IF($AA73=0,"",IF($X73&gt;$Y73,Einstellungen!$C$4,IF($X73=$Y73,1,0)))</f>
        <v>3</v>
      </c>
      <c r="AF73" s="143">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Real Madrid</v>
      </c>
      <c r="W74" s="13" t="str">
        <f ca="1">'Endrunde 4'!$K22</f>
        <v>RB Leipzig</v>
      </c>
      <c r="X74" s="13">
        <f ca="1">IF(AND('Endrunde 4'!$L22&lt;&gt;"",'Endrunde 4'!$N22&lt;&gt;"",$V74&lt;&gt;$W74,$V74&lt;&gt;"",$W74&lt;&gt;""),'Endrunde 4'!$L22,"")</f>
        <v>4</v>
      </c>
      <c r="Y74" s="36">
        <f ca="1">IF(AND('Endrunde 4'!$L22&lt;&gt;"",'Endrunde 4'!$N22&lt;&gt;"",$V74&lt;&gt;$W74,$V74&lt;&gt;"",$W74&lt;&gt;""),'Endrunde 4'!$N22,"")</f>
        <v>2</v>
      </c>
      <c r="Z74" s="35" t="str">
        <f ca="1">V74&amp;W74</f>
        <v>Real MadridRB Leipzig</v>
      </c>
      <c r="AA74" s="13">
        <f t="shared" ca="1" si="47"/>
        <v>1</v>
      </c>
      <c r="AB74" s="13" t="str">
        <f ca="1">IF(AA74&gt;0,X74&amp;Sprache!$E$111&amp;Y74,"")</f>
        <v>4:2</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Borussia Dortmund</v>
      </c>
      <c r="W75" s="13" t="str">
        <f ca="1">'Endrunde 4'!$K23</f>
        <v>Paris St. Germain</v>
      </c>
      <c r="X75" s="13">
        <f ca="1">IF(AND('Endrunde 4'!$L23&lt;&gt;"",'Endrunde 4'!$N23&lt;&gt;"",$V75&lt;&gt;$W75,$V75&lt;&gt;"",$W75&lt;&gt;""),'Endrunde 4'!$L23,"")</f>
        <v>1</v>
      </c>
      <c r="Y75" s="36">
        <f ca="1">IF(AND('Endrunde 4'!$L23&lt;&gt;"",'Endrunde 4'!$N23&lt;&gt;"",$V75&lt;&gt;$W75,$V75&lt;&gt;"",$W75&lt;&gt;""),'Endrunde 4'!$N23,"")</f>
        <v>3</v>
      </c>
      <c r="Z75" s="35" t="str">
        <f t="shared" ref="Z75:Z108" ca="1" si="48">V75&amp;W75</f>
        <v>Borussia DortmundParis St. Germain</v>
      </c>
      <c r="AA75" s="13">
        <f t="shared" ca="1" si="47"/>
        <v>1</v>
      </c>
      <c r="AB75" s="13" t="str">
        <f ca="1">IF(AA75&gt;0,X75&amp;Sprache!$E$111&amp;Y75,"")</f>
        <v>1:3</v>
      </c>
      <c r="AD75" s="143"/>
      <c r="AE75" s="148">
        <f ca="1">IF($AA75=0,"",IF($X75&gt;$Y75,Einstellungen!$C$4,IF($X75=$Y75,1,0)))</f>
        <v>0</v>
      </c>
      <c r="AF75" s="143">
        <f ca="1">IF($AA75=0,"",IF($X75&lt;$Y75,Einstellungen!$C$4,IF($X75=$Y75,1,0)))</f>
        <v>3</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8"/>
        <v/>
      </c>
      <c r="AA76" s="13">
        <f t="shared" ca="1" si="47"/>
        <v>0</v>
      </c>
      <c r="AB76" s="13" t="str">
        <f ca="1">IF(AA76&gt;0,X76&amp;Sprache!$E$111&amp;Y76,"")</f>
        <v/>
      </c>
      <c r="AD76" s="143"/>
      <c r="AE76" s="148" t="str">
        <f ca="1">IF($AA76=0,"",IF($X76&gt;$Y76,Einstellungen!$C$4,IF($X76=$Y76,1,0)))</f>
        <v/>
      </c>
      <c r="AF76" s="143"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Maibach 1822 eV</v>
      </c>
      <c r="W77" s="13" t="str">
        <f ca="1">'Endrunde 4'!$K25</f>
        <v>FSV Rauen</v>
      </c>
      <c r="X77" s="13">
        <f ca="1">IF(AND('Endrunde 4'!$L25&lt;&gt;"",'Endrunde 4'!$N25&lt;&gt;"",$V77&lt;&gt;$W77,$V77&lt;&gt;"",$W77&lt;&gt;""),'Endrunde 4'!$L25,"")</f>
        <v>1</v>
      </c>
      <c r="Y77" s="36">
        <f ca="1">IF(AND('Endrunde 4'!$L25&lt;&gt;"",'Endrunde 4'!$N25&lt;&gt;"",$V77&lt;&gt;$W77,$V77&lt;&gt;"",$W77&lt;&gt;""),'Endrunde 4'!$N25,"")</f>
        <v>5</v>
      </c>
      <c r="Z77" s="35" t="str">
        <f t="shared" ca="1" si="48"/>
        <v>Maibach 1822 eVFSV Rauen</v>
      </c>
      <c r="AA77" s="13">
        <f t="shared" ca="1" si="47"/>
        <v>1</v>
      </c>
      <c r="AB77" s="13" t="str">
        <f ca="1">IF(AA77&gt;0,X77&amp;Sprache!$E$111&amp;Y77,"")</f>
        <v>1:5</v>
      </c>
      <c r="AD77" s="143"/>
      <c r="AE77" s="148">
        <f ca="1">IF($AA77=0,"",IF($X77&gt;$Y77,Einstellungen!$C$4,IF($X77=$Y77,1,0)))</f>
        <v>0</v>
      </c>
      <c r="AF77" s="143">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VFB Essenheim</v>
      </c>
      <c r="W78" s="13" t="str">
        <f ca="1">'Endrunde 4'!$K26</f>
        <v>Kickers Rodendorf</v>
      </c>
      <c r="X78" s="13">
        <f ca="1">IF(AND('Endrunde 4'!$L26&lt;&gt;"",'Endrunde 4'!$N26&lt;&gt;"",$V78&lt;&gt;$W78,$V78&lt;&gt;"",$W78&lt;&gt;""),'Endrunde 4'!$L26,"")</f>
        <v>4</v>
      </c>
      <c r="Y78" s="36">
        <f ca="1">IF(AND('Endrunde 4'!$L26&lt;&gt;"",'Endrunde 4'!$N26&lt;&gt;"",$V78&lt;&gt;$W78,$V78&lt;&gt;"",$W78&lt;&gt;""),'Endrunde 4'!$N26,"")</f>
        <v>4</v>
      </c>
      <c r="Z78" s="35" t="str">
        <f t="shared" ca="1" si="48"/>
        <v>VFB EssenheimKickers Rodendorf</v>
      </c>
      <c r="AA78" s="13">
        <f t="shared" ca="1" si="47"/>
        <v>1</v>
      </c>
      <c r="AB78" s="13" t="str">
        <f ca="1">IF(AA78&gt;0,X78&amp;Sprache!$E$111&amp;Y78,"")</f>
        <v>4:4</v>
      </c>
      <c r="AD78" s="143"/>
      <c r="AE78" s="148">
        <f ca="1">IF($AA78=0,"",IF($X78&gt;$Y78,Einstellungen!$C$4,IF($X78=$Y78,1,0)))</f>
        <v>1</v>
      </c>
      <c r="AF78" s="143">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1. FC Riedwald</v>
      </c>
      <c r="W79" s="13" t="str">
        <f ca="1">'Endrunde 4'!$K27</f>
        <v>1. FC Nürnberg</v>
      </c>
      <c r="X79" s="13">
        <f ca="1">IF(AND('Endrunde 4'!$L27&lt;&gt;"",'Endrunde 4'!$N27&lt;&gt;"",$V79&lt;&gt;$W79,$V79&lt;&gt;"",$W79&lt;&gt;""),'Endrunde 4'!$L27,"")</f>
        <v>0</v>
      </c>
      <c r="Y79" s="36">
        <f ca="1">IF(AND('Endrunde 4'!$L27&lt;&gt;"",'Endrunde 4'!$N27&lt;&gt;"",$V79&lt;&gt;$W79,$V79&lt;&gt;"",$W79&lt;&gt;""),'Endrunde 4'!$N27,"")</f>
        <v>7</v>
      </c>
      <c r="Z79" s="35" t="str">
        <f t="shared" ca="1" si="48"/>
        <v>1. FC Riedwald1. FC Nürnberg</v>
      </c>
      <c r="AA79" s="13">
        <f t="shared" ca="1" si="47"/>
        <v>1</v>
      </c>
      <c r="AB79" s="13" t="str">
        <f ca="1">IF(AA79&gt;0,X79&amp;Sprache!$E$111&amp;Y79,"")</f>
        <v>0:7</v>
      </c>
      <c r="AD79" s="143"/>
      <c r="AE79" s="148">
        <f ca="1">IF($AA79=0,"",IF($X79&gt;$Y79,Einstellungen!$C$4,IF($X79=$Y79,1,0)))</f>
        <v>0</v>
      </c>
      <c r="AF79" s="143">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Eintracht Frankfurt</v>
      </c>
      <c r="W80" s="13" t="str">
        <f ca="1">'Endrunde 4'!$K28</f>
        <v>Real Madrid</v>
      </c>
      <c r="X80" s="13">
        <f ca="1">IF(AND('Endrunde 4'!$L28&lt;&gt;"",'Endrunde 4'!$N28&lt;&gt;"",$V80&lt;&gt;$W80,$V80&lt;&gt;"",$W80&lt;&gt;""),'Endrunde 4'!$L28,"")</f>
        <v>2</v>
      </c>
      <c r="Y80" s="36">
        <f ca="1">IF(AND('Endrunde 4'!$L28&lt;&gt;"",'Endrunde 4'!$N28&lt;&gt;"",$V80&lt;&gt;$W80,$V80&lt;&gt;"",$W80&lt;&gt;""),'Endrunde 4'!$N28,"")</f>
        <v>8</v>
      </c>
      <c r="Z80" s="35" t="str">
        <f t="shared" ca="1" si="48"/>
        <v>Eintracht FrankfurtReal Madrid</v>
      </c>
      <c r="AA80" s="13">
        <f t="shared" ca="1" si="47"/>
        <v>1</v>
      </c>
      <c r="AB80" s="13" t="str">
        <f ca="1">IF(AA80&gt;0,X80&amp;Sprache!$E$111&amp;Y80,"")</f>
        <v>2:8</v>
      </c>
      <c r="AD80" s="143"/>
      <c r="AE80" s="148">
        <f ca="1">IF($AA80=0,"",IF($X80&gt;$Y80,Einstellungen!$C$4,IF($X80=$Y80,1,0)))</f>
        <v>0</v>
      </c>
      <c r="AF80" s="143">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FC Barcelona</v>
      </c>
      <c r="W81" s="13" t="str">
        <f ca="1">'Endrunde 4'!$K29</f>
        <v>Borussia Dortmund</v>
      </c>
      <c r="X81" s="13">
        <f ca="1">IF(AND('Endrunde 4'!$L29&lt;&gt;"",'Endrunde 4'!$N29&lt;&gt;"",$V81&lt;&gt;$W81,$V81&lt;&gt;"",$W81&lt;&gt;""),'Endrunde 4'!$L29,"")</f>
        <v>4</v>
      </c>
      <c r="Y81" s="36">
        <f ca="1">IF(AND('Endrunde 4'!$L29&lt;&gt;"",'Endrunde 4'!$N29&lt;&gt;"",$V81&lt;&gt;$W81,$V81&lt;&gt;"",$W81&lt;&gt;""),'Endrunde 4'!$N29,"")</f>
        <v>0</v>
      </c>
      <c r="Z81" s="35" t="str">
        <f t="shared" ca="1" si="48"/>
        <v>FC BarcelonaBorussia Dortmund</v>
      </c>
      <c r="AA81" s="13">
        <f t="shared" ca="1" si="47"/>
        <v>1</v>
      </c>
      <c r="AB81" s="13" t="str">
        <f ca="1">IF(AA81&gt;0,X81&amp;Sprache!$E$111&amp;Y81,"")</f>
        <v>4:0</v>
      </c>
      <c r="AD81" s="143"/>
      <c r="AE81" s="148">
        <f ca="1">IF($AA81=0,"",IF($X81&gt;$Y81,Einstellungen!$C$4,IF($X81=$Y81,1,0)))</f>
        <v>3</v>
      </c>
      <c r="AF81" s="143">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'Endrunde 4'!$I30</f>
        <v/>
      </c>
      <c r="W82" s="13" t="str">
        <f ca="1">'Endrunde 4'!$K30</f>
        <v/>
      </c>
      <c r="X82" s="13" t="str">
        <f ca="1">IF(AND('Endrunde 4'!$L30&lt;&gt;"",'Endrunde 4'!$N30&lt;&gt;"",$V82&lt;&gt;$W82,$V82&lt;&gt;"",$W82&lt;&gt;""),'Endrunde 4'!$L30,"")</f>
        <v/>
      </c>
      <c r="Y82" s="36" t="str">
        <f ca="1">IF(AND('Endrunde 4'!$L30&lt;&gt;"",'Endrunde 4'!$N30&lt;&gt;"",$V82&lt;&gt;$W82,$V82&lt;&gt;"",$W82&lt;&gt;""),'Endrunde 4'!$N30,"")</f>
        <v/>
      </c>
      <c r="Z82" s="35" t="str">
        <f t="shared" ca="1" si="48"/>
        <v/>
      </c>
      <c r="AA82" s="13">
        <f t="shared" ca="1" si="47"/>
        <v>0</v>
      </c>
      <c r="AB82" s="13" t="str">
        <f ca="1">IF(AA82&gt;0,X82&amp;Sprache!$E$111&amp;Y82,"")</f>
        <v/>
      </c>
      <c r="AD82" s="143"/>
      <c r="AE82" s="148" t="str">
        <f ca="1">IF($AA82=0,"",IF($X82&gt;$Y82,Einstellungen!$C$4,IF($X82=$Y82,1,0)))</f>
        <v/>
      </c>
      <c r="AF82" s="143" t="str">
        <f ca="1">IF($AA82=0,"",IF($X82&lt;$Y82,Einstellungen!$C$4,IF($X82=$Y82,1,0)))</f>
        <v/>
      </c>
    </row>
    <row r="83" spans="2:32" s="2" customFormat="1" x14ac:dyDescent="0.2">
      <c r="B83" s="4"/>
      <c r="C83" s="4"/>
      <c r="D83" s="4"/>
      <c r="E83" s="4"/>
      <c r="F83" s="13"/>
      <c r="G83" s="13"/>
      <c r="H83" s="13"/>
      <c r="I83" s="13"/>
      <c r="J83" s="13"/>
      <c r="K83" s="13"/>
      <c r="L83" s="13"/>
      <c r="M83" s="13"/>
      <c r="U83" s="67" t="s">
        <v>35</v>
      </c>
      <c r="V83" s="41" t="str">
        <f ca="1">'Endrunde 4'!$I31</f>
        <v>TSG Saalberg eV</v>
      </c>
      <c r="W83" s="13" t="str">
        <f ca="1">'Endrunde 4'!$K31</f>
        <v>SSV Wildbach</v>
      </c>
      <c r="X83" s="13">
        <f ca="1">IF(AND('Endrunde 4'!$L31&lt;&gt;"",'Endrunde 4'!$N31&lt;&gt;"",$V83&lt;&gt;$W83,$V83&lt;&gt;"",$W83&lt;&gt;""),'Endrunde 4'!$L31,"")</f>
        <v>4</v>
      </c>
      <c r="Y83" s="36">
        <f ca="1">IF(AND('Endrunde 4'!$L31&lt;&gt;"",'Endrunde 4'!$N31&lt;&gt;"",$V83&lt;&gt;$W83,$V83&lt;&gt;"",$W83&lt;&gt;""),'Endrunde 4'!$N31,"")</f>
        <v>1</v>
      </c>
      <c r="Z83" s="35" t="str">
        <f t="shared" ca="1" si="48"/>
        <v>TSG Saalberg eVSSV Wildbach</v>
      </c>
      <c r="AA83" s="13">
        <f t="shared" ca="1" si="47"/>
        <v>1</v>
      </c>
      <c r="AB83" s="13" t="str">
        <f ca="1">IF(AA83&gt;0,X83&amp;Sprache!$E$111&amp;Y83,"")</f>
        <v>4:1</v>
      </c>
      <c r="AD83" s="143"/>
      <c r="AE83" s="148">
        <f ca="1">IF($AA83=0,"",IF($X83&gt;$Y83,Einstellungen!$C$4,IF($X83=$Y83,1,0)))</f>
        <v>3</v>
      </c>
      <c r="AF83" s="143">
        <f ca="1">IF($AA83=0,"",IF($X83&lt;$Y83,Einstellungen!$C$4,IF($X83=$Y83,1,0)))</f>
        <v>0</v>
      </c>
    </row>
    <row r="84" spans="2:32" s="2" customFormat="1" x14ac:dyDescent="0.2">
      <c r="B84" s="4"/>
      <c r="C84" s="4"/>
      <c r="D84" s="4"/>
      <c r="E84" s="4"/>
      <c r="F84" s="13"/>
      <c r="G84" s="13"/>
      <c r="H84" s="13"/>
      <c r="I84" s="13"/>
      <c r="J84" s="13"/>
      <c r="K84" s="13"/>
      <c r="L84" s="13"/>
      <c r="M84" s="13"/>
      <c r="U84" s="67" t="s">
        <v>36</v>
      </c>
      <c r="V84" s="41" t="str">
        <f ca="1">'Endrunde 4'!$I32</f>
        <v>SV Oberredenburg</v>
      </c>
      <c r="W84" s="13" t="str">
        <f ca="1">'Endrunde 4'!$K32</f>
        <v>FC Grönlingen</v>
      </c>
      <c r="X84" s="13">
        <f ca="1">IF(AND('Endrunde 4'!$L32&lt;&gt;"",'Endrunde 4'!$N32&lt;&gt;"",$V84&lt;&gt;$W84,$V84&lt;&gt;"",$W84&lt;&gt;""),'Endrunde 4'!$L32,"")</f>
        <v>3</v>
      </c>
      <c r="Y84" s="36">
        <f ca="1">IF(AND('Endrunde 4'!$L32&lt;&gt;"",'Endrunde 4'!$N32&lt;&gt;"",$V84&lt;&gt;$W84,$V84&lt;&gt;"",$W84&lt;&gt;""),'Endrunde 4'!$N32,"")</f>
        <v>2</v>
      </c>
      <c r="Z84" s="35" t="str">
        <f t="shared" ca="1" si="48"/>
        <v>SV OberredenburgFC Grönlingen</v>
      </c>
      <c r="AA84" s="13">
        <f t="shared" ca="1" si="47"/>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'Endrunde 4'!$I33</f>
        <v>HSV</v>
      </c>
      <c r="W85" s="13" t="str">
        <f ca="1">'Endrunde 4'!$K33</f>
        <v>Mainz 05</v>
      </c>
      <c r="X85" s="13">
        <f ca="1">IF(AND('Endrunde 4'!$L33&lt;&gt;"",'Endrunde 4'!$N33&lt;&gt;"",$V85&lt;&gt;$W85,$V85&lt;&gt;"",$W85&lt;&gt;""),'Endrunde 4'!$L33,"")</f>
        <v>0</v>
      </c>
      <c r="Y85" s="36">
        <f ca="1">IF(AND('Endrunde 4'!$L33&lt;&gt;"",'Endrunde 4'!$N33&lt;&gt;"",$V85&lt;&gt;$W85,$V85&lt;&gt;"",$W85&lt;&gt;""),'Endrunde 4'!$N33,"")</f>
        <v>3</v>
      </c>
      <c r="Z85" s="35" t="str">
        <f t="shared" ca="1" si="48"/>
        <v>HSVMainz 05</v>
      </c>
      <c r="AA85" s="13">
        <f t="shared" ca="1" si="47"/>
        <v>1</v>
      </c>
      <c r="AB85" s="13" t="str">
        <f ca="1">IF(AA85&gt;0,X85&amp;Sprache!$E$111&amp;Y85,"")</f>
        <v>0:3</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RB Leipzig</v>
      </c>
      <c r="W86" s="13" t="str">
        <f ca="1">'Endrunde 4'!$K34</f>
        <v>Inter Mailand</v>
      </c>
      <c r="X86" s="13">
        <f ca="1">IF(AND('Endrunde 4'!$L34&lt;&gt;"",'Endrunde 4'!$N34&lt;&gt;"",$V86&lt;&gt;$W86,$V86&lt;&gt;"",$W86&lt;&gt;""),'Endrunde 4'!$L34,"")</f>
        <v>1</v>
      </c>
      <c r="Y86" s="36">
        <f ca="1">IF(AND('Endrunde 4'!$L34&lt;&gt;"",'Endrunde 4'!$N34&lt;&gt;"",$V86&lt;&gt;$W86,$V86&lt;&gt;"",$W86&lt;&gt;""),'Endrunde 4'!$N34,"")</f>
        <v>1</v>
      </c>
      <c r="Z86" s="35" t="str">
        <f t="shared" ca="1" si="48"/>
        <v>RB LeipzigInter Mailand</v>
      </c>
      <c r="AA86" s="13">
        <f t="shared" ca="1" si="47"/>
        <v>1</v>
      </c>
      <c r="AB86" s="13" t="str">
        <f ca="1">IF(AA86&gt;0,X86&amp;Sprache!$E$111&amp;Y86,"")</f>
        <v>1:1</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'Endrunde 4'!$I35</f>
        <v>Paris St. Germain</v>
      </c>
      <c r="W87" s="13" t="str">
        <f ca="1">'Endrunde 4'!$K35</f>
        <v>Manchester City</v>
      </c>
      <c r="X87" s="13">
        <f ca="1">IF(AND('Endrunde 4'!$L35&lt;&gt;"",'Endrunde 4'!$N35&lt;&gt;"",$V87&lt;&gt;$W87,$V87&lt;&gt;"",$W87&lt;&gt;""),'Endrunde 4'!$L35,"")</f>
        <v>3</v>
      </c>
      <c r="Y87" s="36">
        <f ca="1">IF(AND('Endrunde 4'!$L35&lt;&gt;"",'Endrunde 4'!$N35&lt;&gt;"",$V87&lt;&gt;$W87,$V87&lt;&gt;"",$W87&lt;&gt;""),'Endrunde 4'!$N35,"")</f>
        <v>2</v>
      </c>
      <c r="Z87" s="35" t="str">
        <f t="shared" ca="1" si="48"/>
        <v>Paris St. GermainManchester City</v>
      </c>
      <c r="AA87" s="13">
        <f t="shared" ca="1" si="47"/>
        <v>1</v>
      </c>
      <c r="AB87" s="13" t="str">
        <f ca="1">IF(AA87&gt;0,X87&amp;Sprache!$E$111&amp;Y87,"")</f>
        <v>3:2</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'Endrunde 4'!$I36</f>
        <v/>
      </c>
      <c r="W88" s="13" t="str">
        <f ca="1">'Endrunde 4'!$K36</f>
        <v/>
      </c>
      <c r="X88" s="13" t="str">
        <f ca="1">IF(AND('Endrunde 4'!$L36&lt;&gt;"",'Endrunde 4'!$N36&lt;&gt;"",$V88&lt;&gt;$W88,$V88&lt;&gt;"",$W88&lt;&gt;""),'Endrunde 4'!$L36,"")</f>
        <v/>
      </c>
      <c r="Y88" s="36" t="str">
        <f ca="1">IF(AND('Endrunde 4'!$L36&lt;&gt;"",'Endrunde 4'!$N36&lt;&gt;"",$V88&lt;&gt;$W88,$V88&lt;&gt;"",$W88&lt;&gt;""),'Endrunde 4'!$N36,"")</f>
        <v/>
      </c>
      <c r="Z88" s="35" t="str">
        <f t="shared" ca="1" si="48"/>
        <v/>
      </c>
      <c r="AA88" s="13">
        <f t="shared" ca="1" si="47"/>
        <v>0</v>
      </c>
      <c r="AB88" s="13" t="str">
        <f ca="1">IF(AA88&gt;0,X88&amp;Sprache!$E$111&amp;Y88,"")</f>
        <v/>
      </c>
      <c r="AD88" s="143"/>
      <c r="AE88" s="148" t="str">
        <f ca="1">IF($AA88=0,"",IF($X88&gt;$Y88,Einstellungen!$C$4,IF($X88=$Y88,1,0)))</f>
        <v/>
      </c>
      <c r="AF88" s="143"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'Endrunde 4'!$I37</f>
        <v>TSG Saalberg eV</v>
      </c>
      <c r="W89" s="13" t="str">
        <f ca="1">'Endrunde 4'!$K37</f>
        <v>Maibach 1822 eV</v>
      </c>
      <c r="X89" s="13">
        <f ca="1">IF(AND('Endrunde 4'!$L37&lt;&gt;"",'Endrunde 4'!$N37&lt;&gt;"",$V89&lt;&gt;$W89,$V89&lt;&gt;"",$W89&lt;&gt;""),'Endrunde 4'!$L37,"")</f>
        <v>2</v>
      </c>
      <c r="Y89" s="36">
        <f ca="1">IF(AND('Endrunde 4'!$L37&lt;&gt;"",'Endrunde 4'!$N37&lt;&gt;"",$V89&lt;&gt;$W89,$V89&lt;&gt;"",$W89&lt;&gt;""),'Endrunde 4'!$N37,"")</f>
        <v>0</v>
      </c>
      <c r="Z89" s="35" t="str">
        <f t="shared" ca="1" si="48"/>
        <v>TSG Saalberg eVMaibach 1822 eV</v>
      </c>
      <c r="AA89" s="13">
        <f t="shared" ca="1" si="47"/>
        <v>1</v>
      </c>
      <c r="AB89" s="13" t="str">
        <f ca="1">IF(AA89&gt;0,X89&amp;Sprache!$E$111&amp;Y89,"")</f>
        <v>2:0</v>
      </c>
      <c r="AD89" s="143"/>
      <c r="AE89" s="148">
        <f ca="1">IF($AA89=0,"",IF($X89&gt;$Y89,Einstellungen!$C$4,IF($X89=$Y89,1,0)))</f>
        <v>3</v>
      </c>
      <c r="AF89" s="143">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'Endrunde 4'!$I38</f>
        <v>SV Oberredenburg</v>
      </c>
      <c r="W90" s="13" t="str">
        <f ca="1">'Endrunde 4'!$K38</f>
        <v>VFB Essenheim</v>
      </c>
      <c r="X90" s="13">
        <f ca="1">IF(AND('Endrunde 4'!$L38&lt;&gt;"",'Endrunde 4'!$N38&lt;&gt;"",$V90&lt;&gt;$W90,$V90&lt;&gt;"",$W90&lt;&gt;""),'Endrunde 4'!$L38,"")</f>
        <v>1</v>
      </c>
      <c r="Y90" s="36">
        <f ca="1">IF(AND('Endrunde 4'!$L38&lt;&gt;"",'Endrunde 4'!$N38&lt;&gt;"",$V90&lt;&gt;$W90,$V90&lt;&gt;"",$W90&lt;&gt;""),'Endrunde 4'!$N38,"")</f>
        <v>0</v>
      </c>
      <c r="Z90" s="35" t="str">
        <f t="shared" ca="1" si="48"/>
        <v>SV OberredenburgVFB Essenheim</v>
      </c>
      <c r="AA90" s="13">
        <f t="shared" ca="1" si="47"/>
        <v>1</v>
      </c>
      <c r="AB90" s="13" t="str">
        <f ca="1">IF(AA90&gt;0,X90&amp;Sprache!$E$111&amp;Y90,"")</f>
        <v>1:0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'Endrunde 4'!$I39</f>
        <v>HSV</v>
      </c>
      <c r="W91" s="13" t="str">
        <f ca="1">'Endrunde 4'!$K39</f>
        <v>1. FC Riedwald</v>
      </c>
      <c r="X91" s="13">
        <f ca="1">IF(AND('Endrunde 4'!$L39&lt;&gt;"",'Endrunde 4'!$N39&lt;&gt;"",$V91&lt;&gt;$W91,$V91&lt;&gt;"",$W91&lt;&gt;""),'Endrunde 4'!$L39,"")</f>
        <v>2</v>
      </c>
      <c r="Y91" s="36">
        <f ca="1">IF(AND('Endrunde 4'!$L39&lt;&gt;"",'Endrunde 4'!$N39&lt;&gt;"",$V91&lt;&gt;$W91,$V91&lt;&gt;"",$W91&lt;&gt;""),'Endrunde 4'!$N39,"")</f>
        <v>0</v>
      </c>
      <c r="Z91" s="35" t="str">
        <f t="shared" ca="1" si="48"/>
        <v>HSV1. FC Riedwald</v>
      </c>
      <c r="AA91" s="13">
        <f t="shared" ca="1" si="47"/>
        <v>1</v>
      </c>
      <c r="AB91" s="13" t="str">
        <f ca="1">IF(AA91&gt;0,X91&amp;Sprache!$E$111&amp;Y91,"")</f>
        <v>2:0</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'Endrunde 4'!$I40</f>
        <v>RB Leipzig</v>
      </c>
      <c r="W92" s="13" t="str">
        <f ca="1">'Endrunde 4'!$K40</f>
        <v>Eintracht Frankfurt</v>
      </c>
      <c r="X92" s="13">
        <f ca="1">IF(AND('Endrunde 4'!$L40&lt;&gt;"",'Endrunde 4'!$N40&lt;&gt;"",$V92&lt;&gt;$W92,$V92&lt;&gt;"",$W92&lt;&gt;""),'Endrunde 4'!$L40,"")</f>
        <v>1</v>
      </c>
      <c r="Y92" s="36">
        <f ca="1">IF(AND('Endrunde 4'!$L40&lt;&gt;"",'Endrunde 4'!$N40&lt;&gt;"",$V92&lt;&gt;$W92,$V92&lt;&gt;"",$W92&lt;&gt;""),'Endrunde 4'!$N40,"")</f>
        <v>1</v>
      </c>
      <c r="Z92" s="35" t="str">
        <f t="shared" ca="1" si="48"/>
        <v>RB LeipzigEintracht Frankfurt</v>
      </c>
      <c r="AA92" s="13">
        <f t="shared" ca="1" si="47"/>
        <v>1</v>
      </c>
      <c r="AB92" s="13" t="str">
        <f ca="1">IF(AA92&gt;0,X92&amp;Sprache!$E$111&amp;Y92,"")</f>
        <v>1:1</v>
      </c>
      <c r="AD92" s="143"/>
      <c r="AE92" s="148">
        <f ca="1">IF($AA92=0,"",IF($X92&gt;$Y92,Einstellungen!$C$4,IF($X92=$Y92,1,0)))</f>
        <v>1</v>
      </c>
      <c r="AF92" s="143">
        <f ca="1">IF($AA92=0,"",IF($X92&lt;$Y92,Einstellungen!$C$4,IF($X92=$Y92,1,0)))</f>
        <v>1</v>
      </c>
    </row>
    <row r="93" spans="2:32" s="2" customFormat="1" x14ac:dyDescent="0.2">
      <c r="B93" s="4"/>
      <c r="C93" s="4"/>
      <c r="D93" s="4"/>
      <c r="E93" s="4"/>
      <c r="F93" s="13"/>
      <c r="G93" s="13"/>
      <c r="H93" s="13"/>
      <c r="I93" s="13"/>
      <c r="J93" s="13"/>
      <c r="K93" s="13"/>
      <c r="L93" s="13"/>
      <c r="M93" s="13"/>
      <c r="U93" s="67" t="s">
        <v>45</v>
      </c>
      <c r="V93" s="41" t="str">
        <f ca="1">'Endrunde 4'!$I41</f>
        <v>Paris St. Germain</v>
      </c>
      <c r="W93" s="13" t="str">
        <f ca="1">'Endrunde 4'!$K41</f>
        <v>FC Barcelona</v>
      </c>
      <c r="X93" s="13">
        <f ca="1">IF(AND('Endrunde 4'!$L41&lt;&gt;"",'Endrunde 4'!$N41&lt;&gt;"",$V93&lt;&gt;$W93,$V93&lt;&gt;"",$W93&lt;&gt;""),'Endrunde 4'!$L41,"")</f>
        <v>1</v>
      </c>
      <c r="Y93" s="36">
        <f ca="1">IF(AND('Endrunde 4'!$L41&lt;&gt;"",'Endrunde 4'!$N41&lt;&gt;"",$V93&lt;&gt;$W93,$V93&lt;&gt;"",$W93&lt;&gt;""),'Endrunde 4'!$N41,"")</f>
        <v>2</v>
      </c>
      <c r="Z93" s="35" t="str">
        <f t="shared" ca="1" si="48"/>
        <v>Paris St. GermainFC Barcelona</v>
      </c>
      <c r="AA93" s="13">
        <f t="shared" ca="1" si="47"/>
        <v>1</v>
      </c>
      <c r="AB93" s="13" t="str">
        <f ca="1">IF(AA93&gt;0,X93&amp;Sprache!$E$111&amp;Y93,"")</f>
        <v>1:2</v>
      </c>
      <c r="AD93" s="143"/>
      <c r="AE93" s="148">
        <f ca="1">IF($AA93=0,"",IF($X93&gt;$Y93,Einstellungen!$C$4,IF($X93=$Y93,1,0)))</f>
        <v>0</v>
      </c>
      <c r="AF93" s="143">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'Endrunde 4'!$I42</f>
        <v/>
      </c>
      <c r="W94" s="13" t="str">
        <f ca="1">'Endrunde 4'!$K42</f>
        <v/>
      </c>
      <c r="X94" s="13" t="str">
        <f ca="1">IF(AND('Endrunde 4'!$L42&lt;&gt;"",'Endrunde 4'!$N42&lt;&gt;"",$V94&lt;&gt;$W94,$V94&lt;&gt;"",$W94&lt;&gt;""),'Endrunde 4'!$L42,"")</f>
        <v/>
      </c>
      <c r="Y94" s="36" t="str">
        <f ca="1">IF(AND('Endrunde 4'!$L42&lt;&gt;"",'Endrunde 4'!$N42&lt;&gt;"",$V94&lt;&gt;$W94,$V94&lt;&gt;"",$W94&lt;&gt;""),'Endrunde 4'!$N42,"")</f>
        <v/>
      </c>
      <c r="Z94" s="35" t="str">
        <f t="shared" ca="1" si="48"/>
        <v/>
      </c>
      <c r="AA94" s="13">
        <f t="shared" ca="1" si="47"/>
        <v>0</v>
      </c>
      <c r="AB94" s="13" t="str">
        <f ca="1">IF(AA94&gt;0,X94&amp;Sprache!$E$111&amp;Y94,"")</f>
        <v/>
      </c>
      <c r="AD94" s="143"/>
      <c r="AE94" s="148" t="str">
        <f ca="1">IF($AA94=0,"",IF($X94&gt;$Y94,Einstellungen!$C$4,IF($X94=$Y94,1,0)))</f>
        <v/>
      </c>
      <c r="AF94" s="143"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'Endrunde 4'!$I43</f>
        <v>SSV Wildbach</v>
      </c>
      <c r="W95" s="13" t="str">
        <f ca="1">'Endrunde 4'!$K43</f>
        <v>FSV Rauen</v>
      </c>
      <c r="X95" s="13">
        <f ca="1">IF(AND('Endrunde 4'!$L43&lt;&gt;"",'Endrunde 4'!$N43&lt;&gt;"",$V95&lt;&gt;$W95,$V95&lt;&gt;"",$W95&lt;&gt;""),'Endrunde 4'!$L43,"")</f>
        <v>3</v>
      </c>
      <c r="Y95" s="36">
        <f ca="1">IF(AND('Endrunde 4'!$L43&lt;&gt;"",'Endrunde 4'!$N43&lt;&gt;"",$V95&lt;&gt;$W95,$V95&lt;&gt;"",$W95&lt;&gt;""),'Endrunde 4'!$N43,"")</f>
        <v>1</v>
      </c>
      <c r="Z95" s="35" t="str">
        <f t="shared" ca="1" si="48"/>
        <v>SSV WildbachFSV Rauen</v>
      </c>
      <c r="AA95" s="13">
        <f t="shared" ca="1" si="47"/>
        <v>1</v>
      </c>
      <c r="AB95" s="13" t="str">
        <f ca="1">IF(AA95&gt;0,X95&amp;Sprache!$E$111&amp;Y95,"")</f>
        <v>3:1</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'Endrunde 4'!$I44</f>
        <v>FC Grönlingen</v>
      </c>
      <c r="W96" s="13" t="str">
        <f ca="1">'Endrunde 4'!$K44</f>
        <v>Kickers Rodendorf</v>
      </c>
      <c r="X96" s="13">
        <f ca="1">IF(AND('Endrunde 4'!$L44&lt;&gt;"",'Endrunde 4'!$N44&lt;&gt;"",$V96&lt;&gt;$W96,$V96&lt;&gt;"",$W96&lt;&gt;""),'Endrunde 4'!$L44,"")</f>
        <v>4</v>
      </c>
      <c r="Y96" s="36">
        <f ca="1">IF(AND('Endrunde 4'!$L44&lt;&gt;"",'Endrunde 4'!$N44&lt;&gt;"",$V96&lt;&gt;$W96,$V96&lt;&gt;"",$W96&lt;&gt;""),'Endrunde 4'!$N44,"")</f>
        <v>3</v>
      </c>
      <c r="Z96" s="35" t="str">
        <f t="shared" ca="1" si="48"/>
        <v>FC GrönlingenKickers Rodendorf</v>
      </c>
      <c r="AA96" s="13">
        <f t="shared" ca="1" si="47"/>
        <v>1</v>
      </c>
      <c r="AB96" s="13" t="str">
        <f ca="1">IF(AA96&gt;0,X96&amp;Sprache!$E$111&amp;Y96,"")</f>
        <v>4:3</v>
      </c>
      <c r="AD96" s="143"/>
      <c r="AE96" s="148">
        <f ca="1">IF($AA96=0,"",IF($X96&gt;$Y96,Einstellungen!$C$4,IF($X96=$Y96,1,0)))</f>
        <v>3</v>
      </c>
      <c r="AF96" s="143">
        <f ca="1">IF($AA96=0,"",IF($X96&lt;$Y96,Einstellungen!$C$4,IF($X96=$Y96,1,0)))</f>
        <v>0</v>
      </c>
    </row>
    <row r="97" spans="2:32" s="2" customFormat="1" x14ac:dyDescent="0.2">
      <c r="B97" s="4"/>
      <c r="C97" s="4"/>
      <c r="D97" s="4"/>
      <c r="E97" s="4"/>
      <c r="F97" s="13"/>
      <c r="G97" s="13"/>
      <c r="H97" s="13"/>
      <c r="I97" s="13"/>
      <c r="J97" s="13"/>
      <c r="K97" s="13"/>
      <c r="L97" s="13"/>
      <c r="M97" s="13"/>
      <c r="U97" s="67" t="s">
        <v>49</v>
      </c>
      <c r="V97" s="41" t="str">
        <f ca="1">'Endrunde 4'!$I45</f>
        <v>Mainz 05</v>
      </c>
      <c r="W97" s="13" t="str">
        <f ca="1">'Endrunde 4'!$K45</f>
        <v>1. FC Nürnberg</v>
      </c>
      <c r="X97" s="13">
        <f ca="1">IF(AND('Endrunde 4'!$L45&lt;&gt;"",'Endrunde 4'!$N45&lt;&gt;"",$V97&lt;&gt;$W97,$V97&lt;&gt;"",$W97&lt;&gt;""),'Endrunde 4'!$L45,"")</f>
        <v>1</v>
      </c>
      <c r="Y97" s="36">
        <f ca="1">IF(AND('Endrunde 4'!$L45&lt;&gt;"",'Endrunde 4'!$N45&lt;&gt;"",$V97&lt;&gt;$W97,$V97&lt;&gt;"",$W97&lt;&gt;""),'Endrunde 4'!$N45,"")</f>
        <v>1</v>
      </c>
      <c r="Z97" s="35" t="str">
        <f t="shared" ca="1" si="48"/>
        <v>Mainz 051. FC Nürnberg</v>
      </c>
      <c r="AA97" s="13">
        <f t="shared" ca="1" si="47"/>
        <v>1</v>
      </c>
      <c r="AB97" s="13" t="str">
        <f ca="1">IF(AA97&gt;0,X97&amp;Sprache!$E$111&amp;Y97,"")</f>
        <v>1:1</v>
      </c>
      <c r="AD97" s="143"/>
      <c r="AE97" s="148">
        <f ca="1">IF($AA97=0,"",IF($X97&gt;$Y97,Einstellungen!$C$4,IF($X97=$Y97,1,0)))</f>
        <v>1</v>
      </c>
      <c r="AF97" s="143">
        <f ca="1">IF($AA97=0,"",IF($X97&lt;$Y97,Einstellungen!$C$4,IF($X97=$Y97,1,0)))</f>
        <v>1</v>
      </c>
    </row>
    <row r="98" spans="2:32" s="2" customFormat="1" x14ac:dyDescent="0.2">
      <c r="B98" s="4"/>
      <c r="C98" s="4"/>
      <c r="D98" s="4"/>
      <c r="E98" s="4"/>
      <c r="F98" s="13"/>
      <c r="G98" s="13"/>
      <c r="H98" s="13"/>
      <c r="I98" s="13"/>
      <c r="J98" s="13"/>
      <c r="K98" s="13"/>
      <c r="L98" s="13"/>
      <c r="M98" s="13"/>
      <c r="U98" s="67" t="s">
        <v>50</v>
      </c>
      <c r="V98" s="41" t="str">
        <f ca="1">'Endrunde 4'!$I46</f>
        <v>Inter Mailand</v>
      </c>
      <c r="W98" s="13" t="str">
        <f ca="1">'Endrunde 4'!$K46</f>
        <v>Real Madrid</v>
      </c>
      <c r="X98" s="13">
        <f ca="1">IF(AND('Endrunde 4'!$L46&lt;&gt;"",'Endrunde 4'!$N46&lt;&gt;"",$V98&lt;&gt;$W98,$V98&lt;&gt;"",$W98&lt;&gt;""),'Endrunde 4'!$L46,"")</f>
        <v>1</v>
      </c>
      <c r="Y98" s="36">
        <f ca="1">IF(AND('Endrunde 4'!$L46&lt;&gt;"",'Endrunde 4'!$N46&lt;&gt;"",$V98&lt;&gt;$W98,$V98&lt;&gt;"",$W98&lt;&gt;""),'Endrunde 4'!$N46,"")</f>
        <v>4</v>
      </c>
      <c r="Z98" s="35" t="str">
        <f t="shared" ca="1" si="48"/>
        <v>Inter MailandReal Madrid</v>
      </c>
      <c r="AA98" s="13">
        <f t="shared" ca="1" si="47"/>
        <v>1</v>
      </c>
      <c r="AB98" s="13" t="str">
        <f ca="1">IF(AA98&gt;0,X98&amp;Sprache!$E$111&amp;Y98,"")</f>
        <v>1:4</v>
      </c>
      <c r="AD98" s="143"/>
      <c r="AE98" s="148">
        <f ca="1">IF($AA98=0,"",IF($X98&gt;$Y98,Einstellungen!$C$4,IF($X98=$Y98,1,0)))</f>
        <v>0</v>
      </c>
      <c r="AF98" s="143">
        <f ca="1">IF($AA98=0,"",IF($X98&lt;$Y98,Einstellungen!$C$4,IF($X98=$Y98,1,0)))</f>
        <v>3</v>
      </c>
    </row>
    <row r="99" spans="2:32" s="2" customFormat="1" ht="12.75" thickBot="1" x14ac:dyDescent="0.25">
      <c r="B99" s="4"/>
      <c r="C99" s="4"/>
      <c r="D99" s="4"/>
      <c r="E99" s="4"/>
      <c r="F99" s="13"/>
      <c r="G99" s="13"/>
      <c r="H99" s="13"/>
      <c r="I99" s="13"/>
      <c r="J99" s="13"/>
      <c r="K99" s="13"/>
      <c r="L99" s="13"/>
      <c r="M99" s="13"/>
      <c r="U99" s="67" t="s">
        <v>51</v>
      </c>
      <c r="V99" s="41" t="str">
        <f ca="1">'Endrunde 4'!$I47</f>
        <v>Manchester City</v>
      </c>
      <c r="W99" s="13" t="str">
        <f ca="1">'Endrunde 4'!$K47</f>
        <v>Borussia Dortmund</v>
      </c>
      <c r="X99" s="13">
        <f ca="1">IF(AND('Endrunde 4'!$L47&lt;&gt;"",'Endrunde 4'!$N47&lt;&gt;"",$V99&lt;&gt;$W99,$V99&lt;&gt;"",$W99&lt;&gt;""),'Endrunde 4'!$L47,"")</f>
        <v>2</v>
      </c>
      <c r="Y99" s="36">
        <f ca="1">IF(AND('Endrunde 4'!$L47&lt;&gt;"",'Endrunde 4'!$N47&lt;&gt;"",$V99&lt;&gt;$W99,$V99&lt;&gt;"",$W99&lt;&gt;""),'Endrunde 4'!$N47,"")</f>
        <v>2</v>
      </c>
      <c r="Z99" s="35" t="str">
        <f t="shared" ca="1" si="48"/>
        <v>Manchester CityBorussia Dortmund</v>
      </c>
      <c r="AA99" s="13">
        <f t="shared" ca="1" si="47"/>
        <v>1</v>
      </c>
      <c r="AB99" s="13" t="str">
        <f ca="1">IF(AA99&gt;0,X99&amp;Sprache!$E$111&amp;Y99,"")</f>
        <v>2:2</v>
      </c>
      <c r="AD99" s="143"/>
      <c r="AE99" s="148">
        <f ca="1">IF($AA99=0,"",IF($X99&gt;$Y99,Einstellungen!$C$4,IF($X99=$Y99,1,0)))</f>
        <v>1</v>
      </c>
      <c r="AF99" s="143">
        <f ca="1">IF($AA99=0,"",IF($X99&lt;$Y99,Einstellungen!$C$4,IF($X99=$Y99,1,0)))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8"/>
        <v/>
      </c>
      <c r="AA100" s="293">
        <f t="shared" si="47"/>
        <v>0</v>
      </c>
      <c r="AB100" s="293" t="str">
        <f>IF(AA100&gt;0,X100&amp;Sprache!$E$111&amp;Y100,"")</f>
        <v/>
      </c>
      <c r="AC100" s="296"/>
      <c r="AD100" s="297"/>
      <c r="AE100" s="298" t="str">
        <f>IF($AA100=0,"",IF($X100&gt;$Y100,Einstellungen!$C$4,IF($X100=$Y100,1,0)))</f>
        <v/>
      </c>
      <c r="AF100" s="297"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8"/>
        <v/>
      </c>
      <c r="AA101" s="13">
        <f t="shared" si="47"/>
        <v>0</v>
      </c>
      <c r="AB101" s="13" t="str">
        <f>IF(AA101&gt;0,X101&amp;Sprache!$E$111&amp;Y101,"")</f>
        <v/>
      </c>
      <c r="AD101" s="143"/>
      <c r="AE101" s="148" t="str">
        <f>IF($AA101=0,"",IF($X101&gt;$Y101,Einstellungen!$C$4,IF($X101=$Y101,1,0)))</f>
        <v/>
      </c>
      <c r="AF101" s="143"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8"/>
        <v/>
      </c>
      <c r="AA102" s="13">
        <f t="shared" si="47"/>
        <v>0</v>
      </c>
      <c r="AB102" s="13" t="str">
        <f>IF(AA102&gt;0,X102&amp;Sprache!$E$111&amp;Y102,"")</f>
        <v/>
      </c>
      <c r="AD102" s="143"/>
      <c r="AE102" s="148" t="str">
        <f>IF($AA102=0,"",IF($X102&gt;$Y102,Einstellungen!$C$4,IF($X102=$Y102,1,0)))</f>
        <v/>
      </c>
      <c r="AF102" s="143"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8"/>
        <v/>
      </c>
      <c r="AA103" s="13">
        <f t="shared" si="47"/>
        <v>0</v>
      </c>
      <c r="AB103" s="13" t="str">
        <f>IF(AA103&gt;0,X103&amp;Sprache!$E$111&amp;Y103,"")</f>
        <v/>
      </c>
      <c r="AD103" s="143"/>
      <c r="AE103" s="148" t="str">
        <f>IF($AA103=0,"",IF($X103&gt;$Y103,Einstellungen!$C$4,IF($X103=$Y103,1,0)))</f>
        <v/>
      </c>
      <c r="AF103" s="143"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8"/>
        <v/>
      </c>
      <c r="AA104" s="13">
        <f t="shared" si="47"/>
        <v>0</v>
      </c>
      <c r="AB104" s="13" t="str">
        <f>IF(AA104&gt;0,X104&amp;Sprache!$E$111&amp;Y104,"")</f>
        <v/>
      </c>
      <c r="AD104" s="143"/>
      <c r="AE104" s="148" t="str">
        <f>IF($AA104=0,"",IF($X104&gt;$Y104,Einstellungen!$C$4,IF($X104=$Y104,1,0)))</f>
        <v/>
      </c>
      <c r="AF104" s="143"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8"/>
        <v/>
      </c>
      <c r="AA105" s="13">
        <f t="shared" si="47"/>
        <v>0</v>
      </c>
      <c r="AB105" s="13" t="str">
        <f>IF(AA105&gt;0,X105&amp;Sprache!$E$111&amp;Y105,"")</f>
        <v/>
      </c>
      <c r="AD105" s="143"/>
      <c r="AE105" s="148" t="str">
        <f>IF($AA105=0,"",IF($X105&gt;$Y105,Einstellungen!$C$4,IF($X105=$Y105,1,0)))</f>
        <v/>
      </c>
      <c r="AF105" s="143"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8"/>
        <v/>
      </c>
      <c r="AA106" s="13">
        <f t="shared" si="47"/>
        <v>0</v>
      </c>
      <c r="AB106" s="13" t="str">
        <f>IF(AA106&gt;0,X106&amp;Sprache!$E$111&amp;Y106,"")</f>
        <v/>
      </c>
      <c r="AD106" s="143"/>
      <c r="AE106" s="148" t="str">
        <f>IF($AA106=0,"",IF($X106&gt;$Y106,Einstellungen!$C$4,IF($X106=$Y106,1,0)))</f>
        <v/>
      </c>
      <c r="AF106" s="143"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8"/>
        <v/>
      </c>
      <c r="AA107" s="13">
        <f t="shared" si="47"/>
        <v>0</v>
      </c>
      <c r="AB107" s="13" t="str">
        <f>IF(AA107&gt;0,X107&amp;Sprache!$E$111&amp;Y107,"")</f>
        <v/>
      </c>
      <c r="AD107" s="143"/>
      <c r="AE107" s="148" t="str">
        <f>IF($AA107=0,"",IF($X107&gt;$Y107,Einstellungen!$C$4,IF($X107=$Y107,1,0)))</f>
        <v/>
      </c>
      <c r="AF107" s="143"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8"/>
        <v/>
      </c>
      <c r="AA108" s="13">
        <f t="shared" si="47"/>
        <v>0</v>
      </c>
      <c r="AB108" s="13" t="str">
        <f>IF(AA108&gt;0,X108&amp;Sprache!$E$111&amp;Y108,"")</f>
        <v/>
      </c>
      <c r="AD108" s="143"/>
      <c r="AE108" s="148" t="str">
        <f>IF($AA108=0,"",IF($X108&gt;$Y108,Einstellungen!$C$4,IF($X108=$Y108,1,0)))</f>
        <v/>
      </c>
      <c r="AF108" s="143"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3"/>
      <c r="AE109" s="148" t="str">
        <f>IF($AA109=0,"",IF($X109&gt;$Y109,Einstellungen!$C$4,IF($X109=$Y109,1,0)))</f>
        <v/>
      </c>
      <c r="AF109" s="143"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3"/>
      <c r="AE110" s="148" t="str">
        <f>IF($AA110=0,"",IF($X110&gt;$Y110,Einstellungen!$C$4,IF($X110=$Y110,1,0)))</f>
        <v/>
      </c>
      <c r="AF110" s="143"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3"/>
      <c r="AE111" s="148" t="str">
        <f>IF($AA111=0,"",IF($X111&gt;$Y111,Einstellungen!$C$4,IF($X111=$Y111,1,0)))</f>
        <v/>
      </c>
      <c r="AF111" s="143"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3"/>
      <c r="AE112" s="148" t="str">
        <f>IF($AA112=0,"",IF($X112&gt;$Y112,Einstellungen!$C$4,IF($X112=$Y112,1,0)))</f>
        <v/>
      </c>
      <c r="AF112" s="143"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3"/>
      <c r="AE113" s="148" t="str">
        <f>IF($AA113=0,"",IF($X113&gt;$Y113,Einstellungen!$C$4,IF($X113=$Y113,1,0)))</f>
        <v/>
      </c>
      <c r="AF113" s="143"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3"/>
      <c r="AE114" s="148" t="str">
        <f>IF($AA114=0,"",IF($X114&gt;$Y114,Einstellungen!$C$4,IF($X114=$Y114,1,0)))</f>
        <v/>
      </c>
      <c r="AF114" s="143"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3"/>
      <c r="AE115" s="148" t="str">
        <f>IF($AA115=0,"",IF($X115&gt;$Y115,Einstellungen!$C$4,IF($X115=$Y115,1,0)))</f>
        <v/>
      </c>
      <c r="AF115" s="143"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3"/>
      <c r="AE116" s="148" t="str">
        <f>IF($AA116=0,"",IF($X116&gt;$Y116,Einstellungen!$C$4,IF($X116=$Y116,1,0)))</f>
        <v/>
      </c>
      <c r="AF116" s="143"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3"/>
      <c r="AE117" s="148" t="str">
        <f>IF($AA117=0,"",IF($X117&gt;$Y117,Einstellungen!$C$4,IF($X117=$Y117,1,0)))</f>
        <v/>
      </c>
      <c r="AF117" s="143"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3"/>
      <c r="AE118" s="148" t="str">
        <f>IF($AA118=0,"",IF($X118&gt;$Y118,Einstellungen!$C$4,IF($X118=$Y118,1,0)))</f>
        <v/>
      </c>
      <c r="AF118" s="143"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3"/>
      <c r="AE119" s="148" t="str">
        <f>IF($AA119=0,"",IF($X119&gt;$Y119,Einstellungen!$C$4,IF($X119=$Y119,1,0)))</f>
        <v/>
      </c>
      <c r="AF119" s="143"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3"/>
      <c r="AE120" s="148" t="str">
        <f>IF($AA120=0,"",IF($X120&gt;$Y120,Einstellungen!$C$4,IF($X120=$Y120,1,0)))</f>
        <v/>
      </c>
      <c r="AF120" s="143"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3"/>
      <c r="AE121" s="148" t="str">
        <f>IF($AA121=0,"",IF($X121&gt;$Y121,Einstellungen!$C$4,IF($X121=$Y121,1,0)))</f>
        <v/>
      </c>
      <c r="AF121" s="143"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3"/>
      <c r="AE122" s="148" t="str">
        <f>IF($AA122=0,"",IF($X122&gt;$Y122,Einstellungen!$C$4,IF($X122=$Y122,1,0)))</f>
        <v/>
      </c>
      <c r="AF122" s="143"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3"/>
      <c r="AE123" s="148" t="str">
        <f>IF($AA123=0,"",IF($X123&gt;$Y123,Einstellungen!$C$4,IF($X123=$Y123,1,0)))</f>
        <v/>
      </c>
      <c r="AF123" s="143"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3"/>
      <c r="AE124" s="148" t="str">
        <f>IF($AA124=0,"",IF($X124&gt;$Y124,Einstellungen!$C$4,IF($X124=$Y124,1,0)))</f>
        <v/>
      </c>
      <c r="AF124" s="143"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9">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9"/>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9"/>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9"/>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9"/>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9"/>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9"/>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IF(AA136&gt;0,Y64&amp;Sprache!$E$111&amp;X64,"")</f>
        <v/>
      </c>
      <c r="AD136" s="143"/>
    </row>
    <row r="137" spans="2:32" x14ac:dyDescent="0.2">
      <c r="Y137" s="67" t="s">
        <v>8</v>
      </c>
      <c r="Z137" s="35" t="str">
        <f ca="1">W65&amp;V65</f>
        <v>SSV WildbachMaibach 1822 eV</v>
      </c>
      <c r="AA137" s="13">
        <f t="shared" ref="AA137:AA200" ca="1" si="50">AA65</f>
        <v>1</v>
      </c>
      <c r="AB137" s="13" t="str">
        <f ca="1">IF(AA137&gt;0,Y65&amp;Sprache!$E$111&amp;X65,"")</f>
        <v>4:2</v>
      </c>
      <c r="AC137" s="2"/>
      <c r="AD137" s="143"/>
    </row>
    <row r="138" spans="2:32" x14ac:dyDescent="0.2">
      <c r="Y138" s="67" t="s">
        <v>9</v>
      </c>
      <c r="Z138" s="35" t="str">
        <f t="shared" ref="Z138:Z201" ca="1" si="51">W66&amp;V66</f>
        <v>FC GrönlingenVFB Essenheim</v>
      </c>
      <c r="AA138" s="13">
        <f t="shared" ca="1" si="50"/>
        <v>1</v>
      </c>
      <c r="AB138" s="13" t="str">
        <f ca="1">IF(AA138&gt;0,Y66&amp;Sprache!$E$111&amp;X66,"")</f>
        <v>1:2</v>
      </c>
      <c r="AC138" s="2"/>
      <c r="AD138" s="143"/>
    </row>
    <row r="139" spans="2:32" x14ac:dyDescent="0.2">
      <c r="Y139" s="67" t="s">
        <v>10</v>
      </c>
      <c r="Z139" s="35" t="str">
        <f t="shared" ca="1" si="51"/>
        <v>Mainz 051. FC Riedwald</v>
      </c>
      <c r="AA139" s="13">
        <f t="shared" ca="1" si="50"/>
        <v>1</v>
      </c>
      <c r="AB139" s="13" t="str">
        <f ca="1">IF(AA139&gt;0,Y67&amp;Sprache!$E$111&amp;X67,"")</f>
        <v>0:0</v>
      </c>
      <c r="AC139" s="2"/>
      <c r="AD139" s="143"/>
    </row>
    <row r="140" spans="2:32" x14ac:dyDescent="0.2">
      <c r="Y140" s="67" t="s">
        <v>11</v>
      </c>
      <c r="Z140" s="35" t="str">
        <f t="shared" ca="1" si="51"/>
        <v>Inter MailandEintracht Frankfurt</v>
      </c>
      <c r="AA140" s="13">
        <f t="shared" ca="1" si="50"/>
        <v>1</v>
      </c>
      <c r="AB140" s="13" t="str">
        <f ca="1">IF(AA140&gt;0,Y68&amp;Sprache!$E$111&amp;X68,"")</f>
        <v>1:5</v>
      </c>
      <c r="AC140" s="2"/>
      <c r="AD140" s="143"/>
    </row>
    <row r="141" spans="2:32" x14ac:dyDescent="0.2">
      <c r="Y141" s="67" t="s">
        <v>12</v>
      </c>
      <c r="Z141" s="35" t="str">
        <f t="shared" ca="1" si="51"/>
        <v>Manchester CityFC Barcelona</v>
      </c>
      <c r="AA141" s="13">
        <f t="shared" ca="1" si="50"/>
        <v>1</v>
      </c>
      <c r="AB141" s="13" t="str">
        <f ca="1">IF(AA141&gt;0,Y69&amp;Sprache!$E$111&amp;X69,"")</f>
        <v>3:2</v>
      </c>
      <c r="AC141" s="2"/>
      <c r="AD141" s="143"/>
    </row>
    <row r="142" spans="2:32" x14ac:dyDescent="0.2">
      <c r="Y142" s="67" t="s">
        <v>17</v>
      </c>
      <c r="Z142" s="35" t="str">
        <f t="shared" ca="1" si="51"/>
        <v/>
      </c>
      <c r="AA142" s="13">
        <f t="shared" ca="1" si="50"/>
        <v>0</v>
      </c>
      <c r="AB142" s="13" t="str">
        <f ca="1">IF(AA142&gt;0,Y70&amp;Sprache!$E$111&amp;X70,"")</f>
        <v/>
      </c>
      <c r="AC142" s="2"/>
      <c r="AD142" s="143"/>
    </row>
    <row r="143" spans="2:32" x14ac:dyDescent="0.2">
      <c r="Y143" s="67" t="s">
        <v>18</v>
      </c>
      <c r="Z143" s="35" t="str">
        <f t="shared" ca="1" si="51"/>
        <v>TSG Saalberg eVFSV Rauen</v>
      </c>
      <c r="AA143" s="13">
        <f t="shared" ca="1" si="50"/>
        <v>1</v>
      </c>
      <c r="AB143" s="13" t="str">
        <f ca="1">IF(AA143&gt;0,Y71&amp;Sprache!$E$111&amp;X71,"")</f>
        <v>3:5</v>
      </c>
      <c r="AC143" s="2"/>
      <c r="AD143" s="143"/>
    </row>
    <row r="144" spans="2:32" x14ac:dyDescent="0.2">
      <c r="Y144" s="67" t="s">
        <v>19</v>
      </c>
      <c r="Z144" s="35" t="str">
        <f t="shared" ca="1" si="51"/>
        <v>SV OberredenburgKickers Rodendorf</v>
      </c>
      <c r="AA144" s="13">
        <f t="shared" ca="1" si="50"/>
        <v>1</v>
      </c>
      <c r="AB144" s="13" t="str">
        <f ca="1">IF(AA144&gt;0,Y72&amp;Sprache!$E$111&amp;X72,"")</f>
        <v>1:2</v>
      </c>
      <c r="AC144" s="2"/>
      <c r="AD144" s="143"/>
    </row>
    <row r="145" spans="25:30" x14ac:dyDescent="0.2">
      <c r="Y145" s="67" t="s">
        <v>25</v>
      </c>
      <c r="Z145" s="35" t="str">
        <f t="shared" ca="1" si="51"/>
        <v>HSV1. FC Nürnberg</v>
      </c>
      <c r="AA145" s="13">
        <f t="shared" ca="1" si="50"/>
        <v>1</v>
      </c>
      <c r="AB145" s="13" t="str">
        <f ca="1">IF(AA145&gt;0,Y73&amp;Sprache!$E$111&amp;X73,"")</f>
        <v>1:3</v>
      </c>
      <c r="AC145" s="2"/>
      <c r="AD145" s="143"/>
    </row>
    <row r="146" spans="25:30" x14ac:dyDescent="0.2">
      <c r="Y146" s="67" t="s">
        <v>26</v>
      </c>
      <c r="Z146" s="35" t="str">
        <f t="shared" ca="1" si="51"/>
        <v>RB LeipzigReal Madrid</v>
      </c>
      <c r="AA146" s="13">
        <f t="shared" ca="1" si="50"/>
        <v>1</v>
      </c>
      <c r="AB146" s="13" t="str">
        <f ca="1">IF(AA146&gt;0,Y74&amp;Sprache!$E$111&amp;X74,"")</f>
        <v>2:4</v>
      </c>
      <c r="AC146" s="2"/>
      <c r="AD146" s="143"/>
    </row>
    <row r="147" spans="25:30" x14ac:dyDescent="0.2">
      <c r="Y147" s="67" t="s">
        <v>27</v>
      </c>
      <c r="Z147" s="35" t="str">
        <f t="shared" ca="1" si="51"/>
        <v>Paris St. GermainBorussia Dortmund</v>
      </c>
      <c r="AA147" s="13">
        <f t="shared" ca="1" si="50"/>
        <v>1</v>
      </c>
      <c r="AB147" s="13" t="str">
        <f ca="1">IF(AA147&gt;0,Y75&amp;Sprache!$E$111&amp;X75,"")</f>
        <v>3:1</v>
      </c>
      <c r="AC147" s="2"/>
      <c r="AD147" s="143"/>
    </row>
    <row r="148" spans="25:30" x14ac:dyDescent="0.2">
      <c r="Y148" s="67" t="s">
        <v>28</v>
      </c>
      <c r="Z148" s="35" t="str">
        <f t="shared" ca="1" si="51"/>
        <v/>
      </c>
      <c r="AA148" s="13">
        <f t="shared" ca="1" si="50"/>
        <v>0</v>
      </c>
      <c r="AB148" s="13" t="str">
        <f ca="1">IF(AA148&gt;0,Y76&amp;Sprache!$E$111&amp;X76,"")</f>
        <v/>
      </c>
      <c r="AC148" s="2"/>
      <c r="AD148" s="143"/>
    </row>
    <row r="149" spans="25:30" x14ac:dyDescent="0.2">
      <c r="Y149" s="67" t="s">
        <v>29</v>
      </c>
      <c r="Z149" s="35" t="str">
        <f t="shared" ca="1" si="51"/>
        <v>FSV RauenMaibach 1822 eV</v>
      </c>
      <c r="AA149" s="13">
        <f t="shared" ca="1" si="50"/>
        <v>1</v>
      </c>
      <c r="AB149" s="13" t="str">
        <f ca="1">IF(AA149&gt;0,Y77&amp;Sprache!$E$111&amp;X77,"")</f>
        <v>5:1</v>
      </c>
      <c r="AC149" s="2"/>
      <c r="AD149" s="143"/>
    </row>
    <row r="150" spans="25:30" x14ac:dyDescent="0.2">
      <c r="Y150" s="67" t="s">
        <v>30</v>
      </c>
      <c r="Z150" s="35" t="str">
        <f t="shared" ca="1" si="51"/>
        <v>Kickers RodendorfVFB Essenheim</v>
      </c>
      <c r="AA150" s="13">
        <f t="shared" ca="1" si="50"/>
        <v>1</v>
      </c>
      <c r="AB150" s="13" t="str">
        <f ca="1">IF(AA150&gt;0,Y78&amp;Sprache!$E$111&amp;X78,"")</f>
        <v>4:4</v>
      </c>
      <c r="AC150" s="2"/>
      <c r="AD150" s="143"/>
    </row>
    <row r="151" spans="25:30" x14ac:dyDescent="0.2">
      <c r="Y151" s="67" t="s">
        <v>31</v>
      </c>
      <c r="Z151" s="35" t="str">
        <f t="shared" ca="1" si="51"/>
        <v>1. FC Nürnberg1. FC Riedwald</v>
      </c>
      <c r="AA151" s="13">
        <f t="shared" ca="1" si="50"/>
        <v>1</v>
      </c>
      <c r="AB151" s="13" t="str">
        <f ca="1">IF(AA151&gt;0,Y79&amp;Sprache!$E$111&amp;X79,"")</f>
        <v>7:0</v>
      </c>
      <c r="AC151" s="2"/>
      <c r="AD151" s="143"/>
    </row>
    <row r="152" spans="25:30" x14ac:dyDescent="0.2">
      <c r="Y152" s="67" t="s">
        <v>32</v>
      </c>
      <c r="Z152" s="35" t="str">
        <f t="shared" ca="1" si="51"/>
        <v>Real MadridEintracht Frankfurt</v>
      </c>
      <c r="AA152" s="13">
        <f t="shared" ca="1" si="50"/>
        <v>1</v>
      </c>
      <c r="AB152" s="13" t="str">
        <f ca="1">IF(AA152&gt;0,Y80&amp;Sprache!$E$111&amp;X80,"")</f>
        <v>8:2</v>
      </c>
      <c r="AC152" s="2"/>
      <c r="AD152" s="143"/>
    </row>
    <row r="153" spans="25:30" x14ac:dyDescent="0.2">
      <c r="Y153" s="67" t="s">
        <v>33</v>
      </c>
      <c r="Z153" s="35" t="str">
        <f t="shared" ca="1" si="51"/>
        <v>Borussia DortmundFC Barcelona</v>
      </c>
      <c r="AA153" s="13">
        <f t="shared" ca="1" si="50"/>
        <v>1</v>
      </c>
      <c r="AB153" s="13" t="str">
        <f ca="1">IF(AA153&gt;0,Y81&amp;Sprache!$E$111&amp;X81,"")</f>
        <v>0:4</v>
      </c>
      <c r="AC153" s="2"/>
      <c r="AD153" s="143"/>
    </row>
    <row r="154" spans="25:30" x14ac:dyDescent="0.2">
      <c r="Y154" s="67" t="s">
        <v>34</v>
      </c>
      <c r="Z154" s="35" t="str">
        <f t="shared" ca="1" si="51"/>
        <v/>
      </c>
      <c r="AA154" s="13">
        <f t="shared" ca="1" si="50"/>
        <v>0</v>
      </c>
      <c r="AB154" s="13" t="str">
        <f ca="1">IF(AA154&gt;0,Y82&amp;Sprache!$E$111&amp;X82,"")</f>
        <v/>
      </c>
      <c r="AC154" s="2"/>
      <c r="AD154" s="143"/>
    </row>
    <row r="155" spans="25:30" x14ac:dyDescent="0.2">
      <c r="Y155" s="67" t="s">
        <v>35</v>
      </c>
      <c r="Z155" s="35" t="str">
        <f t="shared" ca="1" si="51"/>
        <v>SSV WildbachTSG Saalberg eV</v>
      </c>
      <c r="AA155" s="13">
        <f t="shared" ca="1" si="50"/>
        <v>1</v>
      </c>
      <c r="AB155" s="13" t="str">
        <f ca="1">IF(AA155&gt;0,Y83&amp;Sprache!$E$111&amp;X83,"")</f>
        <v>1:4</v>
      </c>
      <c r="AC155" s="2"/>
      <c r="AD155" s="143"/>
    </row>
    <row r="156" spans="25:30" x14ac:dyDescent="0.2">
      <c r="Y156" s="67" t="s">
        <v>36</v>
      </c>
      <c r="Z156" s="35" t="str">
        <f t="shared" ca="1" si="51"/>
        <v>FC GrönlingenSV Oberredenburg</v>
      </c>
      <c r="AA156" s="13">
        <f t="shared" ca="1" si="50"/>
        <v>1</v>
      </c>
      <c r="AB156" s="13" t="str">
        <f ca="1">IF(AA156&gt;0,Y84&amp;Sprache!$E$111&amp;X84,"")</f>
        <v>2:3</v>
      </c>
      <c r="AC156" s="2"/>
      <c r="AD156" s="143"/>
    </row>
    <row r="157" spans="25:30" x14ac:dyDescent="0.2">
      <c r="Y157" s="67" t="s">
        <v>37</v>
      </c>
      <c r="Z157" s="35" t="str">
        <f t="shared" ca="1" si="51"/>
        <v>Mainz 05HSV</v>
      </c>
      <c r="AA157" s="13">
        <f t="shared" ca="1" si="50"/>
        <v>1</v>
      </c>
      <c r="AB157" s="13" t="str">
        <f ca="1">IF(AA157&gt;0,Y85&amp;Sprache!$E$111&amp;X85,"")</f>
        <v>3:0</v>
      </c>
      <c r="AC157" s="2"/>
      <c r="AD157" s="143"/>
    </row>
    <row r="158" spans="25:30" x14ac:dyDescent="0.2">
      <c r="Y158" s="67" t="s">
        <v>38</v>
      </c>
      <c r="Z158" s="35" t="str">
        <f t="shared" ca="1" si="51"/>
        <v>Inter MailandRB Leipzig</v>
      </c>
      <c r="AA158" s="13">
        <f t="shared" ca="1" si="50"/>
        <v>1</v>
      </c>
      <c r="AB158" s="13" t="str">
        <f ca="1">IF(AA158&gt;0,Y86&amp;Sprache!$E$111&amp;X86,"")</f>
        <v>1:1</v>
      </c>
      <c r="AC158" s="2"/>
      <c r="AD158" s="143"/>
    </row>
    <row r="159" spans="25:30" x14ac:dyDescent="0.2">
      <c r="Y159" s="67" t="s">
        <v>39</v>
      </c>
      <c r="Z159" s="35" t="str">
        <f t="shared" ca="1" si="51"/>
        <v>Manchester CityParis St. Germain</v>
      </c>
      <c r="AA159" s="13">
        <f t="shared" ca="1" si="50"/>
        <v>1</v>
      </c>
      <c r="AB159" s="13" t="str">
        <f ca="1">IF(AA159&gt;0,Y87&amp;Sprache!$E$111&amp;X87,"")</f>
        <v>2:3</v>
      </c>
      <c r="AC159" s="2"/>
      <c r="AD159" s="143"/>
    </row>
    <row r="160" spans="25:30" x14ac:dyDescent="0.2">
      <c r="Y160" s="67" t="s">
        <v>40</v>
      </c>
      <c r="Z160" s="35" t="str">
        <f t="shared" ca="1" si="51"/>
        <v/>
      </c>
      <c r="AA160" s="13">
        <f t="shared" ca="1" si="50"/>
        <v>0</v>
      </c>
      <c r="AB160" s="13" t="str">
        <f ca="1">IF(AA160&gt;0,Y88&amp;Sprache!$E$111&amp;X88,"")</f>
        <v/>
      </c>
      <c r="AC160" s="2"/>
      <c r="AD160" s="143"/>
    </row>
    <row r="161" spans="25:30" x14ac:dyDescent="0.2">
      <c r="Y161" s="67" t="s">
        <v>41</v>
      </c>
      <c r="Z161" s="35" t="str">
        <f t="shared" ca="1" si="51"/>
        <v>Maibach 1822 eVTSG Saalberg eV</v>
      </c>
      <c r="AA161" s="13">
        <f t="shared" ca="1" si="50"/>
        <v>1</v>
      </c>
      <c r="AB161" s="13" t="str">
        <f ca="1">IF(AA161&gt;0,Y89&amp;Sprache!$E$111&amp;X89,"")</f>
        <v>0:2</v>
      </c>
      <c r="AC161" s="2"/>
      <c r="AD161" s="143"/>
    </row>
    <row r="162" spans="25:30" x14ac:dyDescent="0.2">
      <c r="Y162" s="67" t="s">
        <v>42</v>
      </c>
      <c r="Z162" s="35" t="str">
        <f t="shared" ca="1" si="51"/>
        <v>VFB EssenheimSV Oberredenburg</v>
      </c>
      <c r="AA162" s="13">
        <f t="shared" ca="1" si="50"/>
        <v>1</v>
      </c>
      <c r="AB162" s="13" t="str">
        <f ca="1">IF(AA162&gt;0,Y90&amp;Sprache!$E$111&amp;X90,"")</f>
        <v>0:1</v>
      </c>
      <c r="AC162" s="2"/>
      <c r="AD162" s="143"/>
    </row>
    <row r="163" spans="25:30" x14ac:dyDescent="0.2">
      <c r="Y163" s="67" t="s">
        <v>43</v>
      </c>
      <c r="Z163" s="35" t="str">
        <f t="shared" ca="1" si="51"/>
        <v>1. FC RiedwaldHSV</v>
      </c>
      <c r="AA163" s="13">
        <f t="shared" ca="1" si="50"/>
        <v>1</v>
      </c>
      <c r="AB163" s="13" t="str">
        <f ca="1">IF(AA163&gt;0,Y91&amp;Sprache!$E$111&amp;X91,"")</f>
        <v>0:2</v>
      </c>
      <c r="AC163" s="2"/>
      <c r="AD163" s="143"/>
    </row>
    <row r="164" spans="25:30" x14ac:dyDescent="0.2">
      <c r="Y164" s="67" t="s">
        <v>44</v>
      </c>
      <c r="Z164" s="35" t="str">
        <f t="shared" ca="1" si="51"/>
        <v>Eintracht FrankfurtRB Leipzig</v>
      </c>
      <c r="AA164" s="13">
        <f t="shared" ca="1" si="50"/>
        <v>1</v>
      </c>
      <c r="AB164" s="13" t="str">
        <f ca="1">IF(AA164&gt;0,Y92&amp;Sprache!$E$111&amp;X92,"")</f>
        <v>1:1</v>
      </c>
      <c r="AC164" s="2"/>
      <c r="AD164" s="143"/>
    </row>
    <row r="165" spans="25:30" x14ac:dyDescent="0.2">
      <c r="Y165" s="67" t="s">
        <v>45</v>
      </c>
      <c r="Z165" s="35" t="str">
        <f t="shared" ca="1" si="51"/>
        <v>FC BarcelonaParis St. Germain</v>
      </c>
      <c r="AA165" s="13">
        <f t="shared" ca="1" si="50"/>
        <v>1</v>
      </c>
      <c r="AB165" s="13" t="str">
        <f ca="1">IF(AA165&gt;0,Y93&amp;Sprache!$E$111&amp;X93,"")</f>
        <v>2:1</v>
      </c>
      <c r="AC165" s="2"/>
      <c r="AD165" s="143"/>
    </row>
    <row r="166" spans="25:30" x14ac:dyDescent="0.2">
      <c r="Y166" s="67" t="s">
        <v>46</v>
      </c>
      <c r="Z166" s="35" t="str">
        <f t="shared" ca="1" si="51"/>
        <v/>
      </c>
      <c r="AA166" s="13">
        <f t="shared" ca="1" si="50"/>
        <v>0</v>
      </c>
      <c r="AB166" s="13" t="str">
        <f ca="1">IF(AA166&gt;0,Y94&amp;Sprache!$E$111&amp;X94,"")</f>
        <v/>
      </c>
      <c r="AC166" s="2"/>
      <c r="AD166" s="143"/>
    </row>
    <row r="167" spans="25:30" x14ac:dyDescent="0.2">
      <c r="Y167" s="67" t="s">
        <v>47</v>
      </c>
      <c r="Z167" s="35" t="str">
        <f t="shared" ca="1" si="51"/>
        <v>FSV RauenSSV Wildbach</v>
      </c>
      <c r="AA167" s="13">
        <f t="shared" ca="1" si="50"/>
        <v>1</v>
      </c>
      <c r="AB167" s="13" t="str">
        <f ca="1">IF(AA167&gt;0,Y95&amp;Sprache!$E$111&amp;X95,"")</f>
        <v>1:3</v>
      </c>
      <c r="AC167" s="2"/>
      <c r="AD167" s="143"/>
    </row>
    <row r="168" spans="25:30" x14ac:dyDescent="0.2">
      <c r="Y168" s="67" t="s">
        <v>48</v>
      </c>
      <c r="Z168" s="35" t="str">
        <f t="shared" ca="1" si="51"/>
        <v>Kickers RodendorfFC Grönlingen</v>
      </c>
      <c r="AA168" s="13">
        <f t="shared" ca="1" si="50"/>
        <v>1</v>
      </c>
      <c r="AB168" s="13" t="str">
        <f ca="1">IF(AA168&gt;0,Y96&amp;Sprache!$E$111&amp;X96,"")</f>
        <v>3:4</v>
      </c>
      <c r="AC168" s="2"/>
      <c r="AD168" s="143"/>
    </row>
    <row r="169" spans="25:30" x14ac:dyDescent="0.2">
      <c r="Y169" s="67" t="s">
        <v>49</v>
      </c>
      <c r="Z169" s="35" t="str">
        <f t="shared" ca="1" si="51"/>
        <v>1. FC NürnbergMainz 05</v>
      </c>
      <c r="AA169" s="13">
        <f t="shared" ca="1" si="50"/>
        <v>1</v>
      </c>
      <c r="AB169" s="13" t="str">
        <f ca="1">IF(AA169&gt;0,Y97&amp;Sprache!$E$111&amp;X97,"")</f>
        <v>1:1</v>
      </c>
      <c r="AC169" s="2"/>
      <c r="AD169" s="143"/>
    </row>
    <row r="170" spans="25:30" x14ac:dyDescent="0.2">
      <c r="Y170" s="67" t="s">
        <v>50</v>
      </c>
      <c r="Z170" s="35" t="str">
        <f t="shared" ca="1" si="51"/>
        <v>Real MadridInter Mailand</v>
      </c>
      <c r="AA170" s="13">
        <f t="shared" ca="1" si="50"/>
        <v>1</v>
      </c>
      <c r="AB170" s="13" t="str">
        <f ca="1">IF(AA170&gt;0,Y98&amp;Sprache!$E$111&amp;X98,"")</f>
        <v>4:1</v>
      </c>
      <c r="AC170" s="2"/>
      <c r="AD170" s="143"/>
    </row>
    <row r="171" spans="25:30" x14ac:dyDescent="0.2">
      <c r="Y171" s="67" t="s">
        <v>51</v>
      </c>
      <c r="Z171" s="35" t="str">
        <f t="shared" ca="1" si="51"/>
        <v>Borussia DortmundManchester City</v>
      </c>
      <c r="AA171" s="13">
        <f t="shared" ca="1" si="50"/>
        <v>1</v>
      </c>
      <c r="AB171" s="13" t="str">
        <f ca="1">IF(AA171&gt;0,Y99&amp;Sprache!$E$111&amp;X99,"")</f>
        <v>2:2</v>
      </c>
      <c r="AC171" s="2"/>
      <c r="AD171" s="143"/>
    </row>
    <row r="172" spans="25:30" x14ac:dyDescent="0.2">
      <c r="Y172" s="67" t="s">
        <v>60</v>
      </c>
      <c r="Z172" s="35" t="str">
        <f t="shared" si="51"/>
        <v/>
      </c>
      <c r="AA172" s="13">
        <f t="shared" si="50"/>
        <v>0</v>
      </c>
      <c r="AB172" s="13" t="str">
        <f>IF(AA172&gt;0,Y100&amp;Sprache!$E$111&amp;X100,"")</f>
        <v/>
      </c>
      <c r="AC172" s="2"/>
      <c r="AD172" s="143"/>
    </row>
    <row r="173" spans="25:30" x14ac:dyDescent="0.2">
      <c r="Y173" s="67" t="s">
        <v>61</v>
      </c>
      <c r="Z173" s="35" t="str">
        <f t="shared" si="51"/>
        <v/>
      </c>
      <c r="AA173" s="13">
        <f t="shared" si="50"/>
        <v>0</v>
      </c>
      <c r="AB173" s="13" t="str">
        <f>IF(AA173&gt;0,Y101&amp;Sprache!$E$111&amp;X101,"")</f>
        <v/>
      </c>
      <c r="AC173" s="2"/>
      <c r="AD173" s="143"/>
    </row>
    <row r="174" spans="25:30" x14ac:dyDescent="0.2">
      <c r="Y174" s="67" t="s">
        <v>62</v>
      </c>
      <c r="Z174" s="35" t="str">
        <f t="shared" si="51"/>
        <v/>
      </c>
      <c r="AA174" s="13">
        <f t="shared" si="50"/>
        <v>0</v>
      </c>
      <c r="AB174" s="13" t="str">
        <f>IF(AA174&gt;0,Y102&amp;Sprache!$E$111&amp;X102,"")</f>
        <v/>
      </c>
      <c r="AC174" s="2"/>
      <c r="AD174" s="143"/>
    </row>
    <row r="175" spans="25:30" x14ac:dyDescent="0.2">
      <c r="Y175" s="67" t="s">
        <v>63</v>
      </c>
      <c r="Z175" s="35" t="str">
        <f t="shared" si="51"/>
        <v/>
      </c>
      <c r="AA175" s="13">
        <f t="shared" si="50"/>
        <v>0</v>
      </c>
      <c r="AB175" s="13" t="str">
        <f>IF(AA175&gt;0,Y103&amp;Sprache!$E$111&amp;X103,"")</f>
        <v/>
      </c>
      <c r="AC175" s="2"/>
      <c r="AD175" s="143"/>
    </row>
    <row r="176" spans="25:30" x14ac:dyDescent="0.2">
      <c r="Y176" s="67" t="s">
        <v>64</v>
      </c>
      <c r="Z176" s="35" t="str">
        <f t="shared" si="51"/>
        <v/>
      </c>
      <c r="AA176" s="13">
        <f t="shared" si="50"/>
        <v>0</v>
      </c>
      <c r="AB176" s="13" t="str">
        <f>IF(AA176&gt;0,Y104&amp;Sprache!$E$111&amp;X104,"")</f>
        <v/>
      </c>
      <c r="AC176" s="2"/>
      <c r="AD176" s="143"/>
    </row>
    <row r="177" spans="25:30" x14ac:dyDescent="0.2">
      <c r="Y177" s="67" t="s">
        <v>65</v>
      </c>
      <c r="Z177" s="35" t="str">
        <f t="shared" si="51"/>
        <v/>
      </c>
      <c r="AA177" s="13">
        <f t="shared" si="50"/>
        <v>0</v>
      </c>
      <c r="AB177" s="13" t="str">
        <f>IF(AA177&gt;0,Y105&amp;Sprache!$E$111&amp;X105,"")</f>
        <v/>
      </c>
      <c r="AC177" s="2"/>
      <c r="AD177" s="143"/>
    </row>
    <row r="178" spans="25:30" x14ac:dyDescent="0.2">
      <c r="Y178" s="67" t="s">
        <v>66</v>
      </c>
      <c r="Z178" s="35" t="str">
        <f t="shared" si="51"/>
        <v/>
      </c>
      <c r="AA178" s="13">
        <f t="shared" si="50"/>
        <v>0</v>
      </c>
      <c r="AB178" s="13" t="str">
        <f>IF(AA178&gt;0,Y106&amp;Sprache!$E$111&amp;X106,"")</f>
        <v/>
      </c>
      <c r="AC178" s="2"/>
      <c r="AD178" s="143"/>
    </row>
    <row r="179" spans="25:30" x14ac:dyDescent="0.2">
      <c r="Y179" s="67" t="s">
        <v>67</v>
      </c>
      <c r="Z179" s="35" t="str">
        <f t="shared" si="51"/>
        <v/>
      </c>
      <c r="AA179" s="13">
        <f t="shared" si="50"/>
        <v>0</v>
      </c>
      <c r="AB179" s="13" t="str">
        <f>IF(AA179&gt;0,Y107&amp;Sprache!$E$111&amp;X107,"")</f>
        <v/>
      </c>
      <c r="AC179" s="2"/>
      <c r="AD179" s="143"/>
    </row>
    <row r="180" spans="25:30" x14ac:dyDescent="0.2">
      <c r="Y180" s="67" t="s">
        <v>68</v>
      </c>
      <c r="Z180" s="35" t="str">
        <f t="shared" si="51"/>
        <v/>
      </c>
      <c r="AA180" s="13">
        <f t="shared" si="50"/>
        <v>0</v>
      </c>
      <c r="AB180" s="13" t="str">
        <f>IF(AA180&gt;0,Y108&amp;Sprache!$E$111&amp;X108,"")</f>
        <v/>
      </c>
      <c r="AC180" s="2"/>
      <c r="AD180" s="143"/>
    </row>
    <row r="181" spans="25:30" x14ac:dyDescent="0.2">
      <c r="Y181" s="67" t="s">
        <v>69</v>
      </c>
      <c r="Z181" s="35" t="str">
        <f t="shared" si="51"/>
        <v/>
      </c>
      <c r="AA181" s="13">
        <f t="shared" si="50"/>
        <v>0</v>
      </c>
      <c r="AB181" s="13" t="str">
        <f>IF(AA181&gt;0,Y109&amp;Sprache!$E$111&amp;X109,"")</f>
        <v/>
      </c>
      <c r="AC181" s="2"/>
      <c r="AD181" s="143"/>
    </row>
    <row r="182" spans="25:30" x14ac:dyDescent="0.2">
      <c r="Y182" s="67" t="s">
        <v>70</v>
      </c>
      <c r="Z182" s="35" t="str">
        <f t="shared" si="51"/>
        <v/>
      </c>
      <c r="AA182" s="13">
        <f t="shared" si="50"/>
        <v>0</v>
      </c>
      <c r="AB182" s="13" t="str">
        <f>IF(AA182&gt;0,Y110&amp;Sprache!$E$111&amp;X110,"")</f>
        <v/>
      </c>
      <c r="AC182" s="2"/>
      <c r="AD182" s="143"/>
    </row>
    <row r="183" spans="25:30" x14ac:dyDescent="0.2">
      <c r="Y183" s="67" t="s">
        <v>71</v>
      </c>
      <c r="Z183" s="35" t="str">
        <f t="shared" si="51"/>
        <v/>
      </c>
      <c r="AA183" s="13">
        <f t="shared" si="50"/>
        <v>0</v>
      </c>
      <c r="AB183" s="13" t="str">
        <f>IF(AA183&gt;0,Y111&amp;Sprache!$E$111&amp;X111,"")</f>
        <v/>
      </c>
      <c r="AC183" s="2"/>
      <c r="AD183" s="143"/>
    </row>
    <row r="184" spans="25:30" x14ac:dyDescent="0.2">
      <c r="Y184" s="67" t="s">
        <v>72</v>
      </c>
      <c r="Z184" s="35" t="str">
        <f t="shared" si="51"/>
        <v/>
      </c>
      <c r="AA184" s="13">
        <f t="shared" si="50"/>
        <v>0</v>
      </c>
      <c r="AB184" s="13" t="str">
        <f>IF(AA184&gt;0,Y112&amp;Sprache!$E$111&amp;X112,"")</f>
        <v/>
      </c>
      <c r="AC184" s="2"/>
      <c r="AD184" s="143"/>
    </row>
    <row r="185" spans="25:30" x14ac:dyDescent="0.2">
      <c r="Y185" s="67" t="s">
        <v>73</v>
      </c>
      <c r="Z185" s="35" t="str">
        <f t="shared" si="51"/>
        <v/>
      </c>
      <c r="AA185" s="13">
        <f t="shared" si="50"/>
        <v>0</v>
      </c>
      <c r="AB185" s="13" t="str">
        <f>IF(AA185&gt;0,Y113&amp;Sprache!$E$111&amp;X113,"")</f>
        <v/>
      </c>
      <c r="AC185" s="2"/>
      <c r="AD185" s="143"/>
    </row>
    <row r="186" spans="25:30" x14ac:dyDescent="0.2">
      <c r="Y186" s="67" t="s">
        <v>74</v>
      </c>
      <c r="Z186" s="35" t="str">
        <f t="shared" si="51"/>
        <v/>
      </c>
      <c r="AA186" s="13">
        <f t="shared" si="50"/>
        <v>0</v>
      </c>
      <c r="AB186" s="13" t="str">
        <f>IF(AA186&gt;0,Y114&amp;Sprache!$E$111&amp;X114,"")</f>
        <v/>
      </c>
      <c r="AC186" s="2"/>
      <c r="AD186" s="143"/>
    </row>
    <row r="187" spans="25:30" x14ac:dyDescent="0.2">
      <c r="Y187" s="67" t="s">
        <v>75</v>
      </c>
      <c r="Z187" s="35" t="str">
        <f t="shared" si="51"/>
        <v/>
      </c>
      <c r="AA187" s="13">
        <f t="shared" si="50"/>
        <v>0</v>
      </c>
      <c r="AB187" s="13" t="str">
        <f>IF(AA187&gt;0,Y115&amp;Sprache!$E$111&amp;X115,"")</f>
        <v/>
      </c>
      <c r="AC187" s="2"/>
      <c r="AD187" s="143"/>
    </row>
    <row r="188" spans="25:30" x14ac:dyDescent="0.2">
      <c r="Y188" s="67" t="s">
        <v>76</v>
      </c>
      <c r="Z188" s="35" t="str">
        <f t="shared" si="51"/>
        <v/>
      </c>
      <c r="AA188" s="13">
        <f t="shared" si="50"/>
        <v>0</v>
      </c>
      <c r="AB188" s="13" t="str">
        <f>IF(AA188&gt;0,Y116&amp;Sprache!$E$111&amp;X116,"")</f>
        <v/>
      </c>
      <c r="AC188" s="2"/>
      <c r="AD188" s="143"/>
    </row>
    <row r="189" spans="25:30" x14ac:dyDescent="0.2">
      <c r="Y189" s="67" t="s">
        <v>77</v>
      </c>
      <c r="Z189" s="35" t="str">
        <f t="shared" si="51"/>
        <v/>
      </c>
      <c r="AA189" s="13">
        <f t="shared" si="50"/>
        <v>0</v>
      </c>
      <c r="AB189" s="13" t="str">
        <f>IF(AA189&gt;0,Y117&amp;Sprache!$E$111&amp;X117,"")</f>
        <v/>
      </c>
      <c r="AC189" s="2"/>
      <c r="AD189" s="143"/>
    </row>
    <row r="190" spans="25:30" x14ac:dyDescent="0.2">
      <c r="Y190" s="67" t="s">
        <v>78</v>
      </c>
      <c r="Z190" s="35" t="str">
        <f t="shared" si="51"/>
        <v/>
      </c>
      <c r="AA190" s="13">
        <f t="shared" si="50"/>
        <v>0</v>
      </c>
      <c r="AB190" s="13" t="str">
        <f>IF(AA190&gt;0,Y118&amp;Sprache!$E$111&amp;X118,"")</f>
        <v/>
      </c>
      <c r="AC190" s="2"/>
      <c r="AD190" s="143"/>
    </row>
    <row r="191" spans="25:30" x14ac:dyDescent="0.2">
      <c r="Y191" s="67" t="s">
        <v>79</v>
      </c>
      <c r="Z191" s="35" t="str">
        <f t="shared" si="51"/>
        <v/>
      </c>
      <c r="AA191" s="13">
        <f t="shared" si="50"/>
        <v>0</v>
      </c>
      <c r="AB191" s="13" t="str">
        <f>IF(AA191&gt;0,Y119&amp;Sprache!$E$111&amp;X119,"")</f>
        <v/>
      </c>
      <c r="AC191" s="2"/>
      <c r="AD191" s="143"/>
    </row>
    <row r="192" spans="25:30" x14ac:dyDescent="0.2">
      <c r="Y192" s="67" t="s">
        <v>80</v>
      </c>
      <c r="Z192" s="35" t="str">
        <f t="shared" si="51"/>
        <v/>
      </c>
      <c r="AA192" s="13">
        <f t="shared" si="50"/>
        <v>0</v>
      </c>
      <c r="AB192" s="13" t="str">
        <f>IF(AA192&gt;0,Y120&amp;Sprache!$E$111&amp;X120,"")</f>
        <v/>
      </c>
      <c r="AC192" s="2"/>
      <c r="AD192" s="143"/>
    </row>
    <row r="193" spans="25:30" x14ac:dyDescent="0.2">
      <c r="Y193" s="67" t="s">
        <v>81</v>
      </c>
      <c r="Z193" s="35" t="str">
        <f t="shared" si="51"/>
        <v/>
      </c>
      <c r="AA193" s="13">
        <f t="shared" si="50"/>
        <v>0</v>
      </c>
      <c r="AB193" s="13" t="str">
        <f>IF(AA193&gt;0,Y121&amp;Sprache!$E$111&amp;X121,"")</f>
        <v/>
      </c>
      <c r="AC193" s="2"/>
      <c r="AD193" s="143"/>
    </row>
    <row r="194" spans="25:30" x14ac:dyDescent="0.2">
      <c r="Y194" s="67" t="s">
        <v>82</v>
      </c>
      <c r="Z194" s="35" t="str">
        <f t="shared" si="51"/>
        <v/>
      </c>
      <c r="AA194" s="13">
        <f t="shared" si="50"/>
        <v>0</v>
      </c>
      <c r="AB194" s="13" t="str">
        <f>IF(AA194&gt;0,Y122&amp;Sprache!$E$111&amp;X122,"")</f>
        <v/>
      </c>
      <c r="AC194" s="2"/>
      <c r="AD194" s="143"/>
    </row>
    <row r="195" spans="25:30" x14ac:dyDescent="0.2">
      <c r="Y195" s="67" t="s">
        <v>83</v>
      </c>
      <c r="Z195" s="35" t="str">
        <f t="shared" si="51"/>
        <v/>
      </c>
      <c r="AA195" s="13">
        <f t="shared" si="50"/>
        <v>0</v>
      </c>
      <c r="AB195" s="13" t="str">
        <f>IF(AA195&gt;0,Y123&amp;Sprache!$E$111&amp;X123,"")</f>
        <v/>
      </c>
      <c r="AC195" s="2"/>
      <c r="AD195" s="143"/>
    </row>
    <row r="196" spans="25:30" x14ac:dyDescent="0.2">
      <c r="Y196" s="67" t="s">
        <v>84</v>
      </c>
      <c r="Z196" s="35" t="str">
        <f t="shared" si="51"/>
        <v/>
      </c>
      <c r="AA196" s="13">
        <f t="shared" si="50"/>
        <v>0</v>
      </c>
      <c r="AB196" s="13" t="str">
        <f>IF(AA196&gt;0,Y124&amp;Sprache!$E$111&amp;X124,"")</f>
        <v/>
      </c>
      <c r="AC196" s="2"/>
      <c r="AD196" s="143"/>
    </row>
    <row r="197" spans="25:30" x14ac:dyDescent="0.2">
      <c r="Y197" s="67" t="s">
        <v>85</v>
      </c>
      <c r="Z197" s="35" t="str">
        <f t="shared" si="51"/>
        <v/>
      </c>
      <c r="AA197" s="13">
        <f t="shared" si="50"/>
        <v>0</v>
      </c>
      <c r="AB197" s="13" t="str">
        <f>IF(AA197&gt;0,Y125&amp;Sprache!$E$111&amp;X125,"")</f>
        <v/>
      </c>
      <c r="AC197" s="2"/>
      <c r="AD197" s="143"/>
    </row>
    <row r="198" spans="25:30" x14ac:dyDescent="0.2">
      <c r="Y198" s="67" t="s">
        <v>86</v>
      </c>
      <c r="Z198" s="35" t="str">
        <f t="shared" si="51"/>
        <v/>
      </c>
      <c r="AA198" s="13">
        <f t="shared" si="50"/>
        <v>0</v>
      </c>
      <c r="AB198" s="13" t="str">
        <f>IF(AA198&gt;0,Y126&amp;Sprache!$E$111&amp;X126,"")</f>
        <v/>
      </c>
      <c r="AC198" s="2"/>
      <c r="AD198" s="143"/>
    </row>
    <row r="199" spans="25:30" x14ac:dyDescent="0.2">
      <c r="Y199" s="67" t="s">
        <v>87</v>
      </c>
      <c r="Z199" s="35" t="str">
        <f t="shared" si="51"/>
        <v/>
      </c>
      <c r="AA199" s="13">
        <f t="shared" si="50"/>
        <v>0</v>
      </c>
      <c r="AB199" s="13" t="str">
        <f>IF(AA199&gt;0,Y127&amp;Sprache!$E$111&amp;X127,"")</f>
        <v/>
      </c>
      <c r="AC199" s="2"/>
      <c r="AD199" s="143"/>
    </row>
    <row r="200" spans="25:30" x14ac:dyDescent="0.2">
      <c r="Y200" s="67" t="s">
        <v>88</v>
      </c>
      <c r="Z200" s="35" t="str">
        <f t="shared" si="51"/>
        <v/>
      </c>
      <c r="AA200" s="13">
        <f t="shared" si="50"/>
        <v>0</v>
      </c>
      <c r="AB200" s="13" t="str">
        <f>IF(AA200&gt;0,Y128&amp;Sprache!$E$111&amp;X128,"")</f>
        <v/>
      </c>
      <c r="AC200" s="2"/>
      <c r="AD200" s="143"/>
    </row>
    <row r="201" spans="25:30" x14ac:dyDescent="0.2">
      <c r="Y201" s="67" t="s">
        <v>89</v>
      </c>
      <c r="Z201" s="35" t="str">
        <f t="shared" si="51"/>
        <v/>
      </c>
      <c r="AA201" s="13">
        <f t="shared" ref="AA201:AA207" si="52">AA129</f>
        <v>0</v>
      </c>
      <c r="AB201" s="13" t="str">
        <f>IF(AA201&gt;0,Y129&amp;Sprache!$E$111&amp;X129,"")</f>
        <v/>
      </c>
      <c r="AC201" s="2"/>
      <c r="AD201" s="143"/>
    </row>
    <row r="202" spans="25:30" x14ac:dyDescent="0.2">
      <c r="Y202" s="67" t="s">
        <v>90</v>
      </c>
      <c r="Z202" s="35" t="str">
        <f t="shared" ref="Z202:Z206" si="53">W130&amp;V130</f>
        <v/>
      </c>
      <c r="AA202" s="13">
        <f t="shared" si="52"/>
        <v>0</v>
      </c>
      <c r="AB202" s="13" t="str">
        <f>IF(AA202&gt;0,Y130&amp;Sprache!$E$111&amp;X130,"")</f>
        <v/>
      </c>
      <c r="AC202" s="2"/>
      <c r="AD202" s="143"/>
    </row>
    <row r="203" spans="25:30" x14ac:dyDescent="0.2">
      <c r="Y203" s="67" t="s">
        <v>91</v>
      </c>
      <c r="Z203" s="35" t="str">
        <f t="shared" si="53"/>
        <v/>
      </c>
      <c r="AA203" s="13">
        <f t="shared" si="52"/>
        <v>0</v>
      </c>
      <c r="AB203" s="13" t="str">
        <f>IF(AA203&gt;0,Y131&amp;Sprache!$E$111&amp;X131,"")</f>
        <v/>
      </c>
      <c r="AC203" s="2"/>
      <c r="AD203" s="143"/>
    </row>
    <row r="204" spans="25:30" x14ac:dyDescent="0.2">
      <c r="Y204" s="67" t="s">
        <v>92</v>
      </c>
      <c r="Z204" s="35" t="str">
        <f t="shared" si="53"/>
        <v/>
      </c>
      <c r="AA204" s="13">
        <f t="shared" si="52"/>
        <v>0</v>
      </c>
      <c r="AB204" s="13" t="str">
        <f>IF(AA204&gt;0,Y132&amp;Sprache!$E$111&amp;X132,"")</f>
        <v/>
      </c>
      <c r="AC204" s="2"/>
      <c r="AD204" s="143"/>
    </row>
    <row r="205" spans="25:30" x14ac:dyDescent="0.2">
      <c r="Y205" s="67" t="s">
        <v>93</v>
      </c>
      <c r="Z205" s="35" t="str">
        <f t="shared" si="53"/>
        <v/>
      </c>
      <c r="AA205" s="13">
        <f t="shared" si="52"/>
        <v>0</v>
      </c>
      <c r="AB205" s="13" t="str">
        <f>IF(AA205&gt;0,Y133&amp;Sprache!$E$111&amp;X133,"")</f>
        <v/>
      </c>
      <c r="AC205" s="2"/>
      <c r="AD205" s="143"/>
    </row>
    <row r="206" spans="25:30" x14ac:dyDescent="0.2">
      <c r="Y206" s="67" t="s">
        <v>94</v>
      </c>
      <c r="Z206" s="35" t="str">
        <f t="shared" si="53"/>
        <v/>
      </c>
      <c r="AA206" s="13">
        <f t="shared" si="52"/>
        <v>0</v>
      </c>
      <c r="AB206" s="13" t="str">
        <f>IF(AA206&gt;0,Y134&amp;Sprache!$E$111&amp;X134,"")</f>
        <v/>
      </c>
      <c r="AC206" s="2"/>
      <c r="AD206" s="143"/>
    </row>
    <row r="207" spans="25:30" ht="12.75" thickBot="1" x14ac:dyDescent="0.25">
      <c r="Y207" s="68" t="s">
        <v>95</v>
      </c>
      <c r="Z207" s="37" t="str">
        <f>W135&amp;V135</f>
        <v/>
      </c>
      <c r="AA207" s="38">
        <f t="shared" si="52"/>
        <v>0</v>
      </c>
      <c r="AB207" s="144" t="str">
        <f>IF(AA207&gt;0,Y135&amp;Sprache!$E$111&amp;X135,"")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f>IF($R$4&lt;10,$R$4,0)</f>
        <v>0</v>
      </c>
      <c r="AM3" s="933"/>
      <c r="AN3" s="933"/>
      <c r="AO3" s="933"/>
      <c r="AP3" s="933"/>
    </row>
    <row r="4" spans="1:42" s="2" customFormat="1" ht="12.75" thickTop="1" x14ac:dyDescent="0.2">
      <c r="A4" s="238"/>
      <c r="B4" s="1">
        <v>1</v>
      </c>
      <c r="C4" s="21">
        <f ca="1">RANK(D4,$D$4:$D$12,1)</f>
        <v>2</v>
      </c>
      <c r="D4" s="13">
        <f ca="1">E4+ROW()/1000+(F4="")*10</f>
        <v>2.004</v>
      </c>
      <c r="E4" s="251">
        <f ca="1">IF($AI$15,RANK(AH17,AH$17:AH$25,1),RANK(X17,X$17:X$25,1))</f>
        <v>2</v>
      </c>
      <c r="F4" s="1" t="str">
        <f ca="1">$Q64</f>
        <v>Eintracht Frankfurt</v>
      </c>
      <c r="G4" s="1">
        <f t="shared" ref="G4:G12" ca="1" si="0">SUMIFS($X$64:$X$135,$V$64:$V$135,$F4)+SUMIFS($Y$64:$Y$135,$W$64:$W$135,$F4)</f>
        <v>8</v>
      </c>
      <c r="H4" s="1">
        <f t="shared" ref="H4:H12" ca="1" si="1">SUMIFS($Y$64:$Y$135,$V$64:$V$135,$F4)+SUMIFS($X$64:$X$135,$W$64:$W$135,$F4)</f>
        <v>10</v>
      </c>
      <c r="I4" s="13">
        <f t="shared" ref="I4:I12" ca="1" si="2">G4-H4</f>
        <v>-2</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636"/>
      <c r="X4" s="637"/>
      <c r="Y4" s="638"/>
      <c r="Z4" s="639"/>
      <c r="AA4" s="640"/>
      <c r="AB4" s="641"/>
      <c r="AC4" s="642"/>
      <c r="AD4" s="643"/>
      <c r="AE4" s="639"/>
      <c r="AF4" s="639"/>
      <c r="AG4" s="641"/>
      <c r="AH4" s="642"/>
      <c r="AI4" s="643"/>
      <c r="AJ4" s="639"/>
      <c r="AK4" s="644"/>
      <c r="AL4" s="642" t="str">
        <f t="shared" ref="AL4:AL12" si="7">IFERROR(INDEX($O$17:$V$25,ROW(E1),$AL$3),"")</f>
        <v/>
      </c>
      <c r="AM4" s="642" t="str">
        <f ca="1">INDEX($AL$4:$AL$12,MATCH(ROW(A1),$AP$4:$AP$12,0))</f>
        <v/>
      </c>
      <c r="AN4" s="643">
        <f>IF($AL4="",99999,VLOOKUP($AL4,$C$17:$Z$25,24,0))</f>
        <v>99999</v>
      </c>
      <c r="AO4" s="639">
        <f ca="1">RANK(AN4,AN$4:AN$12,1)+INDEX($E$4:$E$12,MATCH(AL4,$F$4:$F$12,0))/100+ROW()/10000</f>
        <v>1.0504</v>
      </c>
      <c r="AP4" s="644">
        <f ca="1">RANK($AO4,$AO$4:$AO$12,1)</f>
        <v>1</v>
      </c>
    </row>
    <row r="5" spans="1:42" s="2" customFormat="1" x14ac:dyDescent="0.2">
      <c r="A5" s="238"/>
      <c r="B5" s="1">
        <v>2</v>
      </c>
      <c r="C5" s="22">
        <f t="shared" ref="C5:C12" ca="1" si="8">RANK(D5,$D$4:$D$12,1)</f>
        <v>4</v>
      </c>
      <c r="D5" s="13">
        <f t="shared" ref="D5:D12" ca="1" si="9">E5+ROW()/1000+(F5="")*10</f>
        <v>4.0049999999999999</v>
      </c>
      <c r="E5" s="251">
        <f t="shared" ref="E5:E12" ca="1" si="10">IF($AI$15,RANK(AH18,AH$17:AH$25,1),RANK(X18,X$17:X$25,1))</f>
        <v>4</v>
      </c>
      <c r="F5" s="1" t="str">
        <f t="shared" ref="F5:F12" ca="1" si="11">$Q65</f>
        <v>Inter Mailand</v>
      </c>
      <c r="G5" s="1">
        <f t="shared" ca="1" si="0"/>
        <v>3</v>
      </c>
      <c r="H5" s="1">
        <f t="shared" ca="1" si="1"/>
        <v>10</v>
      </c>
      <c r="I5" s="13">
        <f t="shared" ca="1" si="2"/>
        <v>-7</v>
      </c>
      <c r="J5" s="1">
        <f t="shared" ref="J5:J12" ca="1" si="12">SUMIF($V$64:$V$135,F5,$AE$64:$AE$135)+SUMIF($W$64:$W$135,F5,$AF$64:$AF$135)</f>
        <v>1</v>
      </c>
      <c r="K5" s="1">
        <f t="shared" ca="1" si="3"/>
        <v>3</v>
      </c>
      <c r="L5" s="1">
        <f t="shared" ca="1" si="4"/>
        <v>0</v>
      </c>
      <c r="M5" s="1">
        <f t="shared" ca="1" si="5"/>
        <v>1</v>
      </c>
      <c r="N5" s="1">
        <f t="shared" ca="1" si="6"/>
        <v>2</v>
      </c>
      <c r="O5" s="24"/>
      <c r="P5" s="25"/>
      <c r="V5" s="1"/>
      <c r="W5" s="641"/>
      <c r="X5" s="642"/>
      <c r="Y5" s="639"/>
      <c r="Z5" s="639"/>
      <c r="AA5" s="644"/>
      <c r="AB5" s="641"/>
      <c r="AC5" s="642"/>
      <c r="AD5" s="643"/>
      <c r="AE5" s="639"/>
      <c r="AF5" s="639"/>
      <c r="AG5" s="641"/>
      <c r="AH5" s="642"/>
      <c r="AI5" s="643"/>
      <c r="AJ5" s="639"/>
      <c r="AK5" s="644"/>
      <c r="AL5" s="642" t="str">
        <f t="shared" si="7"/>
        <v/>
      </c>
      <c r="AM5" s="642" t="str">
        <f t="shared" ref="AM5:AM12" ca="1" si="13">INDEX($AL$4:$AL$12,MATCH(ROW(A2),$AP$4:$AP$12,0))</f>
        <v/>
      </c>
      <c r="AN5" s="643">
        <f t="shared" ref="AN5:AN12" si="14">IF($AL5="",99999,VLOOKUP($AL5,$C$17:$Z$25,24,0))</f>
        <v>99999</v>
      </c>
      <c r="AO5" s="639">
        <f ca="1">RANK(AN5,AN$4:AN$12,1)+INDEX($E$4:$E$12,MATCH(AL5,$F$4:$F$12,0))/100+ROW()/10000</f>
        <v>1.0505</v>
      </c>
      <c r="AP5" s="644">
        <f t="shared" ref="AP5:AP12" ca="1" si="15">RANK($AO5,$AO$4:$AO$12,1)</f>
        <v>2</v>
      </c>
    </row>
    <row r="6" spans="1:42" s="2" customFormat="1" x14ac:dyDescent="0.2">
      <c r="A6" s="238"/>
      <c r="B6" s="1">
        <v>3</v>
      </c>
      <c r="C6" s="22">
        <f t="shared" ca="1" si="8"/>
        <v>1</v>
      </c>
      <c r="D6" s="13">
        <f t="shared" ca="1" si="9"/>
        <v>1.006</v>
      </c>
      <c r="E6" s="251">
        <f t="shared" ca="1" si="10"/>
        <v>1</v>
      </c>
      <c r="F6" s="1" t="str">
        <f t="shared" ca="1" si="11"/>
        <v>Real Madrid</v>
      </c>
      <c r="G6" s="1">
        <f t="shared" ca="1" si="0"/>
        <v>16</v>
      </c>
      <c r="H6" s="1">
        <f t="shared" ca="1" si="1"/>
        <v>5</v>
      </c>
      <c r="I6" s="13">
        <f t="shared" ca="1" si="2"/>
        <v>11</v>
      </c>
      <c r="J6" s="1">
        <f t="shared" ca="1" si="12"/>
        <v>9</v>
      </c>
      <c r="K6" s="1">
        <f t="shared" ca="1" si="3"/>
        <v>3</v>
      </c>
      <c r="L6" s="1">
        <f t="shared" ca="1" si="4"/>
        <v>3</v>
      </c>
      <c r="M6" s="1">
        <f t="shared" ca="1" si="5"/>
        <v>0</v>
      </c>
      <c r="N6" s="1">
        <f t="shared" ca="1" si="6"/>
        <v>0</v>
      </c>
      <c r="O6" s="24"/>
      <c r="P6" s="25"/>
      <c r="V6" s="1"/>
      <c r="W6" s="641"/>
      <c r="X6" s="642"/>
      <c r="Y6" s="639"/>
      <c r="Z6" s="639"/>
      <c r="AA6" s="644"/>
      <c r="AB6" s="641"/>
      <c r="AC6" s="642"/>
      <c r="AD6" s="643"/>
      <c r="AE6" s="639"/>
      <c r="AF6" s="639"/>
      <c r="AG6" s="641"/>
      <c r="AH6" s="642"/>
      <c r="AI6" s="643"/>
      <c r="AJ6" s="639"/>
      <c r="AK6" s="644"/>
      <c r="AL6" s="642" t="str">
        <f t="shared" si="7"/>
        <v/>
      </c>
      <c r="AM6" s="642" t="str">
        <f t="shared" ca="1" si="13"/>
        <v/>
      </c>
      <c r="AN6" s="643">
        <f t="shared" si="14"/>
        <v>99999</v>
      </c>
      <c r="AO6" s="639">
        <f ca="1">RANK(AN6,AN$4:AN$12,1)+INDEX($E$4:$E$12,MATCH(AL6,$F$4:$F$12,0))/100+ROW()/10000</f>
        <v>1.0506</v>
      </c>
      <c r="AP6" s="644">
        <f t="shared" ca="1" si="15"/>
        <v>3</v>
      </c>
    </row>
    <row r="7" spans="1:42" s="2" customFormat="1" x14ac:dyDescent="0.2">
      <c r="A7" s="238"/>
      <c r="B7" s="1">
        <v>4</v>
      </c>
      <c r="C7" s="22">
        <f t="shared" ca="1" si="8"/>
        <v>3</v>
      </c>
      <c r="D7" s="13">
        <f t="shared" ca="1" si="9"/>
        <v>3.0070000000000001</v>
      </c>
      <c r="E7" s="251">
        <f t="shared" ca="1" si="10"/>
        <v>3</v>
      </c>
      <c r="F7" s="1" t="str">
        <f t="shared" ca="1" si="11"/>
        <v>RB Leipzig</v>
      </c>
      <c r="G7" s="1">
        <f t="shared" ca="1" si="0"/>
        <v>4</v>
      </c>
      <c r="H7" s="1">
        <f t="shared" ca="1" si="1"/>
        <v>6</v>
      </c>
      <c r="I7" s="13">
        <f t="shared" ca="1" si="2"/>
        <v>-2</v>
      </c>
      <c r="J7" s="1">
        <f t="shared" ca="1" si="12"/>
        <v>2</v>
      </c>
      <c r="K7" s="1">
        <f t="shared" ca="1" si="3"/>
        <v>3</v>
      </c>
      <c r="L7" s="1">
        <f t="shared" ca="1" si="4"/>
        <v>0</v>
      </c>
      <c r="M7" s="1">
        <f t="shared" ca="1" si="5"/>
        <v>2</v>
      </c>
      <c r="N7" s="1">
        <f t="shared" ca="1" si="6"/>
        <v>1</v>
      </c>
      <c r="O7" s="24"/>
      <c r="P7" s="25"/>
      <c r="V7" s="1"/>
      <c r="W7" s="641"/>
      <c r="X7" s="642"/>
      <c r="Y7" s="639"/>
      <c r="Z7" s="639"/>
      <c r="AA7" s="644"/>
      <c r="AB7" s="641"/>
      <c r="AC7" s="642"/>
      <c r="AD7" s="643"/>
      <c r="AE7" s="639"/>
      <c r="AF7" s="639"/>
      <c r="AG7" s="641"/>
      <c r="AH7" s="642"/>
      <c r="AI7" s="643"/>
      <c r="AJ7" s="639"/>
      <c r="AK7" s="644"/>
      <c r="AL7" s="642" t="str">
        <f t="shared" si="7"/>
        <v/>
      </c>
      <c r="AM7" s="642" t="str">
        <f t="shared" ca="1" si="13"/>
        <v/>
      </c>
      <c r="AN7" s="643">
        <f t="shared" si="14"/>
        <v>99999</v>
      </c>
      <c r="AO7" s="639">
        <f ca="1">RANK(AN7,AN$4:AN$12,1)+INDEX($E$4:$E$12,MATCH(AL7,$F$4:$F$12,0))/100+ROW()/10000</f>
        <v>1.0507</v>
      </c>
      <c r="AP7" s="644">
        <f t="shared" ca="1" si="15"/>
        <v>4</v>
      </c>
    </row>
    <row r="8" spans="1:42" s="2" customFormat="1" x14ac:dyDescent="0.2">
      <c r="A8" s="238"/>
      <c r="B8" s="1">
        <v>5</v>
      </c>
      <c r="C8" s="22">
        <f t="shared" ca="1" si="8"/>
        <v>5</v>
      </c>
      <c r="D8" s="13">
        <f t="shared" ca="1" si="9"/>
        <v>15.007999999999999</v>
      </c>
      <c r="E8" s="251">
        <f t="shared" ca="1" si="10"/>
        <v>5</v>
      </c>
      <c r="F8" s="1" t="str">
        <f t="shared" si="11"/>
        <v/>
      </c>
      <c r="G8" s="1">
        <f t="shared" ca="1" si="0"/>
        <v>0</v>
      </c>
      <c r="H8" s="1">
        <f t="shared" ca="1" si="1"/>
        <v>0</v>
      </c>
      <c r="I8" s="13">
        <f t="shared" ca="1" si="2"/>
        <v>0</v>
      </c>
      <c r="J8" s="1">
        <f t="shared" ca="1" si="12"/>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t="str">
        <f t="shared" si="7"/>
        <v/>
      </c>
      <c r="AM8" s="642" t="str">
        <f t="shared" ca="1" si="13"/>
        <v/>
      </c>
      <c r="AN8" s="643">
        <f t="shared" si="14"/>
        <v>99999</v>
      </c>
      <c r="AO8" s="639">
        <f t="shared" ref="AO8:AO12" ca="1" si="16">RANK(AN8,AN$4:AN$12,1)+INDEX($E$4:$E$12,MATCH(AL8,$F$4:$F$12,0))/100+ROW()/10000</f>
        <v>1.0508</v>
      </c>
      <c r="AP8" s="644">
        <f t="shared" ca="1" si="15"/>
        <v>5</v>
      </c>
    </row>
    <row r="9" spans="1:42" s="2" customFormat="1" x14ac:dyDescent="0.2">
      <c r="A9" s="238"/>
      <c r="B9" s="1">
        <v>6</v>
      </c>
      <c r="C9" s="22">
        <f t="shared" ca="1" si="8"/>
        <v>6</v>
      </c>
      <c r="D9" s="13">
        <f t="shared" ca="1" si="9"/>
        <v>15.009</v>
      </c>
      <c r="E9" s="251">
        <f t="shared" ca="1" si="10"/>
        <v>5</v>
      </c>
      <c r="F9" s="1" t="str">
        <f t="shared" si="11"/>
        <v/>
      </c>
      <c r="G9" s="1">
        <f t="shared" ca="1" si="0"/>
        <v>0</v>
      </c>
      <c r="H9" s="1">
        <f t="shared" ca="1" si="1"/>
        <v>0</v>
      </c>
      <c r="I9" s="13">
        <f t="shared" ca="1" si="2"/>
        <v>0</v>
      </c>
      <c r="J9" s="1">
        <f t="shared" ca="1" si="12"/>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t="str">
        <f t="shared" si="7"/>
        <v/>
      </c>
      <c r="AM9" s="642" t="str">
        <f t="shared" ca="1" si="13"/>
        <v/>
      </c>
      <c r="AN9" s="643">
        <f t="shared" si="14"/>
        <v>99999</v>
      </c>
      <c r="AO9" s="639">
        <f t="shared" ca="1" si="16"/>
        <v>1.0508999999999999</v>
      </c>
      <c r="AP9" s="644">
        <f t="shared" ca="1" si="15"/>
        <v>6</v>
      </c>
    </row>
    <row r="10" spans="1:42" s="2" customFormat="1" x14ac:dyDescent="0.2">
      <c r="A10" s="238"/>
      <c r="B10" s="1">
        <v>7</v>
      </c>
      <c r="C10" s="22">
        <f t="shared" ca="1" si="8"/>
        <v>7</v>
      </c>
      <c r="D10" s="13">
        <f t="shared" ca="1" si="9"/>
        <v>17.009999999999998</v>
      </c>
      <c r="E10" s="251">
        <f t="shared" ca="1" si="10"/>
        <v>7</v>
      </c>
      <c r="F10" s="1" t="str">
        <f t="shared" si="11"/>
        <v/>
      </c>
      <c r="G10" s="1">
        <f t="shared" ca="1" si="0"/>
        <v>0</v>
      </c>
      <c r="H10" s="1">
        <f t="shared" ca="1" si="1"/>
        <v>0</v>
      </c>
      <c r="I10" s="13">
        <f t="shared" ca="1" si="2"/>
        <v>0</v>
      </c>
      <c r="J10" s="1">
        <f t="shared" ca="1" si="12"/>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t="str">
        <f t="shared" si="7"/>
        <v/>
      </c>
      <c r="AM10" s="642" t="str">
        <f t="shared" ca="1" si="13"/>
        <v/>
      </c>
      <c r="AN10" s="643">
        <f t="shared" si="14"/>
        <v>99999</v>
      </c>
      <c r="AO10" s="639">
        <f t="shared" ca="1" si="16"/>
        <v>1.0509999999999999</v>
      </c>
      <c r="AP10" s="644">
        <f t="shared" ca="1" si="15"/>
        <v>7</v>
      </c>
    </row>
    <row r="11" spans="1:42" s="2" customFormat="1" x14ac:dyDescent="0.2">
      <c r="A11" s="238"/>
      <c r="B11" s="1">
        <v>8</v>
      </c>
      <c r="C11" s="22">
        <f t="shared" ca="1" si="8"/>
        <v>8</v>
      </c>
      <c r="D11" s="13">
        <f t="shared" ca="1" si="9"/>
        <v>17.010999999999999</v>
      </c>
      <c r="E11" s="251">
        <f t="shared" ca="1" si="10"/>
        <v>7</v>
      </c>
      <c r="F11" s="1" t="str">
        <f t="shared" si="11"/>
        <v/>
      </c>
      <c r="G11" s="1">
        <f t="shared" ca="1" si="0"/>
        <v>0</v>
      </c>
      <c r="H11" s="1">
        <f t="shared" ca="1" si="1"/>
        <v>0</v>
      </c>
      <c r="I11" s="13">
        <f t="shared" ca="1" si="2"/>
        <v>0</v>
      </c>
      <c r="J11" s="1">
        <f t="shared" ca="1" si="12"/>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t="str">
        <f t="shared" si="7"/>
        <v/>
      </c>
      <c r="AM11" s="642" t="str">
        <f t="shared" ca="1" si="13"/>
        <v/>
      </c>
      <c r="AN11" s="643">
        <f t="shared" si="14"/>
        <v>99999</v>
      </c>
      <c r="AO11" s="639">
        <f t="shared" ca="1" si="16"/>
        <v>1.0511000000000001</v>
      </c>
      <c r="AP11" s="644">
        <f t="shared" ca="1" si="15"/>
        <v>8</v>
      </c>
    </row>
    <row r="12" spans="1:42" s="2" customFormat="1" ht="12.75" thickBot="1" x14ac:dyDescent="0.25">
      <c r="A12" s="238"/>
      <c r="B12" s="1">
        <v>9</v>
      </c>
      <c r="C12" s="23">
        <f t="shared" ca="1" si="8"/>
        <v>9</v>
      </c>
      <c r="D12" s="13">
        <f t="shared" ca="1" si="9"/>
        <v>17.012</v>
      </c>
      <c r="E12" s="251">
        <f t="shared" ca="1" si="10"/>
        <v>7</v>
      </c>
      <c r="F12" s="1" t="str">
        <f t="shared" si="11"/>
        <v/>
      </c>
      <c r="G12" s="1">
        <f t="shared" ca="1" si="0"/>
        <v>0</v>
      </c>
      <c r="H12" s="1">
        <f t="shared" ca="1" si="1"/>
        <v>0</v>
      </c>
      <c r="I12" s="13">
        <f t="shared" ca="1" si="2"/>
        <v>0</v>
      </c>
      <c r="J12" s="1">
        <f t="shared" ca="1" si="12"/>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t="str">
        <f t="shared" si="7"/>
        <v/>
      </c>
      <c r="AM12" s="646" t="str">
        <f t="shared" ca="1" si="13"/>
        <v/>
      </c>
      <c r="AN12" s="649">
        <f t="shared" si="14"/>
        <v>99999</v>
      </c>
      <c r="AO12" s="647">
        <f t="shared" ca="1" si="16"/>
        <v>1.0512000000000001</v>
      </c>
      <c r="AP12" s="648">
        <f t="shared" ca="1" si="15"/>
        <v>9</v>
      </c>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Eintracht Frankfurt</v>
      </c>
      <c r="D17" s="1">
        <f t="shared" ref="D17:G25" ca="1" si="17">K4</f>
        <v>3</v>
      </c>
      <c r="E17" s="1">
        <f t="shared" ca="1" si="17"/>
        <v>1</v>
      </c>
      <c r="F17" s="1">
        <f t="shared" ca="1" si="17"/>
        <v>1</v>
      </c>
      <c r="G17" s="1">
        <f t="shared" ca="1" si="17"/>
        <v>1</v>
      </c>
      <c r="H17" s="1">
        <f t="shared" ref="H17:K25" ca="1" si="18">G4</f>
        <v>8</v>
      </c>
      <c r="I17" s="1">
        <f t="shared" ca="1" si="18"/>
        <v>10</v>
      </c>
      <c r="J17" s="13">
        <f t="shared" ca="1" si="18"/>
        <v>-2</v>
      </c>
      <c r="K17" s="1">
        <f t="shared" ca="1" si="18"/>
        <v>4</v>
      </c>
      <c r="L17" s="30">
        <f t="shared" ref="L17:L25" ca="1" si="19">K17*$F$64+(J17+$H$65)*$F$65+H17*$F$66</f>
        <v>4498008</v>
      </c>
      <c r="M17" s="14">
        <f ca="1">IF($AI$15,COUNTIF($K$17:$K$25,K17),COUNTIF($L$17:$L$25,L17))</f>
        <v>1</v>
      </c>
      <c r="N17" s="14">
        <f t="array" aca="1" ref="N17" ca="1">IF($AI$15,SUM(($K$17:$K$25&gt;=K17)/COUNTIF($K$17:$K$25,$K$17:$K$25)),SUM(($L$17:$L$25&gt;=L17)/COUNTIF($L$17:$L$25,$L$17:$L$25)))</f>
        <v>2</v>
      </c>
      <c r="O17" s="54" t="str">
        <f t="shared" ref="O17:O25" ca="1" si="20">IF(AND(M17&gt;1,N17=1),C17,"")</f>
        <v/>
      </c>
      <c r="P17" s="55" t="str">
        <f t="shared" ref="P17:P25" ca="1" si="21">IF(AND(M17&gt;1,N17=2),C17,"")</f>
        <v/>
      </c>
      <c r="Q17" s="55" t="str">
        <f t="shared" ref="Q17:Q25" ca="1" si="22">IF(AND(M17&gt;1,N17=3),C17,"")</f>
        <v/>
      </c>
      <c r="R17" s="55" t="str">
        <f t="shared" ref="R17:R25" ca="1" si="23">IF(AND(M17&gt;1,N17=4),C17,"")</f>
        <v/>
      </c>
      <c r="S17" s="55" t="str">
        <f t="shared" ref="S17:S25" ca="1" si="24">IF(AND(M17&gt;1,N17=5),C17,"")</f>
        <v/>
      </c>
      <c r="T17" s="55" t="str">
        <f t="shared" ref="T17:T25" ca="1" si="25">IF(AND($M17&gt;1,$N17=6),$C17,"")</f>
        <v/>
      </c>
      <c r="U17" s="55" t="str">
        <f t="shared" ref="U17:U25" ca="1" si="26">IF(AND($M17&gt;1,$N17=7),$C17,"")</f>
        <v/>
      </c>
      <c r="V17" s="56" t="str">
        <f t="shared" ref="V17:V25" ca="1" si="27">IF(AND($M17&gt;1,$N17=8),$C17,"")</f>
        <v/>
      </c>
      <c r="W17" s="64">
        <f t="shared" ref="W17:W22" ca="1" si="28">AA17*$F$64+(AB17+$H$65)*$F$65+AC17*$F$66</f>
        <v>500000</v>
      </c>
      <c r="X17" s="21">
        <f ca="1">RANK($L17,$L$17:$L$25)+RANK($W17,$W$17:$W$25)/100+(9-$Y17)/10000</f>
        <v>2.0108999999999999</v>
      </c>
      <c r="Y17" s="13">
        <f>'Endrunde 4'!$AF40</f>
        <v>0</v>
      </c>
      <c r="Z17" s="1">
        <f ca="1">RANK($W17,$W$17:$W$25)+(9-$Y17)/10</f>
        <v>1.9</v>
      </c>
      <c r="AA17" s="1">
        <f ca="1">SUM(E30:BP30)</f>
        <v>0</v>
      </c>
      <c r="AB17" s="1">
        <f ca="1">SUM(E41:BP41)</f>
        <v>0</v>
      </c>
      <c r="AC17" s="1">
        <f ca="1">SUM(E52:BP52)</f>
        <v>0</v>
      </c>
      <c r="AD17" s="245">
        <f ca="1">RANK($K17,$K$17:$K$25)</f>
        <v>2</v>
      </c>
      <c r="AE17" s="30">
        <f t="shared" ref="AE17:AE22" ca="1" si="29">(J17+$H$65)*$F$65+H17*$F$66</f>
        <v>498008</v>
      </c>
      <c r="AF17" s="1">
        <f ca="1">RANK($AE17,$AE$17:$AE$25)</f>
        <v>4</v>
      </c>
      <c r="AG17" s="1">
        <f ca="1">RANK($W17,$W$17:$W$25)</f>
        <v>1</v>
      </c>
      <c r="AH17" s="247">
        <f ca="1">AD17+AG17/100+AF17/10000+(10-Y17)/1000000</f>
        <v>2.0104099999999998</v>
      </c>
      <c r="AI17" s="1"/>
    </row>
    <row r="18" spans="2:80" s="2" customFormat="1" x14ac:dyDescent="0.2">
      <c r="C18" s="2" t="str">
        <f t="shared" ref="C18:C25" ca="1" si="30">$Q65</f>
        <v>Inter Mailand</v>
      </c>
      <c r="D18" s="1">
        <f t="shared" ca="1" si="17"/>
        <v>3</v>
      </c>
      <c r="E18" s="1">
        <f t="shared" ca="1" si="17"/>
        <v>0</v>
      </c>
      <c r="F18" s="1">
        <f t="shared" ca="1" si="17"/>
        <v>1</v>
      </c>
      <c r="G18" s="1">
        <f t="shared" ca="1" si="17"/>
        <v>2</v>
      </c>
      <c r="H18" s="1">
        <f t="shared" ca="1" si="18"/>
        <v>3</v>
      </c>
      <c r="I18" s="1">
        <f t="shared" ca="1" si="18"/>
        <v>10</v>
      </c>
      <c r="J18" s="13">
        <f t="shared" ca="1" si="18"/>
        <v>-7</v>
      </c>
      <c r="K18" s="1">
        <f t="shared" ca="1" si="18"/>
        <v>1</v>
      </c>
      <c r="L18" s="30">
        <f t="shared" ca="1" si="19"/>
        <v>1493003</v>
      </c>
      <c r="M18" s="14">
        <f t="shared" ref="M18:M25" ca="1" si="31">IF($AI$15,COUNTIF($K$17:$K$25,K18),COUNTIF($L$17:$L$25,L18))</f>
        <v>1</v>
      </c>
      <c r="N18" s="14">
        <f t="array" aca="1" ref="N18" ca="1">IF($AI$15,SUM(($K$17:$K$25&gt;=K18)/COUNTIF($K$17:$K$25,$K$17:$K$25)),SUM(($L$17:$L$25&gt;=L18)/COUNTIF($L$17:$L$25,$L$17:$L$25)))</f>
        <v>4</v>
      </c>
      <c r="O18" s="6" t="str">
        <f t="shared" ca="1" si="20"/>
        <v/>
      </c>
      <c r="P18" s="4" t="str">
        <f t="shared" ca="1" si="21"/>
        <v/>
      </c>
      <c r="Q18" s="4" t="str">
        <f t="shared" ca="1" si="22"/>
        <v/>
      </c>
      <c r="R18" s="4" t="str">
        <f t="shared" ca="1" si="23"/>
        <v/>
      </c>
      <c r="S18" s="4" t="str">
        <f t="shared" ca="1" si="24"/>
        <v/>
      </c>
      <c r="T18" s="4" t="str">
        <f t="shared" ca="1" si="25"/>
        <v/>
      </c>
      <c r="U18" s="4" t="str">
        <f t="shared" ca="1" si="26"/>
        <v/>
      </c>
      <c r="V18" s="57" t="str">
        <f t="shared" ca="1" si="27"/>
        <v/>
      </c>
      <c r="W18" s="64">
        <f t="shared" ca="1" si="28"/>
        <v>500000</v>
      </c>
      <c r="X18" s="22">
        <f t="shared" ref="X18:X25" ca="1" si="32">RANK($L18,$L$17:$L$25)+RANK($W18,$W$17:$W$25)/100+(9-$Y18)/10000</f>
        <v>4.0108999999999995</v>
      </c>
      <c r="Y18" s="13">
        <f>'Endrunde 4'!$AF41</f>
        <v>0</v>
      </c>
      <c r="Z18" s="1">
        <f t="shared" ref="Z18:Z25" ca="1" si="33">RANK($W18,$W$17:$W$25)+(9-$Y18)/10</f>
        <v>1.9</v>
      </c>
      <c r="AA18" s="1">
        <f t="shared" ref="AA18:AA25" ca="1" si="34">SUM(E31:BP31)</f>
        <v>0</v>
      </c>
      <c r="AB18" s="1">
        <f t="shared" ref="AB18:AB25" ca="1" si="35">SUM(E42:BP42)</f>
        <v>0</v>
      </c>
      <c r="AC18" s="1">
        <f t="shared" ref="AC18:AC25" ca="1" si="36">SUM(E53:BP53)</f>
        <v>0</v>
      </c>
      <c r="AD18" s="245">
        <f t="shared" ref="AD18:AD25" ca="1" si="37">RANK($K18,$K$17:$K$25)</f>
        <v>4</v>
      </c>
      <c r="AE18" s="30">
        <f t="shared" ca="1" si="29"/>
        <v>493003</v>
      </c>
      <c r="AF18" s="1">
        <f t="shared" ref="AF18:AF25" ca="1" si="38">RANK($AE18,$AE$17:$AE$25)</f>
        <v>6</v>
      </c>
      <c r="AG18" s="1">
        <f t="shared" ref="AG18:AG25" ca="1" si="39">RANK($W18,$W$17:$W$25)</f>
        <v>1</v>
      </c>
      <c r="AH18" s="248">
        <f t="shared" ref="AH18:AH25" ca="1" si="40">AD18+AG18/100+AF18/10000+(10-Y18)/1000000</f>
        <v>4.0106099999999998</v>
      </c>
      <c r="AI18" s="1"/>
    </row>
    <row r="19" spans="2:80" s="2" customFormat="1" x14ac:dyDescent="0.2">
      <c r="C19" s="2" t="str">
        <f t="shared" ca="1" si="30"/>
        <v>Real Madrid</v>
      </c>
      <c r="D19" s="1">
        <f t="shared" ca="1" si="17"/>
        <v>3</v>
      </c>
      <c r="E19" s="1">
        <f t="shared" ca="1" si="17"/>
        <v>3</v>
      </c>
      <c r="F19" s="1">
        <f t="shared" ca="1" si="17"/>
        <v>0</v>
      </c>
      <c r="G19" s="1">
        <f t="shared" ca="1" si="17"/>
        <v>0</v>
      </c>
      <c r="H19" s="1">
        <f t="shared" ca="1" si="18"/>
        <v>16</v>
      </c>
      <c r="I19" s="1">
        <f t="shared" ca="1" si="18"/>
        <v>5</v>
      </c>
      <c r="J19" s="13">
        <f t="shared" ca="1" si="18"/>
        <v>11</v>
      </c>
      <c r="K19" s="1">
        <f t="shared" ca="1" si="18"/>
        <v>9</v>
      </c>
      <c r="L19" s="30">
        <f t="shared" ca="1" si="19"/>
        <v>9511016</v>
      </c>
      <c r="M19" s="14">
        <f t="shared" ca="1" si="31"/>
        <v>1</v>
      </c>
      <c r="N19" s="14">
        <f t="array" aca="1" ref="N19" ca="1">IF($AI$15,SUM(($K$17:$K$25&gt;=K19)/COUNTIF($K$17:$K$25,$K$17:$K$25)),SUM(($L$17:$L$25&gt;=L19)/COUNTIF($L$17:$L$25,$L$17:$L$25)))</f>
        <v>1</v>
      </c>
      <c r="O19" s="6" t="str">
        <f t="shared" ca="1" si="20"/>
        <v/>
      </c>
      <c r="P19" s="4" t="str">
        <f t="shared" ca="1" si="21"/>
        <v/>
      </c>
      <c r="Q19" s="4" t="str">
        <f t="shared" ca="1" si="22"/>
        <v/>
      </c>
      <c r="R19" s="4" t="str">
        <f t="shared" ca="1" si="23"/>
        <v/>
      </c>
      <c r="S19" s="4" t="str">
        <f t="shared" ca="1" si="24"/>
        <v/>
      </c>
      <c r="T19" s="4" t="str">
        <f t="shared" ca="1" si="25"/>
        <v/>
      </c>
      <c r="U19" s="4" t="str">
        <f t="shared" ca="1" si="26"/>
        <v/>
      </c>
      <c r="V19" s="57" t="str">
        <f t="shared" ca="1" si="27"/>
        <v/>
      </c>
      <c r="W19" s="64">
        <f t="shared" ca="1" si="28"/>
        <v>500000</v>
      </c>
      <c r="X19" s="22">
        <f t="shared" ca="1" si="32"/>
        <v>1.0108999999999999</v>
      </c>
      <c r="Y19" s="13">
        <f>'Endrunde 4'!$AF42</f>
        <v>0</v>
      </c>
      <c r="Z19" s="1">
        <f t="shared" ca="1" si="33"/>
        <v>1.9</v>
      </c>
      <c r="AA19" s="1">
        <f t="shared" ca="1" si="34"/>
        <v>0</v>
      </c>
      <c r="AB19" s="1">
        <f t="shared" ca="1" si="35"/>
        <v>0</v>
      </c>
      <c r="AC19" s="1">
        <f t="shared" ca="1" si="36"/>
        <v>0</v>
      </c>
      <c r="AD19" s="245">
        <f t="shared" ca="1" si="37"/>
        <v>1</v>
      </c>
      <c r="AE19" s="30">
        <f t="shared" ca="1" si="29"/>
        <v>511016</v>
      </c>
      <c r="AF19" s="1">
        <f t="shared" ca="1" si="38"/>
        <v>1</v>
      </c>
      <c r="AG19" s="1">
        <f t="shared" ca="1" si="39"/>
        <v>1</v>
      </c>
      <c r="AH19" s="248">
        <f t="shared" ca="1" si="40"/>
        <v>1.0101100000000001</v>
      </c>
      <c r="AI19" s="1"/>
    </row>
    <row r="20" spans="2:80" s="2" customFormat="1" x14ac:dyDescent="0.2">
      <c r="C20" s="2" t="str">
        <f t="shared" ca="1" si="30"/>
        <v>RB Leipzig</v>
      </c>
      <c r="D20" s="1">
        <f t="shared" ca="1" si="17"/>
        <v>3</v>
      </c>
      <c r="E20" s="1">
        <f t="shared" ca="1" si="17"/>
        <v>0</v>
      </c>
      <c r="F20" s="1">
        <f t="shared" ca="1" si="17"/>
        <v>2</v>
      </c>
      <c r="G20" s="1">
        <f t="shared" ca="1" si="17"/>
        <v>1</v>
      </c>
      <c r="H20" s="1">
        <f t="shared" ca="1" si="18"/>
        <v>4</v>
      </c>
      <c r="I20" s="1">
        <f t="shared" ca="1" si="18"/>
        <v>6</v>
      </c>
      <c r="J20" s="13">
        <f t="shared" ca="1" si="18"/>
        <v>-2</v>
      </c>
      <c r="K20" s="1">
        <f t="shared" ca="1" si="18"/>
        <v>2</v>
      </c>
      <c r="L20" s="30">
        <f t="shared" ca="1" si="19"/>
        <v>2498004</v>
      </c>
      <c r="M20" s="14">
        <f t="shared" ca="1" si="31"/>
        <v>1</v>
      </c>
      <c r="N20" s="14">
        <f t="array" aca="1" ref="N20" ca="1">IF($AI$15,SUM(($K$17:$K$25&gt;=K20)/COUNTIF($K$17:$K$25,$K$17:$K$25)),SUM(($L$17:$L$25&gt;=L20)/COUNTIF($L$17:$L$25,$L$17:$L$25)))</f>
        <v>3</v>
      </c>
      <c r="O20" s="6" t="str">
        <f t="shared" ca="1" si="20"/>
        <v/>
      </c>
      <c r="P20" s="4" t="str">
        <f t="shared" ca="1" si="21"/>
        <v/>
      </c>
      <c r="Q20" s="4" t="str">
        <f t="shared" ca="1" si="22"/>
        <v/>
      </c>
      <c r="R20" s="4" t="str">
        <f t="shared" ca="1" si="23"/>
        <v/>
      </c>
      <c r="S20" s="4" t="str">
        <f t="shared" ca="1" si="24"/>
        <v/>
      </c>
      <c r="T20" s="4" t="str">
        <f t="shared" ca="1" si="25"/>
        <v/>
      </c>
      <c r="U20" s="4" t="str">
        <f t="shared" ca="1" si="26"/>
        <v/>
      </c>
      <c r="V20" s="57" t="str">
        <f t="shared" ca="1" si="27"/>
        <v/>
      </c>
      <c r="W20" s="64">
        <f t="shared" ca="1" si="28"/>
        <v>500000</v>
      </c>
      <c r="X20" s="22">
        <f t="shared" ca="1" si="32"/>
        <v>3.0108999999999999</v>
      </c>
      <c r="Y20" s="13">
        <f>'Endrunde 4'!$AF43</f>
        <v>0</v>
      </c>
      <c r="Z20" s="1">
        <f t="shared" ca="1" si="33"/>
        <v>1.9</v>
      </c>
      <c r="AA20" s="1">
        <f t="shared" ca="1" si="34"/>
        <v>0</v>
      </c>
      <c r="AB20" s="1">
        <f t="shared" ca="1" si="35"/>
        <v>0</v>
      </c>
      <c r="AC20" s="1">
        <f t="shared" ca="1" si="36"/>
        <v>0</v>
      </c>
      <c r="AD20" s="245">
        <f t="shared" ca="1" si="37"/>
        <v>3</v>
      </c>
      <c r="AE20" s="30">
        <f t="shared" ca="1" si="29"/>
        <v>498004</v>
      </c>
      <c r="AF20" s="1">
        <f t="shared" ca="1" si="38"/>
        <v>5</v>
      </c>
      <c r="AG20" s="1">
        <f t="shared" ca="1" si="39"/>
        <v>1</v>
      </c>
      <c r="AH20" s="248">
        <f t="shared" ca="1" si="40"/>
        <v>3.01051</v>
      </c>
      <c r="AI20" s="1"/>
    </row>
    <row r="21" spans="2:80" s="2" customFormat="1" x14ac:dyDescent="0.2">
      <c r="C21" s="2" t="str">
        <f t="shared" si="30"/>
        <v/>
      </c>
      <c r="D21" s="1">
        <f t="shared" ca="1" si="17"/>
        <v>0</v>
      </c>
      <c r="E21" s="1">
        <f t="shared" ca="1" si="17"/>
        <v>0</v>
      </c>
      <c r="F21" s="1">
        <f t="shared" ca="1" si="17"/>
        <v>0</v>
      </c>
      <c r="G21" s="1">
        <f t="shared" ca="1" si="17"/>
        <v>0</v>
      </c>
      <c r="H21" s="1">
        <f t="shared" ca="1" si="18"/>
        <v>0</v>
      </c>
      <c r="I21" s="1">
        <f t="shared" ca="1" si="18"/>
        <v>0</v>
      </c>
      <c r="J21" s="13">
        <f t="shared" ca="1" si="18"/>
        <v>0</v>
      </c>
      <c r="K21" s="1">
        <f t="shared" ca="1" si="18"/>
        <v>0</v>
      </c>
      <c r="L21" s="30">
        <f t="shared" ca="1" si="19"/>
        <v>500000</v>
      </c>
      <c r="M21" s="14">
        <f t="shared" ca="1" si="31"/>
        <v>5</v>
      </c>
      <c r="N21" s="14">
        <f t="array" aca="1" ref="N21" ca="1">IF($AI$15,SUM(($K$17:$K$25&gt;=K21)/COUNTIF($K$17:$K$25,$K$17:$K$25)),SUM(($L$17:$L$25&gt;=L21)/COUNTIF($L$17:$L$25,$L$17:$L$25)))</f>
        <v>5.0000000000000009</v>
      </c>
      <c r="O21" s="6" t="str">
        <f t="shared" ca="1" si="20"/>
        <v/>
      </c>
      <c r="P21" s="4" t="str">
        <f t="shared" ca="1" si="21"/>
        <v/>
      </c>
      <c r="Q21" s="4" t="str">
        <f t="shared" ca="1" si="22"/>
        <v/>
      </c>
      <c r="R21" s="4" t="str">
        <f t="shared" ca="1" si="23"/>
        <v/>
      </c>
      <c r="S21" s="4" t="str">
        <f t="shared" ca="1" si="24"/>
        <v/>
      </c>
      <c r="T21" s="4" t="str">
        <f t="shared" ca="1" si="25"/>
        <v/>
      </c>
      <c r="U21" s="4" t="str">
        <f t="shared" ca="1" si="26"/>
        <v/>
      </c>
      <c r="V21" s="57" t="str">
        <f t="shared" ca="1" si="27"/>
        <v/>
      </c>
      <c r="W21" s="64">
        <f t="shared" ca="1" si="28"/>
        <v>500000</v>
      </c>
      <c r="X21" s="22">
        <f t="shared" ca="1" si="32"/>
        <v>5.0108999999999995</v>
      </c>
      <c r="Y21" s="13">
        <v>0</v>
      </c>
      <c r="Z21" s="1">
        <f t="shared" ca="1" si="33"/>
        <v>1.9</v>
      </c>
      <c r="AA21" s="1">
        <f t="shared" ca="1" si="34"/>
        <v>0</v>
      </c>
      <c r="AB21" s="1">
        <f t="shared" ca="1" si="35"/>
        <v>0</v>
      </c>
      <c r="AC21" s="1">
        <f t="shared" ca="1" si="36"/>
        <v>0</v>
      </c>
      <c r="AD21" s="245">
        <f t="shared" ca="1" si="37"/>
        <v>5</v>
      </c>
      <c r="AE21" s="30">
        <f t="shared" ca="1" si="29"/>
        <v>500000</v>
      </c>
      <c r="AF21" s="1">
        <f t="shared" ca="1" si="38"/>
        <v>2</v>
      </c>
      <c r="AG21" s="1">
        <f t="shared" ca="1" si="39"/>
        <v>1</v>
      </c>
      <c r="AH21" s="248">
        <f t="shared" ca="1" si="40"/>
        <v>5.0102099999999998</v>
      </c>
      <c r="AI21" s="1"/>
    </row>
    <row r="22" spans="2:80" s="2" customFormat="1" x14ac:dyDescent="0.2">
      <c r="C22" s="2" t="str">
        <f t="shared" si="30"/>
        <v/>
      </c>
      <c r="D22" s="1">
        <f t="shared" ca="1" si="17"/>
        <v>0</v>
      </c>
      <c r="E22" s="1">
        <f t="shared" ca="1" si="17"/>
        <v>0</v>
      </c>
      <c r="F22" s="1">
        <f t="shared" ca="1" si="17"/>
        <v>0</v>
      </c>
      <c r="G22" s="1">
        <f t="shared" ca="1" si="17"/>
        <v>0</v>
      </c>
      <c r="H22" s="1">
        <f t="shared" ca="1" si="18"/>
        <v>0</v>
      </c>
      <c r="I22" s="1">
        <f t="shared" ca="1" si="18"/>
        <v>0</v>
      </c>
      <c r="J22" s="13">
        <f t="shared" ca="1" si="18"/>
        <v>0</v>
      </c>
      <c r="K22" s="1">
        <f t="shared" ca="1" si="18"/>
        <v>0</v>
      </c>
      <c r="L22" s="30">
        <f t="shared" ca="1" si="19"/>
        <v>500000</v>
      </c>
      <c r="M22" s="14">
        <f t="shared" ca="1" si="31"/>
        <v>5</v>
      </c>
      <c r="N22" s="14">
        <f t="array" aca="1" ref="N22" ca="1">IF($AI$15,SUM(($K$17:$K$25&gt;=K22)/COUNTIF($K$17:$K$25,$K$17:$K$25)),SUM(($L$17:$L$25&gt;=L22)/COUNTIF($L$17:$L$25,$L$17:$L$25)))</f>
        <v>5.0000000000000009</v>
      </c>
      <c r="O22" s="6" t="str">
        <f t="shared" ca="1" si="20"/>
        <v/>
      </c>
      <c r="P22" s="4" t="str">
        <f t="shared" ca="1" si="21"/>
        <v/>
      </c>
      <c r="Q22" s="4" t="str">
        <f t="shared" ca="1" si="22"/>
        <v/>
      </c>
      <c r="R22" s="4" t="str">
        <f t="shared" ca="1" si="23"/>
        <v/>
      </c>
      <c r="S22" s="4" t="str">
        <f t="shared" ca="1" si="24"/>
        <v/>
      </c>
      <c r="T22" s="4" t="str">
        <f t="shared" ca="1" si="25"/>
        <v/>
      </c>
      <c r="U22" s="4" t="str">
        <f t="shared" ca="1" si="26"/>
        <v/>
      </c>
      <c r="V22" s="57" t="str">
        <f t="shared" ca="1" si="27"/>
        <v/>
      </c>
      <c r="W22" s="64">
        <f t="shared" ca="1" si="28"/>
        <v>500000</v>
      </c>
      <c r="X22" s="22">
        <f t="shared" ca="1" si="32"/>
        <v>5.0108999999999995</v>
      </c>
      <c r="Y22" s="13">
        <v>0</v>
      </c>
      <c r="Z22" s="1">
        <f t="shared" ca="1" si="33"/>
        <v>1.9</v>
      </c>
      <c r="AA22" s="1">
        <f t="shared" ca="1" si="34"/>
        <v>0</v>
      </c>
      <c r="AB22" s="1">
        <f t="shared" ca="1" si="35"/>
        <v>0</v>
      </c>
      <c r="AC22" s="1">
        <f t="shared" ca="1" si="36"/>
        <v>0</v>
      </c>
      <c r="AD22" s="245">
        <f t="shared" ca="1" si="37"/>
        <v>5</v>
      </c>
      <c r="AE22" s="30">
        <f t="shared" ca="1" si="29"/>
        <v>500000</v>
      </c>
      <c r="AF22" s="1">
        <f t="shared" ca="1" si="38"/>
        <v>2</v>
      </c>
      <c r="AG22" s="1">
        <f t="shared" ca="1" si="39"/>
        <v>1</v>
      </c>
      <c r="AH22" s="248">
        <f t="shared" ca="1" si="40"/>
        <v>5.0102099999999998</v>
      </c>
      <c r="AI22" s="1"/>
    </row>
    <row r="23" spans="2:80" s="2" customFormat="1" x14ac:dyDescent="0.2">
      <c r="C23" s="2" t="str">
        <f t="shared" si="30"/>
        <v/>
      </c>
      <c r="D23" s="1">
        <f t="shared" ca="1" si="17"/>
        <v>0</v>
      </c>
      <c r="E23" s="1">
        <f t="shared" ca="1" si="17"/>
        <v>0</v>
      </c>
      <c r="F23" s="1">
        <f t="shared" ca="1" si="17"/>
        <v>0</v>
      </c>
      <c r="G23" s="1">
        <f t="shared" ca="1" si="17"/>
        <v>0</v>
      </c>
      <c r="H23" s="1">
        <f t="shared" ca="1" si="18"/>
        <v>0</v>
      </c>
      <c r="I23" s="1">
        <f t="shared" ca="1" si="18"/>
        <v>0</v>
      </c>
      <c r="J23" s="13">
        <f t="shared" ca="1" si="18"/>
        <v>0</v>
      </c>
      <c r="K23" s="1">
        <f t="shared" ca="1" si="18"/>
        <v>0</v>
      </c>
      <c r="L23" s="30">
        <f t="shared" ca="1" si="19"/>
        <v>500000</v>
      </c>
      <c r="M23" s="14">
        <f t="shared" ca="1" si="31"/>
        <v>5</v>
      </c>
      <c r="N23" s="14">
        <f t="array" aca="1" ref="N23" ca="1">IF($AI$15,SUM(($K$17:$K$25&gt;=K23)/COUNTIF($K$17:$K$25,$K$17:$K$25)),SUM(($L$17:$L$25&gt;=L23)/COUNTIF($L$17:$L$25,$L$17:$L$25)))</f>
        <v>5.0000000000000009</v>
      </c>
      <c r="O23" s="6" t="str">
        <f t="shared" ca="1" si="20"/>
        <v/>
      </c>
      <c r="P23" s="4" t="str">
        <f t="shared" ca="1" si="21"/>
        <v/>
      </c>
      <c r="Q23" s="4" t="str">
        <f t="shared" ca="1" si="22"/>
        <v/>
      </c>
      <c r="R23" s="4" t="str">
        <f t="shared" ca="1" si="23"/>
        <v/>
      </c>
      <c r="S23" s="4" t="str">
        <f t="shared" ca="1" si="24"/>
        <v/>
      </c>
      <c r="T23" s="4" t="str">
        <f t="shared" ca="1" si="25"/>
        <v/>
      </c>
      <c r="U23" s="4" t="str">
        <f t="shared" ca="1" si="26"/>
        <v/>
      </c>
      <c r="V23" s="57" t="str">
        <f t="shared" ca="1" si="27"/>
        <v/>
      </c>
      <c r="W23" s="64">
        <v>0</v>
      </c>
      <c r="X23" s="22">
        <f t="shared" ca="1" si="32"/>
        <v>5.0709</v>
      </c>
      <c r="Y23" s="13">
        <v>0</v>
      </c>
      <c r="Z23" s="1">
        <f t="shared" ca="1" si="33"/>
        <v>7.9</v>
      </c>
      <c r="AA23" s="1">
        <f t="shared" ca="1" si="34"/>
        <v>0</v>
      </c>
      <c r="AB23" s="1">
        <f t="shared" ca="1" si="35"/>
        <v>0</v>
      </c>
      <c r="AC23" s="1">
        <f t="shared" ca="1" si="36"/>
        <v>0</v>
      </c>
      <c r="AD23" s="245">
        <f t="shared" ca="1" si="37"/>
        <v>5</v>
      </c>
      <c r="AE23" s="30">
        <v>0</v>
      </c>
      <c r="AF23" s="1">
        <f t="shared" ca="1" si="38"/>
        <v>7</v>
      </c>
      <c r="AG23" s="1">
        <f t="shared" ca="1" si="39"/>
        <v>7</v>
      </c>
      <c r="AH23" s="248">
        <f t="shared" ca="1" si="40"/>
        <v>5.0707100000000001</v>
      </c>
      <c r="AI23" s="1"/>
    </row>
    <row r="24" spans="2:80" s="2" customFormat="1" x14ac:dyDescent="0.2">
      <c r="C24" s="2" t="str">
        <f t="shared" si="30"/>
        <v/>
      </c>
      <c r="D24" s="1">
        <f t="shared" ca="1" si="17"/>
        <v>0</v>
      </c>
      <c r="E24" s="1">
        <f t="shared" ca="1" si="17"/>
        <v>0</v>
      </c>
      <c r="F24" s="1">
        <f t="shared" ca="1" si="17"/>
        <v>0</v>
      </c>
      <c r="G24" s="1">
        <f t="shared" ca="1" si="17"/>
        <v>0</v>
      </c>
      <c r="H24" s="1">
        <f t="shared" ca="1" si="18"/>
        <v>0</v>
      </c>
      <c r="I24" s="1">
        <f t="shared" ca="1" si="18"/>
        <v>0</v>
      </c>
      <c r="J24" s="13">
        <f t="shared" ca="1" si="18"/>
        <v>0</v>
      </c>
      <c r="K24" s="1">
        <f t="shared" ca="1" si="18"/>
        <v>0</v>
      </c>
      <c r="L24" s="30">
        <f t="shared" ca="1" si="19"/>
        <v>500000</v>
      </c>
      <c r="M24" s="14">
        <f t="shared" ca="1" si="31"/>
        <v>5</v>
      </c>
      <c r="N24" s="14">
        <f t="array" aca="1" ref="N24" ca="1">IF($AI$15,SUM(($K$17:$K$25&gt;=K24)/COUNTIF($K$17:$K$25,$K$17:$K$25)),SUM(($L$17:$L$25&gt;=L24)/COUNTIF($L$17:$L$25,$L$17:$L$25)))</f>
        <v>5.0000000000000009</v>
      </c>
      <c r="O24" s="6" t="str">
        <f t="shared" ca="1" si="20"/>
        <v/>
      </c>
      <c r="P24" s="4" t="str">
        <f t="shared" ca="1" si="21"/>
        <v/>
      </c>
      <c r="Q24" s="4" t="str">
        <f t="shared" ca="1" si="22"/>
        <v/>
      </c>
      <c r="R24" s="4" t="str">
        <f t="shared" ca="1" si="23"/>
        <v/>
      </c>
      <c r="S24" s="4" t="str">
        <f t="shared" ca="1" si="24"/>
        <v/>
      </c>
      <c r="T24" s="4" t="str">
        <f t="shared" ca="1" si="25"/>
        <v/>
      </c>
      <c r="U24" s="4" t="str">
        <f t="shared" ca="1" si="26"/>
        <v/>
      </c>
      <c r="V24" s="57" t="str">
        <f t="shared" ca="1" si="27"/>
        <v/>
      </c>
      <c r="W24" s="64">
        <v>0</v>
      </c>
      <c r="X24" s="22">
        <f t="shared" ca="1" si="32"/>
        <v>5.0709</v>
      </c>
      <c r="Y24" s="13">
        <v>0</v>
      </c>
      <c r="Z24" s="1">
        <f t="shared" ca="1" si="33"/>
        <v>7.9</v>
      </c>
      <c r="AA24" s="1">
        <f t="shared" ca="1" si="34"/>
        <v>0</v>
      </c>
      <c r="AB24" s="1">
        <f t="shared" ca="1" si="35"/>
        <v>0</v>
      </c>
      <c r="AC24" s="1">
        <f t="shared" ca="1" si="36"/>
        <v>0</v>
      </c>
      <c r="AD24" s="245">
        <f t="shared" ca="1" si="37"/>
        <v>5</v>
      </c>
      <c r="AE24" s="30">
        <v>0</v>
      </c>
      <c r="AF24" s="1">
        <f t="shared" ca="1" si="38"/>
        <v>7</v>
      </c>
      <c r="AG24" s="1">
        <f t="shared" ca="1" si="39"/>
        <v>7</v>
      </c>
      <c r="AH24" s="248">
        <f t="shared" ca="1" si="40"/>
        <v>5.0707100000000001</v>
      </c>
      <c r="AI24" s="1"/>
    </row>
    <row r="25" spans="2:80" s="2" customFormat="1" ht="12.75" thickBot="1" x14ac:dyDescent="0.25">
      <c r="C25" s="2" t="str">
        <f t="shared" si="30"/>
        <v/>
      </c>
      <c r="D25" s="1">
        <f t="shared" ca="1" si="17"/>
        <v>0</v>
      </c>
      <c r="E25" s="1">
        <f t="shared" ca="1" si="17"/>
        <v>0</v>
      </c>
      <c r="F25" s="1">
        <f t="shared" ca="1" si="17"/>
        <v>0</v>
      </c>
      <c r="G25" s="1">
        <f t="shared" ca="1" si="17"/>
        <v>0</v>
      </c>
      <c r="H25" s="1">
        <f t="shared" ca="1" si="18"/>
        <v>0</v>
      </c>
      <c r="I25" s="1">
        <f t="shared" ca="1" si="18"/>
        <v>0</v>
      </c>
      <c r="J25" s="13">
        <f t="shared" ca="1" si="18"/>
        <v>0</v>
      </c>
      <c r="K25" s="1">
        <f t="shared" ca="1" si="18"/>
        <v>0</v>
      </c>
      <c r="L25" s="30">
        <f t="shared" ca="1" si="19"/>
        <v>500000</v>
      </c>
      <c r="M25" s="14">
        <f t="shared" ca="1" si="31"/>
        <v>5</v>
      </c>
      <c r="N25" s="14">
        <f t="array" aca="1" ref="N25" ca="1">IF($AI$15,SUM(($K$17:$K$25&gt;=K25)/COUNTIF($K$17:$K$25,$K$17:$K$25)),SUM(($L$17:$L$25&gt;=L25)/COUNTIF($L$17:$L$25,$L$17:$L$25)))</f>
        <v>5.0000000000000009</v>
      </c>
      <c r="O25" s="58" t="str">
        <f t="shared" ca="1" si="20"/>
        <v/>
      </c>
      <c r="P25" s="59" t="str">
        <f t="shared" ca="1" si="21"/>
        <v/>
      </c>
      <c r="Q25" s="59" t="str">
        <f t="shared" ca="1" si="22"/>
        <v/>
      </c>
      <c r="R25" s="59" t="str">
        <f t="shared" ca="1" si="23"/>
        <v/>
      </c>
      <c r="S25" s="59" t="str">
        <f t="shared" ca="1" si="24"/>
        <v/>
      </c>
      <c r="T25" s="59" t="str">
        <f t="shared" ca="1" si="25"/>
        <v/>
      </c>
      <c r="U25" s="59" t="str">
        <f t="shared" ca="1" si="26"/>
        <v/>
      </c>
      <c r="V25" s="60" t="str">
        <f t="shared" ca="1" si="27"/>
        <v/>
      </c>
      <c r="W25" s="64">
        <v>0</v>
      </c>
      <c r="X25" s="23">
        <f t="shared" ca="1" si="32"/>
        <v>5.0709</v>
      </c>
      <c r="Y25" s="13">
        <v>0</v>
      </c>
      <c r="Z25" s="1">
        <f t="shared" ca="1" si="33"/>
        <v>7.9</v>
      </c>
      <c r="AA25" s="1">
        <f t="shared" ca="1" si="34"/>
        <v>0</v>
      </c>
      <c r="AB25" s="1">
        <f t="shared" ca="1" si="35"/>
        <v>0</v>
      </c>
      <c r="AC25" s="1">
        <f t="shared" ca="1" si="36"/>
        <v>0</v>
      </c>
      <c r="AD25" s="245">
        <f t="shared" ca="1" si="37"/>
        <v>5</v>
      </c>
      <c r="AE25" s="30">
        <v>0</v>
      </c>
      <c r="AF25" s="1">
        <f t="shared" ca="1" si="38"/>
        <v>7</v>
      </c>
      <c r="AG25" s="1">
        <f t="shared" ca="1" si="39"/>
        <v>7</v>
      </c>
      <c r="AH25" s="249">
        <f t="shared" ca="1" si="40"/>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Eintracht Frankfurt</v>
      </c>
      <c r="BT29" s="2" t="str">
        <f ca="1">$F$5</f>
        <v>Inter Mailand</v>
      </c>
      <c r="BU29" s="2" t="str">
        <f ca="1">$F$6</f>
        <v>Real Madrid</v>
      </c>
      <c r="BV29" s="2" t="str">
        <f ca="1">$F$7</f>
        <v>RB Leipzig</v>
      </c>
      <c r="BW29" s="2" t="str">
        <f>$F$8</f>
        <v/>
      </c>
      <c r="BX29" s="2" t="str">
        <f>$F$9</f>
        <v/>
      </c>
      <c r="BY29" s="2" t="str">
        <f>$F$10</f>
        <v/>
      </c>
      <c r="BZ29" s="2" t="str">
        <f>$F$11</f>
        <v/>
      </c>
      <c r="CA29" s="2" t="str">
        <f>$F$12</f>
        <v/>
      </c>
      <c r="CB29" s="53"/>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41">F4</f>
        <v>Eintracht Frankfurt</v>
      </c>
      <c r="BS30" s="7"/>
      <c r="BT30" s="8">
        <f t="shared" ref="BT30:CA32" ca="1" si="42">SUMIFS($X$64:$X$135,$V$64:$V$135,$BR30,$W$64:$W$135,BT$29)+SUMIFS($Y$64:$Y$135,$W$64:$W$135,$BR30,$V$64:$V$135,BT$29)</f>
        <v>5</v>
      </c>
      <c r="BU30" s="8">
        <f t="shared" ca="1" si="42"/>
        <v>2</v>
      </c>
      <c r="BV30" s="8">
        <f t="shared" ca="1" si="42"/>
        <v>1</v>
      </c>
      <c r="BW30" s="8">
        <f t="shared" ca="1" si="42"/>
        <v>0</v>
      </c>
      <c r="BX30" s="8">
        <f t="shared" ca="1" si="42"/>
        <v>0</v>
      </c>
      <c r="BY30" s="8">
        <f t="shared" ca="1" si="42"/>
        <v>0</v>
      </c>
      <c r="BZ30" s="8">
        <f t="shared" ca="1" si="42"/>
        <v>0</v>
      </c>
      <c r="CA30" s="8">
        <f t="shared" ca="1" si="42"/>
        <v>0</v>
      </c>
      <c r="CB30" s="4"/>
    </row>
    <row r="31" spans="2:80" s="2" customFormat="1" x14ac:dyDescent="0.2">
      <c r="C31" s="2" t="str">
        <f t="shared" ref="C31:C38" ca="1" si="43">$Q65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41"/>
        <v>Inter Mailand</v>
      </c>
      <c r="BS31" s="9">
        <f t="shared" ref="BS31:BU38" ca="1" si="44">SUMIFS($X$64:$X$135,$V$64:$V$135,$BR31,$W$64:$W$135,BS$29)+SUMIFS($Y$64:$Y$135,$W$64:$W$135,$BR31,$V$64:$V$135,BS$29)</f>
        <v>1</v>
      </c>
      <c r="BT31" s="7"/>
      <c r="BU31" s="8">
        <f t="shared" ca="1" si="42"/>
        <v>1</v>
      </c>
      <c r="BV31" s="8">
        <f t="shared" ca="1" si="42"/>
        <v>1</v>
      </c>
      <c r="BW31" s="8">
        <f t="shared" ca="1" si="42"/>
        <v>0</v>
      </c>
      <c r="BX31" s="8">
        <f t="shared" ca="1" si="42"/>
        <v>0</v>
      </c>
      <c r="BY31" s="8">
        <f t="shared" ca="1" si="42"/>
        <v>0</v>
      </c>
      <c r="BZ31" s="8">
        <f t="shared" ca="1" si="42"/>
        <v>0</v>
      </c>
      <c r="CA31" s="8">
        <f t="shared" ca="1" si="42"/>
        <v>0</v>
      </c>
      <c r="CB31" s="4"/>
    </row>
    <row r="32" spans="2:80" s="2" customFormat="1" x14ac:dyDescent="0.2">
      <c r="C32" s="2" t="str">
        <f t="shared" ca="1" si="43"/>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41"/>
        <v>Real Madrid</v>
      </c>
      <c r="BS32" s="9">
        <f t="shared" ca="1" si="44"/>
        <v>8</v>
      </c>
      <c r="BT32" s="9">
        <f t="shared" ca="1" si="44"/>
        <v>4</v>
      </c>
      <c r="BU32" s="7"/>
      <c r="BV32" s="8">
        <f t="shared" ca="1" si="42"/>
        <v>4</v>
      </c>
      <c r="BW32" s="8">
        <f t="shared" ca="1" si="42"/>
        <v>0</v>
      </c>
      <c r="BX32" s="8">
        <f t="shared" ca="1" si="42"/>
        <v>0</v>
      </c>
      <c r="BY32" s="8">
        <f t="shared" ca="1" si="42"/>
        <v>0</v>
      </c>
      <c r="BZ32" s="8">
        <f t="shared" ca="1" si="42"/>
        <v>0</v>
      </c>
      <c r="CA32" s="8">
        <f t="shared" ca="1" si="42"/>
        <v>0</v>
      </c>
      <c r="CB32" s="4"/>
    </row>
    <row r="33" spans="2:80" s="2" customFormat="1" x14ac:dyDescent="0.2">
      <c r="C33" s="2" t="str">
        <f t="shared" ca="1" si="43"/>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41"/>
        <v>RB Leipzig</v>
      </c>
      <c r="BS33" s="9">
        <f t="shared" ca="1" si="44"/>
        <v>1</v>
      </c>
      <c r="BT33" s="9">
        <f t="shared" ca="1" si="44"/>
        <v>1</v>
      </c>
      <c r="BU33" s="9">
        <f t="shared" ca="1" si="44"/>
        <v>2</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43"/>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41"/>
        <v/>
      </c>
      <c r="BS34" s="9">
        <f t="shared" ca="1" si="44"/>
        <v>0</v>
      </c>
      <c r="BT34" s="9">
        <f t="shared" ca="1" si="44"/>
        <v>0</v>
      </c>
      <c r="BU34" s="9">
        <f t="shared" ca="1" si="44"/>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43"/>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41"/>
        <v/>
      </c>
      <c r="BS35" s="9">
        <f t="shared" ca="1" si="44"/>
        <v>0</v>
      </c>
      <c r="BT35" s="9">
        <f t="shared" ca="1" si="44"/>
        <v>0</v>
      </c>
      <c r="BU35" s="9">
        <f t="shared" ca="1" si="44"/>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43"/>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41"/>
        <v/>
      </c>
      <c r="BS36" s="9">
        <f t="shared" ca="1" si="44"/>
        <v>0</v>
      </c>
      <c r="BT36" s="9">
        <f t="shared" ca="1" si="44"/>
        <v>0</v>
      </c>
      <c r="BU36" s="9">
        <f t="shared" ca="1" si="44"/>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43"/>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41"/>
        <v/>
      </c>
      <c r="BS37" s="9">
        <f t="shared" ca="1" si="44"/>
        <v>0</v>
      </c>
      <c r="BT37" s="9">
        <f t="shared" ca="1" si="44"/>
        <v>0</v>
      </c>
      <c r="BU37" s="9">
        <f t="shared" ca="1" si="44"/>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43"/>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41"/>
        <v/>
      </c>
      <c r="BS38" s="9">
        <f t="shared" ca="1" si="44"/>
        <v>0</v>
      </c>
      <c r="BT38" s="9">
        <f t="shared" ca="1" si="44"/>
        <v>0</v>
      </c>
      <c r="BU38" s="9">
        <f t="shared" ca="1" si="44"/>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Eintracht Frankfurt</v>
      </c>
      <c r="BT40" s="2" t="str">
        <f ca="1">$F$5</f>
        <v>Inter Mailand</v>
      </c>
      <c r="BU40" s="2" t="str">
        <f ca="1">$F$6</f>
        <v>Real Madrid</v>
      </c>
      <c r="BV40" s="2" t="str">
        <f ca="1">$F$7</f>
        <v>RB Leipzig</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5">F4</f>
        <v>Eintracht Frankfurt</v>
      </c>
      <c r="BS41" s="7"/>
      <c r="BT41" s="8">
        <f ca="1">BT30-BS31</f>
        <v>4</v>
      </c>
      <c r="BU41" s="8">
        <f ca="1">BU30-BS32</f>
        <v>-6</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5"/>
        <v>Inter Mailand</v>
      </c>
      <c r="BS42" s="9">
        <f ca="1">IF(BT41="","",-1*BT41)</f>
        <v>-4</v>
      </c>
      <c r="BT42" s="7"/>
      <c r="BU42" s="8">
        <f ca="1">BU31-BT32</f>
        <v>-3</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5"/>
        <v>Real Madrid</v>
      </c>
      <c r="BS43" s="9">
        <f ca="1">IF(BU41="","",-1*BU41)</f>
        <v>6</v>
      </c>
      <c r="BT43" s="9">
        <f ca="1">IF(BU42="","",-1*BU42)</f>
        <v>3</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5"/>
        <v>RB Leipzig</v>
      </c>
      <c r="BS44" s="9">
        <f ca="1">IF(BV41="","",-1*BV41)</f>
        <v>0</v>
      </c>
      <c r="BT44" s="9">
        <f ca="1">IF(BV42="","",-1*BV42)</f>
        <v>0</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5"/>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5"/>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5"/>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5"/>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5"/>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6">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Eintracht Frankfurt</v>
      </c>
      <c r="BT51" s="2" t="str">
        <f ca="1">$F$5</f>
        <v>Inter Mailand</v>
      </c>
      <c r="BU51" s="2" t="str">
        <f ca="1">$F$6</f>
        <v>Real Madrid</v>
      </c>
      <c r="BV51" s="2" t="str">
        <f ca="1">$F$7</f>
        <v>RB Leipzig</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7">F4</f>
        <v>Eintracht Frankfurt</v>
      </c>
      <c r="BS52" s="7"/>
      <c r="BT52" s="8">
        <f t="shared" ref="BT52:CA58" ca="1" si="48">SUMIFS($AE$64:$AE$135,$V$64:$V$135,$BR52,$W$64:$W$135,BT$51)+SUMIFS($AF$64:$AF$135,$W$64:$W$135,$BR52,$V$64:$V$135,BT$51)</f>
        <v>3</v>
      </c>
      <c r="BU52" s="8">
        <f t="shared" ca="1" si="48"/>
        <v>0</v>
      </c>
      <c r="BV52" s="8">
        <f t="shared" ca="1" si="48"/>
        <v>1</v>
      </c>
      <c r="BW52" s="8">
        <f t="shared" ca="1" si="48"/>
        <v>0</v>
      </c>
      <c r="BX52" s="8">
        <f t="shared" ca="1" si="48"/>
        <v>0</v>
      </c>
      <c r="BY52" s="8">
        <f t="shared" ca="1" si="48"/>
        <v>0</v>
      </c>
      <c r="BZ52" s="8">
        <f t="shared" ca="1" si="48"/>
        <v>0</v>
      </c>
      <c r="CA52" s="8">
        <f t="shared" ca="1" si="48"/>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7"/>
        <v>Inter Mailand</v>
      </c>
      <c r="BS53" s="9">
        <f t="shared" ref="BS53:BU60" ca="1" si="49">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8"/>
        <v>0</v>
      </c>
      <c r="CA53" s="8">
        <f t="shared" ca="1" si="48"/>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7"/>
        <v>Real Madrid</v>
      </c>
      <c r="BS54" s="9">
        <f t="shared" ca="1" si="49"/>
        <v>3</v>
      </c>
      <c r="BT54" s="9">
        <f t="shared" ca="1" si="49"/>
        <v>3</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8"/>
        <v>0</v>
      </c>
      <c r="CA54" s="8">
        <f t="shared" ca="1" si="48"/>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7"/>
        <v>RB Leipzig</v>
      </c>
      <c r="BS55" s="9">
        <f t="shared" ca="1" si="49"/>
        <v>1</v>
      </c>
      <c r="BT55" s="9">
        <f t="shared" ca="1" si="49"/>
        <v>1</v>
      </c>
      <c r="BU55" s="9">
        <f t="shared" ca="1" si="49"/>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8"/>
        <v>0</v>
      </c>
      <c r="CA55" s="8">
        <f t="shared" ca="1" si="48"/>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7"/>
        <v/>
      </c>
      <c r="BS56" s="9">
        <f t="shared" ca="1" si="49"/>
        <v>0</v>
      </c>
      <c r="BT56" s="9">
        <f t="shared" ca="1" si="49"/>
        <v>0</v>
      </c>
      <c r="BU56" s="9">
        <f t="shared" ca="1" si="49"/>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8"/>
        <v>0</v>
      </c>
      <c r="CA56" s="8">
        <f t="shared" ca="1" si="48"/>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7"/>
        <v/>
      </c>
      <c r="BS57" s="9">
        <f t="shared" ca="1" si="49"/>
        <v>0</v>
      </c>
      <c r="BT57" s="9">
        <f t="shared" ca="1" si="49"/>
        <v>0</v>
      </c>
      <c r="BU57" s="9">
        <f t="shared" ca="1" si="49"/>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8"/>
        <v>0</v>
      </c>
      <c r="CA57" s="8">
        <f t="shared" ca="1" si="48"/>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7"/>
        <v/>
      </c>
      <c r="BS58" s="9">
        <f t="shared" ca="1" si="49"/>
        <v>0</v>
      </c>
      <c r="BT58" s="9">
        <f t="shared" ca="1" si="49"/>
        <v>0</v>
      </c>
      <c r="BU58" s="9">
        <f t="shared" ca="1" si="49"/>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8"/>
        <v>0</v>
      </c>
      <c r="CA58" s="8">
        <f t="shared" ca="1" si="48"/>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7"/>
        <v/>
      </c>
      <c r="BS59" s="9">
        <f t="shared" ca="1" si="49"/>
        <v>0</v>
      </c>
      <c r="BT59" s="9">
        <f t="shared" ca="1" si="49"/>
        <v>0</v>
      </c>
      <c r="BU59" s="9">
        <f t="shared" ca="1" si="49"/>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7"/>
        <v/>
      </c>
      <c r="BS60" s="9">
        <f t="shared" ca="1" si="49"/>
        <v>0</v>
      </c>
      <c r="BT60" s="9">
        <f t="shared" ca="1" si="49"/>
        <v>0</v>
      </c>
      <c r="BU60" s="9">
        <f t="shared" ca="1" si="49"/>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IF('Endrunde 4'!$AE40="","",'Endrunde 4'!$AE40)</f>
        <v>Eintracht Frankfurt</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1" t="str">
        <f ca="1">IF(AA64&gt;0,X64&amp;Sprache!$E$111&amp;Y64,"")</f>
        <v/>
      </c>
      <c r="AD64" s="142"/>
      <c r="AE64" s="147" t="str">
        <f ca="1">IF($AA64=0,"",IF($X64&gt;$Y64,Einstellungen!$C$4,IF($X64=$Y64,1,0)))</f>
        <v/>
      </c>
      <c r="AF64" s="142" t="str">
        <f ca="1">IF($AA64=0,"",IF($X64&lt;$Y64,Einstellungen!$C$4,IF($X64=$Y64,1,0)))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 ca="1">IF('Endrunde 4'!$AE41="","",'Endrunde 4'!$AE41)</f>
        <v>Inter Mailand</v>
      </c>
      <c r="U65" s="67" t="s">
        <v>8</v>
      </c>
      <c r="V65" s="41" t="str">
        <f ca="1">'Endrunde 4'!$I13</f>
        <v>Maibach 1822 eV</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50">V65&amp;W65</f>
        <v>Maibach 1822 eVSSV Wildbach</v>
      </c>
      <c r="AA65" s="13">
        <f t="shared" ref="AA65:AA128" ca="1" si="51">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IF('Endrunde 4'!$AE42="","",'Endrunde 4'!$AE42)</f>
        <v>Real Madrid</v>
      </c>
      <c r="U66" s="67" t="s">
        <v>9</v>
      </c>
      <c r="V66" s="41" t="str">
        <f ca="1">'Endrunde 4'!$I14</f>
        <v>VFB Essenheim</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50"/>
        <v>VFB EssenheimFC Grönlingen</v>
      </c>
      <c r="AA66" s="13">
        <f t="shared" ca="1" si="51"/>
        <v>1</v>
      </c>
      <c r="AB66" s="13" t="str">
        <f ca="1">IF(AA66&gt;0,X66&amp;Sprache!$E$111&amp;Y66,"")</f>
        <v>2:1</v>
      </c>
      <c r="AD66" s="143"/>
      <c r="AE66" s="148">
        <f ca="1">IF($AA66=0,"",IF($X66&gt;$Y66,Einstellungen!$C$4,IF($X66=$Y66,1,0)))</f>
        <v>3</v>
      </c>
      <c r="AF66" s="143">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4'!$AE43="","",'Endrunde 4'!$AE43)</f>
        <v>RB Leipzig</v>
      </c>
      <c r="U67" s="67" t="s">
        <v>10</v>
      </c>
      <c r="V67" s="41" t="str">
        <f ca="1">'Endrunde 4'!$I15</f>
        <v>1. FC Riedwald</v>
      </c>
      <c r="W67" s="13" t="str">
        <f ca="1">'Endrunde 4'!$K15</f>
        <v>Mainz 05</v>
      </c>
      <c r="X67" s="13">
        <f ca="1">IF(AND('Endrunde 4'!$L15&lt;&gt;"",'Endrunde 4'!$N15&lt;&gt;"",$V67&lt;&gt;$W67,$V67&lt;&gt;"",$W67&lt;&gt;""),'Endrunde 4'!$L15,"")</f>
        <v>0</v>
      </c>
      <c r="Y67" s="36">
        <f ca="1">IF(AND('Endrunde 4'!$L15&lt;&gt;"",'Endrunde 4'!$N15&lt;&gt;"",$V67&lt;&gt;$W67,$V67&lt;&gt;"",$W67&lt;&gt;""),'Endrunde 4'!$N15,"")</f>
        <v>0</v>
      </c>
      <c r="Z67" s="35" t="str">
        <f t="shared" ca="1" si="50"/>
        <v>1. FC RiedwaldMainz 05</v>
      </c>
      <c r="AA67" s="13">
        <f t="shared" ca="1" si="51"/>
        <v>1</v>
      </c>
      <c r="AB67" s="13" t="str">
        <f ca="1">IF(AA67&gt;0,X67&amp;Sprache!$E$111&amp;Y67,"")</f>
        <v>0:0</v>
      </c>
      <c r="AD67" s="143"/>
      <c r="AE67" s="148">
        <f ca="1">IF($AA67=0,"",IF($X67&gt;$Y67,Einstellungen!$C$4,IF($X67=$Y67,1,0)))</f>
        <v>1</v>
      </c>
      <c r="AF67" s="143">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Eintracht Frankfurt</v>
      </c>
      <c r="W68" s="13" t="str">
        <f ca="1">'Endrunde 4'!$K16</f>
        <v>Inter Mailand</v>
      </c>
      <c r="X68" s="13">
        <f ca="1">IF(AND('Endrunde 4'!$L16&lt;&gt;"",'Endrunde 4'!$N16&lt;&gt;"",$V68&lt;&gt;$W68,$V68&lt;&gt;"",$W68&lt;&gt;""),'Endrunde 4'!$L16,"")</f>
        <v>5</v>
      </c>
      <c r="Y68" s="36">
        <f ca="1">IF(AND('Endrunde 4'!$L16&lt;&gt;"",'Endrunde 4'!$N16&lt;&gt;"",$V68&lt;&gt;$W68,$V68&lt;&gt;"",$W68&lt;&gt;""),'Endrunde 4'!$N16,"")</f>
        <v>1</v>
      </c>
      <c r="Z68" s="35" t="str">
        <f t="shared" ca="1" si="50"/>
        <v>Eintracht FrankfurtInter Mailand</v>
      </c>
      <c r="AA68" s="13">
        <f t="shared" ca="1" si="51"/>
        <v>1</v>
      </c>
      <c r="AB68" s="13" t="str">
        <f ca="1">IF(AA68&gt;0,X68&amp;Sprache!$E$111&amp;Y68,"")</f>
        <v>5:1</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FC Barcelona</v>
      </c>
      <c r="W69" s="13" t="str">
        <f ca="1">'Endrunde 4'!$K17</f>
        <v>Manchester City</v>
      </c>
      <c r="X69" s="13">
        <f ca="1">IF(AND('Endrunde 4'!$L17&lt;&gt;"",'Endrunde 4'!$N17&lt;&gt;"",$V69&lt;&gt;$W69,$V69&lt;&gt;"",$W69&lt;&gt;""),'Endrunde 4'!$L17,"")</f>
        <v>2</v>
      </c>
      <c r="Y69" s="36">
        <f ca="1">IF(AND('Endrunde 4'!$L17&lt;&gt;"",'Endrunde 4'!$N17&lt;&gt;"",$V69&lt;&gt;$W69,$V69&lt;&gt;"",$W69&lt;&gt;""),'Endrunde 4'!$N17,"")</f>
        <v>3</v>
      </c>
      <c r="Z69" s="35" t="str">
        <f t="shared" ca="1" si="50"/>
        <v>FC BarcelonaManchester City</v>
      </c>
      <c r="AA69" s="13">
        <f t="shared" ca="1" si="51"/>
        <v>1</v>
      </c>
      <c r="AB69" s="13" t="str">
        <f ca="1">IF(AA69&gt;0,X69&amp;Sprache!$E$111&amp;Y69,"")</f>
        <v>2:3</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'Endrunde 4'!$I18</f>
        <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50"/>
        <v/>
      </c>
      <c r="AA70" s="13">
        <f t="shared" ca="1" si="51"/>
        <v>0</v>
      </c>
      <c r="AB70" s="13" t="str">
        <f ca="1">IF(AA70&gt;0,X70&amp;Sprache!$E$111&amp;Y70,"")</f>
        <v/>
      </c>
      <c r="AD70" s="143"/>
      <c r="AE70" s="148" t="str">
        <f ca="1">IF($AA70=0,"",IF($X70&gt;$Y70,Einstellungen!$C$4,IF($X70=$Y70,1,0)))</f>
        <v/>
      </c>
      <c r="AF70" s="143"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FSV Rauen</v>
      </c>
      <c r="W71" s="13" t="str">
        <f ca="1">'Endrunde 4'!$K19</f>
        <v>TSG Saalberg eV</v>
      </c>
      <c r="X71" s="13">
        <f ca="1">IF(AND('Endrunde 4'!$L19&lt;&gt;"",'Endrunde 4'!$N19&lt;&gt;"",$V71&lt;&gt;$W71,$V71&lt;&gt;"",$W71&lt;&gt;""),'Endrunde 4'!$L19,"")</f>
        <v>5</v>
      </c>
      <c r="Y71" s="36">
        <f ca="1">IF(AND('Endrunde 4'!$L19&lt;&gt;"",'Endrunde 4'!$N19&lt;&gt;"",$V71&lt;&gt;$W71,$V71&lt;&gt;"",$W71&lt;&gt;""),'Endrunde 4'!$N19,"")</f>
        <v>3</v>
      </c>
      <c r="Z71" s="35" t="str">
        <f t="shared" ca="1" si="50"/>
        <v>FSV RauenTSG Saalberg eV</v>
      </c>
      <c r="AA71" s="13">
        <f t="shared" ca="1" si="51"/>
        <v>1</v>
      </c>
      <c r="AB71" s="13" t="str">
        <f ca="1">IF(AA71&gt;0,X71&amp;Sprache!$E$111&amp;Y71,"")</f>
        <v>5:3</v>
      </c>
      <c r="AD71" s="143"/>
      <c r="AE71" s="148">
        <f ca="1">IF($AA71=0,"",IF($X71&gt;$Y71,Einstellungen!$C$4,IF($X71=$Y71,1,0)))</f>
        <v>3</v>
      </c>
      <c r="AF71" s="143">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Kickers Rodendorf</v>
      </c>
      <c r="W72" s="13" t="str">
        <f ca="1">'Endrunde 4'!$K20</f>
        <v>SV Oberredenburg</v>
      </c>
      <c r="X72" s="13">
        <f ca="1">IF(AND('Endrunde 4'!$L20&lt;&gt;"",'Endrunde 4'!$N20&lt;&gt;"",$V72&lt;&gt;$W72,$V72&lt;&gt;"",$W72&lt;&gt;""),'Endrunde 4'!$L20,"")</f>
        <v>2</v>
      </c>
      <c r="Y72" s="36">
        <f ca="1">IF(AND('Endrunde 4'!$L20&lt;&gt;"",'Endrunde 4'!$N20&lt;&gt;"",$V72&lt;&gt;$W72,$V72&lt;&gt;"",$W72&lt;&gt;""),'Endrunde 4'!$N20,"")</f>
        <v>1</v>
      </c>
      <c r="Z72" s="35" t="str">
        <f t="shared" ca="1" si="50"/>
        <v>Kickers RodendorfSV Oberredenburg</v>
      </c>
      <c r="AA72" s="13">
        <f t="shared" ca="1" si="51"/>
        <v>1</v>
      </c>
      <c r="AB72" s="13" t="str">
        <f ca="1">IF(AA72&gt;0,X72&amp;Sprache!$E$111&amp;Y72,"")</f>
        <v>2:1</v>
      </c>
      <c r="AD72" s="143"/>
      <c r="AE72" s="148">
        <f ca="1">IF($AA72=0,"",IF($X72&gt;$Y72,Einstellungen!$C$4,IF($X72=$Y72,1,0)))</f>
        <v>3</v>
      </c>
      <c r="AF72" s="143">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1. FC Nürnberg</v>
      </c>
      <c r="W73" s="13" t="str">
        <f ca="1">'Endrunde 4'!$K21</f>
        <v>HSV</v>
      </c>
      <c r="X73" s="13">
        <f ca="1">IF(AND('Endrunde 4'!$L21&lt;&gt;"",'Endrunde 4'!$N21&lt;&gt;"",$V73&lt;&gt;$W73,$V73&lt;&gt;"",$W73&lt;&gt;""),'Endrunde 4'!$L21,"")</f>
        <v>3</v>
      </c>
      <c r="Y73" s="36">
        <f ca="1">IF(AND('Endrunde 4'!$L21&lt;&gt;"",'Endrunde 4'!$N21&lt;&gt;"",$V73&lt;&gt;$W73,$V73&lt;&gt;"",$W73&lt;&gt;""),'Endrunde 4'!$N21,"")</f>
        <v>1</v>
      </c>
      <c r="Z73" s="35" t="str">
        <f t="shared" ca="1" si="50"/>
        <v>1. FC NürnbergHSV</v>
      </c>
      <c r="AA73" s="13">
        <f t="shared" ca="1" si="51"/>
        <v>1</v>
      </c>
      <c r="AB73" s="13" t="str">
        <f ca="1">IF(AA73&gt;0,X73&amp;Sprache!$E$111&amp;Y73,"")</f>
        <v>3:1</v>
      </c>
      <c r="AD73" s="143"/>
      <c r="AE73" s="148">
        <f ca="1">IF($AA73=0,"",IF($X73&gt;$Y73,Einstellungen!$C$4,IF($X73=$Y73,1,0)))</f>
        <v>3</v>
      </c>
      <c r="AF73" s="143">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Real Madrid</v>
      </c>
      <c r="W74" s="13" t="str">
        <f ca="1">'Endrunde 4'!$K22</f>
        <v>RB Leipzig</v>
      </c>
      <c r="X74" s="13">
        <f ca="1">IF(AND('Endrunde 4'!$L22&lt;&gt;"",'Endrunde 4'!$N22&lt;&gt;"",$V74&lt;&gt;$W74,$V74&lt;&gt;"",$W74&lt;&gt;""),'Endrunde 4'!$L22,"")</f>
        <v>4</v>
      </c>
      <c r="Y74" s="36">
        <f ca="1">IF(AND('Endrunde 4'!$L22&lt;&gt;"",'Endrunde 4'!$N22&lt;&gt;"",$V74&lt;&gt;$W74,$V74&lt;&gt;"",$W74&lt;&gt;""),'Endrunde 4'!$N22,"")</f>
        <v>2</v>
      </c>
      <c r="Z74" s="35" t="str">
        <f ca="1">V74&amp;W74</f>
        <v>Real MadridRB Leipzig</v>
      </c>
      <c r="AA74" s="13">
        <f t="shared" ca="1" si="51"/>
        <v>1</v>
      </c>
      <c r="AB74" s="13" t="str">
        <f ca="1">IF(AA74&gt;0,X74&amp;Sprache!$E$111&amp;Y74,"")</f>
        <v>4:2</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Borussia Dortmund</v>
      </c>
      <c r="W75" s="13" t="str">
        <f ca="1">'Endrunde 4'!$K23</f>
        <v>Paris St. Germain</v>
      </c>
      <c r="X75" s="13">
        <f ca="1">IF(AND('Endrunde 4'!$L23&lt;&gt;"",'Endrunde 4'!$N23&lt;&gt;"",$V75&lt;&gt;$W75,$V75&lt;&gt;"",$W75&lt;&gt;""),'Endrunde 4'!$L23,"")</f>
        <v>1</v>
      </c>
      <c r="Y75" s="36">
        <f ca="1">IF(AND('Endrunde 4'!$L23&lt;&gt;"",'Endrunde 4'!$N23&lt;&gt;"",$V75&lt;&gt;$W75,$V75&lt;&gt;"",$W75&lt;&gt;""),'Endrunde 4'!$N23,"")</f>
        <v>3</v>
      </c>
      <c r="Z75" s="35" t="str">
        <f t="shared" ref="Z75:Z108" ca="1" si="52">V75&amp;W75</f>
        <v>Borussia DortmundParis St. Germain</v>
      </c>
      <c r="AA75" s="13">
        <f t="shared" ca="1" si="51"/>
        <v>1</v>
      </c>
      <c r="AB75" s="13" t="str">
        <f ca="1">IF(AA75&gt;0,X75&amp;Sprache!$E$111&amp;Y75,"")</f>
        <v>1:3</v>
      </c>
      <c r="AD75" s="143"/>
      <c r="AE75" s="148">
        <f ca="1">IF($AA75=0,"",IF($X75&gt;$Y75,Einstellungen!$C$4,IF($X75=$Y75,1,0)))</f>
        <v>0</v>
      </c>
      <c r="AF75" s="143">
        <f ca="1">IF($AA75=0,"",IF($X75&lt;$Y75,Einstellungen!$C$4,IF($X75=$Y75,1,0)))</f>
        <v>3</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52"/>
        <v/>
      </c>
      <c r="AA76" s="13">
        <f t="shared" ca="1" si="51"/>
        <v>0</v>
      </c>
      <c r="AB76" s="13" t="str">
        <f ca="1">IF(AA76&gt;0,X76&amp;Sprache!$E$111&amp;Y76,"")</f>
        <v/>
      </c>
      <c r="AD76" s="143"/>
      <c r="AE76" s="148" t="str">
        <f ca="1">IF($AA76=0,"",IF($X76&gt;$Y76,Einstellungen!$C$4,IF($X76=$Y76,1,0)))</f>
        <v/>
      </c>
      <c r="AF76" s="143"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Maibach 1822 eV</v>
      </c>
      <c r="W77" s="13" t="str">
        <f ca="1">'Endrunde 4'!$K25</f>
        <v>FSV Rauen</v>
      </c>
      <c r="X77" s="13">
        <f ca="1">IF(AND('Endrunde 4'!$L25&lt;&gt;"",'Endrunde 4'!$N25&lt;&gt;"",$V77&lt;&gt;$W77,$V77&lt;&gt;"",$W77&lt;&gt;""),'Endrunde 4'!$L25,"")</f>
        <v>1</v>
      </c>
      <c r="Y77" s="36">
        <f ca="1">IF(AND('Endrunde 4'!$L25&lt;&gt;"",'Endrunde 4'!$N25&lt;&gt;"",$V77&lt;&gt;$W77,$V77&lt;&gt;"",$W77&lt;&gt;""),'Endrunde 4'!$N25,"")</f>
        <v>5</v>
      </c>
      <c r="Z77" s="35" t="str">
        <f t="shared" ca="1" si="52"/>
        <v>Maibach 1822 eVFSV Rauen</v>
      </c>
      <c r="AA77" s="13">
        <f t="shared" ca="1" si="51"/>
        <v>1</v>
      </c>
      <c r="AB77" s="13" t="str">
        <f ca="1">IF(AA77&gt;0,X77&amp;Sprache!$E$111&amp;Y77,"")</f>
        <v>1:5</v>
      </c>
      <c r="AD77" s="143"/>
      <c r="AE77" s="148">
        <f ca="1">IF($AA77=0,"",IF($X77&gt;$Y77,Einstellungen!$C$4,IF($X77=$Y77,1,0)))</f>
        <v>0</v>
      </c>
      <c r="AF77" s="143">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VFB Essenheim</v>
      </c>
      <c r="W78" s="13" t="str">
        <f ca="1">'Endrunde 4'!$K26</f>
        <v>Kickers Rodendorf</v>
      </c>
      <c r="X78" s="13">
        <f ca="1">IF(AND('Endrunde 4'!$L26&lt;&gt;"",'Endrunde 4'!$N26&lt;&gt;"",$V78&lt;&gt;$W78,$V78&lt;&gt;"",$W78&lt;&gt;""),'Endrunde 4'!$L26,"")</f>
        <v>4</v>
      </c>
      <c r="Y78" s="36">
        <f ca="1">IF(AND('Endrunde 4'!$L26&lt;&gt;"",'Endrunde 4'!$N26&lt;&gt;"",$V78&lt;&gt;$W78,$V78&lt;&gt;"",$W78&lt;&gt;""),'Endrunde 4'!$N26,"")</f>
        <v>4</v>
      </c>
      <c r="Z78" s="35" t="str">
        <f t="shared" ca="1" si="52"/>
        <v>VFB EssenheimKickers Rodendorf</v>
      </c>
      <c r="AA78" s="13">
        <f t="shared" ca="1" si="51"/>
        <v>1</v>
      </c>
      <c r="AB78" s="13" t="str">
        <f ca="1">IF(AA78&gt;0,X78&amp;Sprache!$E$111&amp;Y78,"")</f>
        <v>4:4</v>
      </c>
      <c r="AD78" s="143"/>
      <c r="AE78" s="148">
        <f ca="1">IF($AA78=0,"",IF($X78&gt;$Y78,Einstellungen!$C$4,IF($X78=$Y78,1,0)))</f>
        <v>1</v>
      </c>
      <c r="AF78" s="143">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1. FC Riedwald</v>
      </c>
      <c r="W79" s="13" t="str">
        <f ca="1">'Endrunde 4'!$K27</f>
        <v>1. FC Nürnberg</v>
      </c>
      <c r="X79" s="13">
        <f ca="1">IF(AND('Endrunde 4'!$L27&lt;&gt;"",'Endrunde 4'!$N27&lt;&gt;"",$V79&lt;&gt;$W79,$V79&lt;&gt;"",$W79&lt;&gt;""),'Endrunde 4'!$L27,"")</f>
        <v>0</v>
      </c>
      <c r="Y79" s="36">
        <f ca="1">IF(AND('Endrunde 4'!$L27&lt;&gt;"",'Endrunde 4'!$N27&lt;&gt;"",$V79&lt;&gt;$W79,$V79&lt;&gt;"",$W79&lt;&gt;""),'Endrunde 4'!$N27,"")</f>
        <v>7</v>
      </c>
      <c r="Z79" s="35" t="str">
        <f t="shared" ca="1" si="52"/>
        <v>1. FC Riedwald1. FC Nürnberg</v>
      </c>
      <c r="AA79" s="13">
        <f t="shared" ca="1" si="51"/>
        <v>1</v>
      </c>
      <c r="AB79" s="13" t="str">
        <f ca="1">IF(AA79&gt;0,X79&amp;Sprache!$E$111&amp;Y79,"")</f>
        <v>0:7</v>
      </c>
      <c r="AD79" s="143"/>
      <c r="AE79" s="148">
        <f ca="1">IF($AA79=0,"",IF($X79&gt;$Y79,Einstellungen!$C$4,IF($X79=$Y79,1,0)))</f>
        <v>0</v>
      </c>
      <c r="AF79" s="143">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Eintracht Frankfurt</v>
      </c>
      <c r="W80" s="13" t="str">
        <f ca="1">'Endrunde 4'!$K28</f>
        <v>Real Madrid</v>
      </c>
      <c r="X80" s="13">
        <f ca="1">IF(AND('Endrunde 4'!$L28&lt;&gt;"",'Endrunde 4'!$N28&lt;&gt;"",$V80&lt;&gt;$W80,$V80&lt;&gt;"",$W80&lt;&gt;""),'Endrunde 4'!$L28,"")</f>
        <v>2</v>
      </c>
      <c r="Y80" s="36">
        <f ca="1">IF(AND('Endrunde 4'!$L28&lt;&gt;"",'Endrunde 4'!$N28&lt;&gt;"",$V80&lt;&gt;$W80,$V80&lt;&gt;"",$W80&lt;&gt;""),'Endrunde 4'!$N28,"")</f>
        <v>8</v>
      </c>
      <c r="Z80" s="35" t="str">
        <f t="shared" ca="1" si="52"/>
        <v>Eintracht FrankfurtReal Madrid</v>
      </c>
      <c r="AA80" s="13">
        <f t="shared" ca="1" si="51"/>
        <v>1</v>
      </c>
      <c r="AB80" s="13" t="str">
        <f ca="1">IF(AA80&gt;0,X80&amp;Sprache!$E$111&amp;Y80,"")</f>
        <v>2:8</v>
      </c>
      <c r="AD80" s="143"/>
      <c r="AE80" s="148">
        <f ca="1">IF($AA80=0,"",IF($X80&gt;$Y80,Einstellungen!$C$4,IF($X80=$Y80,1,0)))</f>
        <v>0</v>
      </c>
      <c r="AF80" s="143">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FC Barcelona</v>
      </c>
      <c r="W81" s="13" t="str">
        <f ca="1">'Endrunde 4'!$K29</f>
        <v>Borussia Dortmund</v>
      </c>
      <c r="X81" s="13">
        <f ca="1">IF(AND('Endrunde 4'!$L29&lt;&gt;"",'Endrunde 4'!$N29&lt;&gt;"",$V81&lt;&gt;$W81,$V81&lt;&gt;"",$W81&lt;&gt;""),'Endrunde 4'!$L29,"")</f>
        <v>4</v>
      </c>
      <c r="Y81" s="36">
        <f ca="1">IF(AND('Endrunde 4'!$L29&lt;&gt;"",'Endrunde 4'!$N29&lt;&gt;"",$V81&lt;&gt;$W81,$V81&lt;&gt;"",$W81&lt;&gt;""),'Endrunde 4'!$N29,"")</f>
        <v>0</v>
      </c>
      <c r="Z81" s="35" t="str">
        <f t="shared" ca="1" si="52"/>
        <v>FC BarcelonaBorussia Dortmund</v>
      </c>
      <c r="AA81" s="13">
        <f t="shared" ca="1" si="51"/>
        <v>1</v>
      </c>
      <c r="AB81" s="13" t="str">
        <f ca="1">IF(AA81&gt;0,X81&amp;Sprache!$E$111&amp;Y81,"")</f>
        <v>4:0</v>
      </c>
      <c r="AD81" s="143"/>
      <c r="AE81" s="148">
        <f ca="1">IF($AA81=0,"",IF($X81&gt;$Y81,Einstellungen!$C$4,IF($X81=$Y81,1,0)))</f>
        <v>3</v>
      </c>
      <c r="AF81" s="143">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'Endrunde 4'!$I30</f>
        <v/>
      </c>
      <c r="W82" s="13" t="str">
        <f ca="1">'Endrunde 4'!$K30</f>
        <v/>
      </c>
      <c r="X82" s="13" t="str">
        <f ca="1">IF(AND('Endrunde 4'!$L30&lt;&gt;"",'Endrunde 4'!$N30&lt;&gt;"",$V82&lt;&gt;$W82,$V82&lt;&gt;"",$W82&lt;&gt;""),'Endrunde 4'!$L30,"")</f>
        <v/>
      </c>
      <c r="Y82" s="36" t="str">
        <f ca="1">IF(AND('Endrunde 4'!$L30&lt;&gt;"",'Endrunde 4'!$N30&lt;&gt;"",$V82&lt;&gt;$W82,$V82&lt;&gt;"",$W82&lt;&gt;""),'Endrunde 4'!$N30,"")</f>
        <v/>
      </c>
      <c r="Z82" s="35" t="str">
        <f t="shared" ca="1" si="52"/>
        <v/>
      </c>
      <c r="AA82" s="13">
        <f t="shared" ca="1" si="51"/>
        <v>0</v>
      </c>
      <c r="AB82" s="13" t="str">
        <f ca="1">IF(AA82&gt;0,X82&amp;Sprache!$E$111&amp;Y82,"")</f>
        <v/>
      </c>
      <c r="AD82" s="143"/>
      <c r="AE82" s="148" t="str">
        <f ca="1">IF($AA82=0,"",IF($X82&gt;$Y82,Einstellungen!$C$4,IF($X82=$Y82,1,0)))</f>
        <v/>
      </c>
      <c r="AF82" s="143" t="str">
        <f ca="1">IF($AA82=0,"",IF($X82&lt;$Y82,Einstellungen!$C$4,IF($X82=$Y82,1,0)))</f>
        <v/>
      </c>
    </row>
    <row r="83" spans="2:32" s="2" customFormat="1" x14ac:dyDescent="0.2">
      <c r="B83" s="4"/>
      <c r="C83" s="4"/>
      <c r="D83" s="4"/>
      <c r="E83" s="4"/>
      <c r="F83" s="13"/>
      <c r="G83" s="13"/>
      <c r="H83" s="13"/>
      <c r="I83" s="13"/>
      <c r="J83" s="13"/>
      <c r="K83" s="13"/>
      <c r="L83" s="13"/>
      <c r="M83" s="13"/>
      <c r="U83" s="67" t="s">
        <v>35</v>
      </c>
      <c r="V83" s="41" t="str">
        <f ca="1">'Endrunde 4'!$I31</f>
        <v>TSG Saalberg eV</v>
      </c>
      <c r="W83" s="13" t="str">
        <f ca="1">'Endrunde 4'!$K31</f>
        <v>SSV Wildbach</v>
      </c>
      <c r="X83" s="13">
        <f ca="1">IF(AND('Endrunde 4'!$L31&lt;&gt;"",'Endrunde 4'!$N31&lt;&gt;"",$V83&lt;&gt;$W83,$V83&lt;&gt;"",$W83&lt;&gt;""),'Endrunde 4'!$L31,"")</f>
        <v>4</v>
      </c>
      <c r="Y83" s="36">
        <f ca="1">IF(AND('Endrunde 4'!$L31&lt;&gt;"",'Endrunde 4'!$N31&lt;&gt;"",$V83&lt;&gt;$W83,$V83&lt;&gt;"",$W83&lt;&gt;""),'Endrunde 4'!$N31,"")</f>
        <v>1</v>
      </c>
      <c r="Z83" s="35" t="str">
        <f t="shared" ca="1" si="52"/>
        <v>TSG Saalberg eVSSV Wildbach</v>
      </c>
      <c r="AA83" s="13">
        <f t="shared" ca="1" si="51"/>
        <v>1</v>
      </c>
      <c r="AB83" s="13" t="str">
        <f ca="1">IF(AA83&gt;0,X83&amp;Sprache!$E$111&amp;Y83,"")</f>
        <v>4:1</v>
      </c>
      <c r="AD83" s="143"/>
      <c r="AE83" s="148">
        <f ca="1">IF($AA83=0,"",IF($X83&gt;$Y83,Einstellungen!$C$4,IF($X83=$Y83,1,0)))</f>
        <v>3</v>
      </c>
      <c r="AF83" s="143">
        <f ca="1">IF($AA83=0,"",IF($X83&lt;$Y83,Einstellungen!$C$4,IF($X83=$Y83,1,0)))</f>
        <v>0</v>
      </c>
    </row>
    <row r="84" spans="2:32" s="2" customFormat="1" x14ac:dyDescent="0.2">
      <c r="B84" s="4"/>
      <c r="C84" s="4"/>
      <c r="D84" s="4"/>
      <c r="E84" s="4"/>
      <c r="F84" s="13"/>
      <c r="G84" s="13"/>
      <c r="H84" s="13"/>
      <c r="I84" s="13"/>
      <c r="J84" s="13"/>
      <c r="K84" s="13"/>
      <c r="L84" s="13"/>
      <c r="M84" s="13"/>
      <c r="U84" s="67" t="s">
        <v>36</v>
      </c>
      <c r="V84" s="41" t="str">
        <f ca="1">'Endrunde 4'!$I32</f>
        <v>SV Oberredenburg</v>
      </c>
      <c r="W84" s="13" t="str">
        <f ca="1">'Endrunde 4'!$K32</f>
        <v>FC Grönlingen</v>
      </c>
      <c r="X84" s="13">
        <f ca="1">IF(AND('Endrunde 4'!$L32&lt;&gt;"",'Endrunde 4'!$N32&lt;&gt;"",$V84&lt;&gt;$W84,$V84&lt;&gt;"",$W84&lt;&gt;""),'Endrunde 4'!$L32,"")</f>
        <v>3</v>
      </c>
      <c r="Y84" s="36">
        <f ca="1">IF(AND('Endrunde 4'!$L32&lt;&gt;"",'Endrunde 4'!$N32&lt;&gt;"",$V84&lt;&gt;$W84,$V84&lt;&gt;"",$W84&lt;&gt;""),'Endrunde 4'!$N32,"")</f>
        <v>2</v>
      </c>
      <c r="Z84" s="35" t="str">
        <f t="shared" ca="1" si="52"/>
        <v>SV OberredenburgFC Grönlingen</v>
      </c>
      <c r="AA84" s="13">
        <f t="shared" ca="1" si="51"/>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'Endrunde 4'!$I33</f>
        <v>HSV</v>
      </c>
      <c r="W85" s="13" t="str">
        <f ca="1">'Endrunde 4'!$K33</f>
        <v>Mainz 05</v>
      </c>
      <c r="X85" s="13">
        <f ca="1">IF(AND('Endrunde 4'!$L33&lt;&gt;"",'Endrunde 4'!$N33&lt;&gt;"",$V85&lt;&gt;$W85,$V85&lt;&gt;"",$W85&lt;&gt;""),'Endrunde 4'!$L33,"")</f>
        <v>0</v>
      </c>
      <c r="Y85" s="36">
        <f ca="1">IF(AND('Endrunde 4'!$L33&lt;&gt;"",'Endrunde 4'!$N33&lt;&gt;"",$V85&lt;&gt;$W85,$V85&lt;&gt;"",$W85&lt;&gt;""),'Endrunde 4'!$N33,"")</f>
        <v>3</v>
      </c>
      <c r="Z85" s="35" t="str">
        <f t="shared" ca="1" si="52"/>
        <v>HSVMainz 05</v>
      </c>
      <c r="AA85" s="13">
        <f t="shared" ca="1" si="51"/>
        <v>1</v>
      </c>
      <c r="AB85" s="13" t="str">
        <f ca="1">IF(AA85&gt;0,X85&amp;Sprache!$E$111&amp;Y85,"")</f>
        <v>0:3</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RB Leipzig</v>
      </c>
      <c r="W86" s="13" t="str">
        <f ca="1">'Endrunde 4'!$K34</f>
        <v>Inter Mailand</v>
      </c>
      <c r="X86" s="13">
        <f ca="1">IF(AND('Endrunde 4'!$L34&lt;&gt;"",'Endrunde 4'!$N34&lt;&gt;"",$V86&lt;&gt;$W86,$V86&lt;&gt;"",$W86&lt;&gt;""),'Endrunde 4'!$L34,"")</f>
        <v>1</v>
      </c>
      <c r="Y86" s="36">
        <f ca="1">IF(AND('Endrunde 4'!$L34&lt;&gt;"",'Endrunde 4'!$N34&lt;&gt;"",$V86&lt;&gt;$W86,$V86&lt;&gt;"",$W86&lt;&gt;""),'Endrunde 4'!$N34,"")</f>
        <v>1</v>
      </c>
      <c r="Z86" s="35" t="str">
        <f t="shared" ca="1" si="52"/>
        <v>RB LeipzigInter Mailand</v>
      </c>
      <c r="AA86" s="13">
        <f t="shared" ca="1" si="51"/>
        <v>1</v>
      </c>
      <c r="AB86" s="13" t="str">
        <f ca="1">IF(AA86&gt;0,X86&amp;Sprache!$E$111&amp;Y86,"")</f>
        <v>1:1</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'Endrunde 4'!$I35</f>
        <v>Paris St. Germain</v>
      </c>
      <c r="W87" s="13" t="str">
        <f ca="1">'Endrunde 4'!$K35</f>
        <v>Manchester City</v>
      </c>
      <c r="X87" s="13">
        <f ca="1">IF(AND('Endrunde 4'!$L35&lt;&gt;"",'Endrunde 4'!$N35&lt;&gt;"",$V87&lt;&gt;$W87,$V87&lt;&gt;"",$W87&lt;&gt;""),'Endrunde 4'!$L35,"")</f>
        <v>3</v>
      </c>
      <c r="Y87" s="36">
        <f ca="1">IF(AND('Endrunde 4'!$L35&lt;&gt;"",'Endrunde 4'!$N35&lt;&gt;"",$V87&lt;&gt;$W87,$V87&lt;&gt;"",$W87&lt;&gt;""),'Endrunde 4'!$N35,"")</f>
        <v>2</v>
      </c>
      <c r="Z87" s="35" t="str">
        <f t="shared" ca="1" si="52"/>
        <v>Paris St. GermainManchester City</v>
      </c>
      <c r="AA87" s="13">
        <f t="shared" ca="1" si="51"/>
        <v>1</v>
      </c>
      <c r="AB87" s="13" t="str">
        <f ca="1">IF(AA87&gt;0,X87&amp;Sprache!$E$111&amp;Y87,"")</f>
        <v>3:2</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'Endrunde 4'!$I36</f>
        <v/>
      </c>
      <c r="W88" s="13" t="str">
        <f ca="1">'Endrunde 4'!$K36</f>
        <v/>
      </c>
      <c r="X88" s="13" t="str">
        <f ca="1">IF(AND('Endrunde 4'!$L36&lt;&gt;"",'Endrunde 4'!$N36&lt;&gt;"",$V88&lt;&gt;$W88,$V88&lt;&gt;"",$W88&lt;&gt;""),'Endrunde 4'!$L36,"")</f>
        <v/>
      </c>
      <c r="Y88" s="36" t="str">
        <f ca="1">IF(AND('Endrunde 4'!$L36&lt;&gt;"",'Endrunde 4'!$N36&lt;&gt;"",$V88&lt;&gt;$W88,$V88&lt;&gt;"",$W88&lt;&gt;""),'Endrunde 4'!$N36,"")</f>
        <v/>
      </c>
      <c r="Z88" s="35" t="str">
        <f t="shared" ca="1" si="52"/>
        <v/>
      </c>
      <c r="AA88" s="13">
        <f t="shared" ca="1" si="51"/>
        <v>0</v>
      </c>
      <c r="AB88" s="13" t="str">
        <f ca="1">IF(AA88&gt;0,X88&amp;Sprache!$E$111&amp;Y88,"")</f>
        <v/>
      </c>
      <c r="AD88" s="143"/>
      <c r="AE88" s="148" t="str">
        <f ca="1">IF($AA88=0,"",IF($X88&gt;$Y88,Einstellungen!$C$4,IF($X88=$Y88,1,0)))</f>
        <v/>
      </c>
      <c r="AF88" s="143"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'Endrunde 4'!$I37</f>
        <v>TSG Saalberg eV</v>
      </c>
      <c r="W89" s="13" t="str">
        <f ca="1">'Endrunde 4'!$K37</f>
        <v>Maibach 1822 eV</v>
      </c>
      <c r="X89" s="13">
        <f ca="1">IF(AND('Endrunde 4'!$L37&lt;&gt;"",'Endrunde 4'!$N37&lt;&gt;"",$V89&lt;&gt;$W89,$V89&lt;&gt;"",$W89&lt;&gt;""),'Endrunde 4'!$L37,"")</f>
        <v>2</v>
      </c>
      <c r="Y89" s="36">
        <f ca="1">IF(AND('Endrunde 4'!$L37&lt;&gt;"",'Endrunde 4'!$N37&lt;&gt;"",$V89&lt;&gt;$W89,$V89&lt;&gt;"",$W89&lt;&gt;""),'Endrunde 4'!$N37,"")</f>
        <v>0</v>
      </c>
      <c r="Z89" s="35" t="str">
        <f t="shared" ca="1" si="52"/>
        <v>TSG Saalberg eVMaibach 1822 eV</v>
      </c>
      <c r="AA89" s="13">
        <f t="shared" ca="1" si="51"/>
        <v>1</v>
      </c>
      <c r="AB89" s="13" t="str">
        <f ca="1">IF(AA89&gt;0,X89&amp;Sprache!$E$111&amp;Y89,"")</f>
        <v>2:0</v>
      </c>
      <c r="AD89" s="143"/>
      <c r="AE89" s="148">
        <f ca="1">IF($AA89=0,"",IF($X89&gt;$Y89,Einstellungen!$C$4,IF($X89=$Y89,1,0)))</f>
        <v>3</v>
      </c>
      <c r="AF89" s="143">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'Endrunde 4'!$I38</f>
        <v>SV Oberredenburg</v>
      </c>
      <c r="W90" s="13" t="str">
        <f ca="1">'Endrunde 4'!$K38</f>
        <v>VFB Essenheim</v>
      </c>
      <c r="X90" s="13">
        <f ca="1">IF(AND('Endrunde 4'!$L38&lt;&gt;"",'Endrunde 4'!$N38&lt;&gt;"",$V90&lt;&gt;$W90,$V90&lt;&gt;"",$W90&lt;&gt;""),'Endrunde 4'!$L38,"")</f>
        <v>1</v>
      </c>
      <c r="Y90" s="36">
        <f ca="1">IF(AND('Endrunde 4'!$L38&lt;&gt;"",'Endrunde 4'!$N38&lt;&gt;"",$V90&lt;&gt;$W90,$V90&lt;&gt;"",$W90&lt;&gt;""),'Endrunde 4'!$N38,"")</f>
        <v>0</v>
      </c>
      <c r="Z90" s="35" t="str">
        <f t="shared" ca="1" si="52"/>
        <v>SV OberredenburgVFB Essenheim</v>
      </c>
      <c r="AA90" s="13">
        <f t="shared" ca="1" si="51"/>
        <v>1</v>
      </c>
      <c r="AB90" s="13" t="str">
        <f ca="1">IF(AA90&gt;0,X90&amp;Sprache!$E$111&amp;Y90,"")</f>
        <v>1:0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'Endrunde 4'!$I39</f>
        <v>HSV</v>
      </c>
      <c r="W91" s="13" t="str">
        <f ca="1">'Endrunde 4'!$K39</f>
        <v>1. FC Riedwald</v>
      </c>
      <c r="X91" s="13">
        <f ca="1">IF(AND('Endrunde 4'!$L39&lt;&gt;"",'Endrunde 4'!$N39&lt;&gt;"",$V91&lt;&gt;$W91,$V91&lt;&gt;"",$W91&lt;&gt;""),'Endrunde 4'!$L39,"")</f>
        <v>2</v>
      </c>
      <c r="Y91" s="36">
        <f ca="1">IF(AND('Endrunde 4'!$L39&lt;&gt;"",'Endrunde 4'!$N39&lt;&gt;"",$V91&lt;&gt;$W91,$V91&lt;&gt;"",$W91&lt;&gt;""),'Endrunde 4'!$N39,"")</f>
        <v>0</v>
      </c>
      <c r="Z91" s="35" t="str">
        <f t="shared" ca="1" si="52"/>
        <v>HSV1. FC Riedwald</v>
      </c>
      <c r="AA91" s="13">
        <f t="shared" ca="1" si="51"/>
        <v>1</v>
      </c>
      <c r="AB91" s="13" t="str">
        <f ca="1">IF(AA91&gt;0,X91&amp;Sprache!$E$111&amp;Y91,"")</f>
        <v>2:0</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'Endrunde 4'!$I40</f>
        <v>RB Leipzig</v>
      </c>
      <c r="W92" s="13" t="str">
        <f ca="1">'Endrunde 4'!$K40</f>
        <v>Eintracht Frankfurt</v>
      </c>
      <c r="X92" s="13">
        <f ca="1">IF(AND('Endrunde 4'!$L40&lt;&gt;"",'Endrunde 4'!$N40&lt;&gt;"",$V92&lt;&gt;$W92,$V92&lt;&gt;"",$W92&lt;&gt;""),'Endrunde 4'!$L40,"")</f>
        <v>1</v>
      </c>
      <c r="Y92" s="36">
        <f ca="1">IF(AND('Endrunde 4'!$L40&lt;&gt;"",'Endrunde 4'!$N40&lt;&gt;"",$V92&lt;&gt;$W92,$V92&lt;&gt;"",$W92&lt;&gt;""),'Endrunde 4'!$N40,"")</f>
        <v>1</v>
      </c>
      <c r="Z92" s="35" t="str">
        <f t="shared" ca="1" si="52"/>
        <v>RB LeipzigEintracht Frankfurt</v>
      </c>
      <c r="AA92" s="13">
        <f t="shared" ca="1" si="51"/>
        <v>1</v>
      </c>
      <c r="AB92" s="13" t="str">
        <f ca="1">IF(AA92&gt;0,X92&amp;Sprache!$E$111&amp;Y92,"")</f>
        <v>1:1</v>
      </c>
      <c r="AD92" s="143"/>
      <c r="AE92" s="148">
        <f ca="1">IF($AA92=0,"",IF($X92&gt;$Y92,Einstellungen!$C$4,IF($X92=$Y92,1,0)))</f>
        <v>1</v>
      </c>
      <c r="AF92" s="143">
        <f ca="1">IF($AA92=0,"",IF($X92&lt;$Y92,Einstellungen!$C$4,IF($X92=$Y92,1,0)))</f>
        <v>1</v>
      </c>
    </row>
    <row r="93" spans="2:32" s="2" customFormat="1" x14ac:dyDescent="0.2">
      <c r="B93" s="4"/>
      <c r="C93" s="4"/>
      <c r="D93" s="4"/>
      <c r="E93" s="4"/>
      <c r="F93" s="13"/>
      <c r="G93" s="13"/>
      <c r="H93" s="13"/>
      <c r="I93" s="13"/>
      <c r="J93" s="13"/>
      <c r="K93" s="13"/>
      <c r="L93" s="13"/>
      <c r="M93" s="13"/>
      <c r="U93" s="67" t="s">
        <v>45</v>
      </c>
      <c r="V93" s="41" t="str">
        <f ca="1">'Endrunde 4'!$I41</f>
        <v>Paris St. Germain</v>
      </c>
      <c r="W93" s="13" t="str">
        <f ca="1">'Endrunde 4'!$K41</f>
        <v>FC Barcelona</v>
      </c>
      <c r="X93" s="13">
        <f ca="1">IF(AND('Endrunde 4'!$L41&lt;&gt;"",'Endrunde 4'!$N41&lt;&gt;"",$V93&lt;&gt;$W93,$V93&lt;&gt;"",$W93&lt;&gt;""),'Endrunde 4'!$L41,"")</f>
        <v>1</v>
      </c>
      <c r="Y93" s="36">
        <f ca="1">IF(AND('Endrunde 4'!$L41&lt;&gt;"",'Endrunde 4'!$N41&lt;&gt;"",$V93&lt;&gt;$W93,$V93&lt;&gt;"",$W93&lt;&gt;""),'Endrunde 4'!$N41,"")</f>
        <v>2</v>
      </c>
      <c r="Z93" s="35" t="str">
        <f t="shared" ca="1" si="52"/>
        <v>Paris St. GermainFC Barcelona</v>
      </c>
      <c r="AA93" s="13">
        <f t="shared" ca="1" si="51"/>
        <v>1</v>
      </c>
      <c r="AB93" s="13" t="str">
        <f ca="1">IF(AA93&gt;0,X93&amp;Sprache!$E$111&amp;Y93,"")</f>
        <v>1:2</v>
      </c>
      <c r="AD93" s="143"/>
      <c r="AE93" s="148">
        <f ca="1">IF($AA93=0,"",IF($X93&gt;$Y93,Einstellungen!$C$4,IF($X93=$Y93,1,0)))</f>
        <v>0</v>
      </c>
      <c r="AF93" s="143">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'Endrunde 4'!$I42</f>
        <v/>
      </c>
      <c r="W94" s="13" t="str">
        <f ca="1">'Endrunde 4'!$K42</f>
        <v/>
      </c>
      <c r="X94" s="13" t="str">
        <f ca="1">IF(AND('Endrunde 4'!$L42&lt;&gt;"",'Endrunde 4'!$N42&lt;&gt;"",$V94&lt;&gt;$W94,$V94&lt;&gt;"",$W94&lt;&gt;""),'Endrunde 4'!$L42,"")</f>
        <v/>
      </c>
      <c r="Y94" s="36" t="str">
        <f ca="1">IF(AND('Endrunde 4'!$L42&lt;&gt;"",'Endrunde 4'!$N42&lt;&gt;"",$V94&lt;&gt;$W94,$V94&lt;&gt;"",$W94&lt;&gt;""),'Endrunde 4'!$N42,"")</f>
        <v/>
      </c>
      <c r="Z94" s="35" t="str">
        <f t="shared" ca="1" si="52"/>
        <v/>
      </c>
      <c r="AA94" s="13">
        <f t="shared" ca="1" si="51"/>
        <v>0</v>
      </c>
      <c r="AB94" s="13" t="str">
        <f ca="1">IF(AA94&gt;0,X94&amp;Sprache!$E$111&amp;Y94,"")</f>
        <v/>
      </c>
      <c r="AD94" s="143"/>
      <c r="AE94" s="148" t="str">
        <f ca="1">IF($AA94=0,"",IF($X94&gt;$Y94,Einstellungen!$C$4,IF($X94=$Y94,1,0)))</f>
        <v/>
      </c>
      <c r="AF94" s="143"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'Endrunde 4'!$I43</f>
        <v>SSV Wildbach</v>
      </c>
      <c r="W95" s="13" t="str">
        <f ca="1">'Endrunde 4'!$K43</f>
        <v>FSV Rauen</v>
      </c>
      <c r="X95" s="13">
        <f ca="1">IF(AND('Endrunde 4'!$L43&lt;&gt;"",'Endrunde 4'!$N43&lt;&gt;"",$V95&lt;&gt;$W95,$V95&lt;&gt;"",$W95&lt;&gt;""),'Endrunde 4'!$L43,"")</f>
        <v>3</v>
      </c>
      <c r="Y95" s="36">
        <f ca="1">IF(AND('Endrunde 4'!$L43&lt;&gt;"",'Endrunde 4'!$N43&lt;&gt;"",$V95&lt;&gt;$W95,$V95&lt;&gt;"",$W95&lt;&gt;""),'Endrunde 4'!$N43,"")</f>
        <v>1</v>
      </c>
      <c r="Z95" s="35" t="str">
        <f t="shared" ca="1" si="52"/>
        <v>SSV WildbachFSV Rauen</v>
      </c>
      <c r="AA95" s="13">
        <f t="shared" ca="1" si="51"/>
        <v>1</v>
      </c>
      <c r="AB95" s="13" t="str">
        <f ca="1">IF(AA95&gt;0,X95&amp;Sprache!$E$111&amp;Y95,"")</f>
        <v>3:1</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'Endrunde 4'!$I44</f>
        <v>FC Grönlingen</v>
      </c>
      <c r="W96" s="13" t="str">
        <f ca="1">'Endrunde 4'!$K44</f>
        <v>Kickers Rodendorf</v>
      </c>
      <c r="X96" s="13">
        <f ca="1">IF(AND('Endrunde 4'!$L44&lt;&gt;"",'Endrunde 4'!$N44&lt;&gt;"",$V96&lt;&gt;$W96,$V96&lt;&gt;"",$W96&lt;&gt;""),'Endrunde 4'!$L44,"")</f>
        <v>4</v>
      </c>
      <c r="Y96" s="36">
        <f ca="1">IF(AND('Endrunde 4'!$L44&lt;&gt;"",'Endrunde 4'!$N44&lt;&gt;"",$V96&lt;&gt;$W96,$V96&lt;&gt;"",$W96&lt;&gt;""),'Endrunde 4'!$N44,"")</f>
        <v>3</v>
      </c>
      <c r="Z96" s="35" t="str">
        <f t="shared" ca="1" si="52"/>
        <v>FC GrönlingenKickers Rodendorf</v>
      </c>
      <c r="AA96" s="13">
        <f t="shared" ca="1" si="51"/>
        <v>1</v>
      </c>
      <c r="AB96" s="13" t="str">
        <f ca="1">IF(AA96&gt;0,X96&amp;Sprache!$E$111&amp;Y96,"")</f>
        <v>4:3</v>
      </c>
      <c r="AD96" s="143"/>
      <c r="AE96" s="148">
        <f ca="1">IF($AA96=0,"",IF($X96&gt;$Y96,Einstellungen!$C$4,IF($X96=$Y96,1,0)))</f>
        <v>3</v>
      </c>
      <c r="AF96" s="143">
        <f ca="1">IF($AA96=0,"",IF($X96&lt;$Y96,Einstellungen!$C$4,IF($X96=$Y96,1,0)))</f>
        <v>0</v>
      </c>
    </row>
    <row r="97" spans="2:32" s="2" customFormat="1" x14ac:dyDescent="0.2">
      <c r="B97" s="4"/>
      <c r="C97" s="4"/>
      <c r="D97" s="4"/>
      <c r="E97" s="4"/>
      <c r="F97" s="13"/>
      <c r="G97" s="13"/>
      <c r="H97" s="13"/>
      <c r="I97" s="13"/>
      <c r="J97" s="13"/>
      <c r="K97" s="13"/>
      <c r="L97" s="13"/>
      <c r="M97" s="13"/>
      <c r="U97" s="67" t="s">
        <v>49</v>
      </c>
      <c r="V97" s="41" t="str">
        <f ca="1">'Endrunde 4'!$I45</f>
        <v>Mainz 05</v>
      </c>
      <c r="W97" s="13" t="str">
        <f ca="1">'Endrunde 4'!$K45</f>
        <v>1. FC Nürnberg</v>
      </c>
      <c r="X97" s="13">
        <f ca="1">IF(AND('Endrunde 4'!$L45&lt;&gt;"",'Endrunde 4'!$N45&lt;&gt;"",$V97&lt;&gt;$W97,$V97&lt;&gt;"",$W97&lt;&gt;""),'Endrunde 4'!$L45,"")</f>
        <v>1</v>
      </c>
      <c r="Y97" s="36">
        <f ca="1">IF(AND('Endrunde 4'!$L45&lt;&gt;"",'Endrunde 4'!$N45&lt;&gt;"",$V97&lt;&gt;$W97,$V97&lt;&gt;"",$W97&lt;&gt;""),'Endrunde 4'!$N45,"")</f>
        <v>1</v>
      </c>
      <c r="Z97" s="35" t="str">
        <f t="shared" ca="1" si="52"/>
        <v>Mainz 051. FC Nürnberg</v>
      </c>
      <c r="AA97" s="13">
        <f t="shared" ca="1" si="51"/>
        <v>1</v>
      </c>
      <c r="AB97" s="13" t="str">
        <f ca="1">IF(AA97&gt;0,X97&amp;Sprache!$E$111&amp;Y97,"")</f>
        <v>1:1</v>
      </c>
      <c r="AD97" s="143"/>
      <c r="AE97" s="148">
        <f ca="1">IF($AA97=0,"",IF($X97&gt;$Y97,Einstellungen!$C$4,IF($X97=$Y97,1,0)))</f>
        <v>1</v>
      </c>
      <c r="AF97" s="143">
        <f ca="1">IF($AA97=0,"",IF($X97&lt;$Y97,Einstellungen!$C$4,IF($X97=$Y97,1,0)))</f>
        <v>1</v>
      </c>
    </row>
    <row r="98" spans="2:32" s="2" customFormat="1" x14ac:dyDescent="0.2">
      <c r="B98" s="4"/>
      <c r="C98" s="4"/>
      <c r="D98" s="4"/>
      <c r="E98" s="4"/>
      <c r="F98" s="13"/>
      <c r="G98" s="13"/>
      <c r="H98" s="13"/>
      <c r="I98" s="13"/>
      <c r="J98" s="13"/>
      <c r="K98" s="13"/>
      <c r="L98" s="13"/>
      <c r="M98" s="13"/>
      <c r="U98" s="67" t="s">
        <v>50</v>
      </c>
      <c r="V98" s="41" t="str">
        <f ca="1">'Endrunde 4'!$I46</f>
        <v>Inter Mailand</v>
      </c>
      <c r="W98" s="13" t="str">
        <f ca="1">'Endrunde 4'!$K46</f>
        <v>Real Madrid</v>
      </c>
      <c r="X98" s="13">
        <f ca="1">IF(AND('Endrunde 4'!$L46&lt;&gt;"",'Endrunde 4'!$N46&lt;&gt;"",$V98&lt;&gt;$W98,$V98&lt;&gt;"",$W98&lt;&gt;""),'Endrunde 4'!$L46,"")</f>
        <v>1</v>
      </c>
      <c r="Y98" s="36">
        <f ca="1">IF(AND('Endrunde 4'!$L46&lt;&gt;"",'Endrunde 4'!$N46&lt;&gt;"",$V98&lt;&gt;$W98,$V98&lt;&gt;"",$W98&lt;&gt;""),'Endrunde 4'!$N46,"")</f>
        <v>4</v>
      </c>
      <c r="Z98" s="35" t="str">
        <f t="shared" ca="1" si="52"/>
        <v>Inter MailandReal Madrid</v>
      </c>
      <c r="AA98" s="13">
        <f t="shared" ca="1" si="51"/>
        <v>1</v>
      </c>
      <c r="AB98" s="13" t="str">
        <f ca="1">IF(AA98&gt;0,X98&amp;Sprache!$E$111&amp;Y98,"")</f>
        <v>1:4</v>
      </c>
      <c r="AD98" s="143"/>
      <c r="AE98" s="148">
        <f ca="1">IF($AA98=0,"",IF($X98&gt;$Y98,Einstellungen!$C$4,IF($X98=$Y98,1,0)))</f>
        <v>0</v>
      </c>
      <c r="AF98" s="143">
        <f ca="1">IF($AA98=0,"",IF($X98&lt;$Y98,Einstellungen!$C$4,IF($X98=$Y98,1,0)))</f>
        <v>3</v>
      </c>
    </row>
    <row r="99" spans="2:32" s="2" customFormat="1" ht="12.75" thickBot="1" x14ac:dyDescent="0.25">
      <c r="B99" s="4"/>
      <c r="C99" s="4"/>
      <c r="D99" s="4"/>
      <c r="E99" s="4"/>
      <c r="F99" s="13"/>
      <c r="G99" s="13"/>
      <c r="H99" s="13"/>
      <c r="I99" s="13"/>
      <c r="J99" s="13"/>
      <c r="K99" s="13"/>
      <c r="L99" s="13"/>
      <c r="M99" s="13"/>
      <c r="U99" s="67" t="s">
        <v>51</v>
      </c>
      <c r="V99" s="41" t="str">
        <f ca="1">'Endrunde 4'!$I47</f>
        <v>Manchester City</v>
      </c>
      <c r="W99" s="13" t="str">
        <f ca="1">'Endrunde 4'!$K47</f>
        <v>Borussia Dortmund</v>
      </c>
      <c r="X99" s="13">
        <f ca="1">IF(AND('Endrunde 4'!$L47&lt;&gt;"",'Endrunde 4'!$N47&lt;&gt;"",$V99&lt;&gt;$W99,$V99&lt;&gt;"",$W99&lt;&gt;""),'Endrunde 4'!$L47,"")</f>
        <v>2</v>
      </c>
      <c r="Y99" s="36">
        <f ca="1">IF(AND('Endrunde 4'!$L47&lt;&gt;"",'Endrunde 4'!$N47&lt;&gt;"",$V99&lt;&gt;$W99,$V99&lt;&gt;"",$W99&lt;&gt;""),'Endrunde 4'!$N47,"")</f>
        <v>2</v>
      </c>
      <c r="Z99" s="35" t="str">
        <f t="shared" ca="1" si="52"/>
        <v>Manchester CityBorussia Dortmund</v>
      </c>
      <c r="AA99" s="13">
        <f t="shared" ca="1" si="51"/>
        <v>1</v>
      </c>
      <c r="AB99" s="13" t="str">
        <f ca="1">IF(AA99&gt;0,X99&amp;Sprache!$E$111&amp;Y99,"")</f>
        <v>2:2</v>
      </c>
      <c r="AD99" s="143"/>
      <c r="AE99" s="148">
        <f ca="1">IF($AA99=0,"",IF($X99&gt;$Y99,Einstellungen!$C$4,IF($X99=$Y99,1,0)))</f>
        <v>1</v>
      </c>
      <c r="AF99" s="143">
        <f ca="1">IF($AA99=0,"",IF($X99&lt;$Y99,Einstellungen!$C$4,IF($X99=$Y99,1,0)))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52"/>
        <v/>
      </c>
      <c r="AA100" s="293">
        <f t="shared" si="51"/>
        <v>0</v>
      </c>
      <c r="AB100" s="293" t="str">
        <f>IF(AA100&gt;0,X100&amp;Sprache!$E$111&amp;Y100,"")</f>
        <v/>
      </c>
      <c r="AC100" s="296"/>
      <c r="AD100" s="297"/>
      <c r="AE100" s="298" t="str">
        <f>IF($AA100=0,"",IF($X100&gt;$Y100,Einstellungen!$C$4,IF($X100=$Y100,1,0)))</f>
        <v/>
      </c>
      <c r="AF100" s="297"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52"/>
        <v/>
      </c>
      <c r="AA101" s="13">
        <f t="shared" si="51"/>
        <v>0</v>
      </c>
      <c r="AB101" s="13" t="str">
        <f>IF(AA101&gt;0,X101&amp;Sprache!$E$111&amp;Y101,"")</f>
        <v/>
      </c>
      <c r="AD101" s="143"/>
      <c r="AE101" s="148" t="str">
        <f>IF($AA101=0,"",IF($X101&gt;$Y101,Einstellungen!$C$4,IF($X101=$Y101,1,0)))</f>
        <v/>
      </c>
      <c r="AF101" s="143"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52"/>
        <v/>
      </c>
      <c r="AA102" s="13">
        <f t="shared" si="51"/>
        <v>0</v>
      </c>
      <c r="AB102" s="13" t="str">
        <f>IF(AA102&gt;0,X102&amp;Sprache!$E$111&amp;Y102,"")</f>
        <v/>
      </c>
      <c r="AD102" s="143"/>
      <c r="AE102" s="148" t="str">
        <f>IF($AA102=0,"",IF($X102&gt;$Y102,Einstellungen!$C$4,IF($X102=$Y102,1,0)))</f>
        <v/>
      </c>
      <c r="AF102" s="143"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52"/>
        <v/>
      </c>
      <c r="AA103" s="13">
        <f t="shared" si="51"/>
        <v>0</v>
      </c>
      <c r="AB103" s="13" t="str">
        <f>IF(AA103&gt;0,X103&amp;Sprache!$E$111&amp;Y103,"")</f>
        <v/>
      </c>
      <c r="AD103" s="143"/>
      <c r="AE103" s="148" t="str">
        <f>IF($AA103=0,"",IF($X103&gt;$Y103,Einstellungen!$C$4,IF($X103=$Y103,1,0)))</f>
        <v/>
      </c>
      <c r="AF103" s="143"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52"/>
        <v/>
      </c>
      <c r="AA104" s="13">
        <f t="shared" si="51"/>
        <v>0</v>
      </c>
      <c r="AB104" s="13" t="str">
        <f>IF(AA104&gt;0,X104&amp;Sprache!$E$111&amp;Y104,"")</f>
        <v/>
      </c>
      <c r="AD104" s="143"/>
      <c r="AE104" s="148" t="str">
        <f>IF($AA104=0,"",IF($X104&gt;$Y104,Einstellungen!$C$4,IF($X104=$Y104,1,0)))</f>
        <v/>
      </c>
      <c r="AF104" s="143"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52"/>
        <v/>
      </c>
      <c r="AA105" s="13">
        <f t="shared" si="51"/>
        <v>0</v>
      </c>
      <c r="AB105" s="13" t="str">
        <f>IF(AA105&gt;0,X105&amp;Sprache!$E$111&amp;Y105,"")</f>
        <v/>
      </c>
      <c r="AD105" s="143"/>
      <c r="AE105" s="148" t="str">
        <f>IF($AA105=0,"",IF($X105&gt;$Y105,Einstellungen!$C$4,IF($X105=$Y105,1,0)))</f>
        <v/>
      </c>
      <c r="AF105" s="143"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52"/>
        <v/>
      </c>
      <c r="AA106" s="13">
        <f t="shared" si="51"/>
        <v>0</v>
      </c>
      <c r="AB106" s="13" t="str">
        <f>IF(AA106&gt;0,X106&amp;Sprache!$E$111&amp;Y106,"")</f>
        <v/>
      </c>
      <c r="AD106" s="143"/>
      <c r="AE106" s="148" t="str">
        <f>IF($AA106=0,"",IF($X106&gt;$Y106,Einstellungen!$C$4,IF($X106=$Y106,1,0)))</f>
        <v/>
      </c>
      <c r="AF106" s="143"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52"/>
        <v/>
      </c>
      <c r="AA107" s="13">
        <f t="shared" si="51"/>
        <v>0</v>
      </c>
      <c r="AB107" s="13" t="str">
        <f>IF(AA107&gt;0,X107&amp;Sprache!$E$111&amp;Y107,"")</f>
        <v/>
      </c>
      <c r="AD107" s="143"/>
      <c r="AE107" s="148" t="str">
        <f>IF($AA107=0,"",IF($X107&gt;$Y107,Einstellungen!$C$4,IF($X107=$Y107,1,0)))</f>
        <v/>
      </c>
      <c r="AF107" s="143"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52"/>
        <v/>
      </c>
      <c r="AA108" s="13">
        <f t="shared" si="51"/>
        <v>0</v>
      </c>
      <c r="AB108" s="13" t="str">
        <f>IF(AA108&gt;0,X108&amp;Sprache!$E$111&amp;Y108,"")</f>
        <v/>
      </c>
      <c r="AD108" s="143"/>
      <c r="AE108" s="148" t="str">
        <f>IF($AA108=0,"",IF($X108&gt;$Y108,Einstellungen!$C$4,IF($X108=$Y108,1,0)))</f>
        <v/>
      </c>
      <c r="AF108" s="143"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51"/>
        <v>0</v>
      </c>
      <c r="AB109" s="13" t="str">
        <f>""</f>
        <v/>
      </c>
      <c r="AD109" s="143"/>
      <c r="AE109" s="148" t="str">
        <f>IF($AA109=0,"",IF($X109&gt;$Y109,Einstellungen!$C$4,IF($X109=$Y109,1,0)))</f>
        <v/>
      </c>
      <c r="AF109" s="143"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51"/>
        <v>0</v>
      </c>
      <c r="AB110" s="13" t="str">
        <f>""</f>
        <v/>
      </c>
      <c r="AD110" s="143"/>
      <c r="AE110" s="148" t="str">
        <f>IF($AA110=0,"",IF($X110&gt;$Y110,Einstellungen!$C$4,IF($X110=$Y110,1,0)))</f>
        <v/>
      </c>
      <c r="AF110" s="143"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51"/>
        <v>0</v>
      </c>
      <c r="AB111" s="13" t="str">
        <f>""</f>
        <v/>
      </c>
      <c r="AD111" s="143"/>
      <c r="AE111" s="148" t="str">
        <f>IF($AA111=0,"",IF($X111&gt;$Y111,Einstellungen!$C$4,IF($X111=$Y111,1,0)))</f>
        <v/>
      </c>
      <c r="AF111" s="143"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51"/>
        <v>0</v>
      </c>
      <c r="AB112" s="13" t="str">
        <f>""</f>
        <v/>
      </c>
      <c r="AD112" s="143"/>
      <c r="AE112" s="148" t="str">
        <f>IF($AA112=0,"",IF($X112&gt;$Y112,Einstellungen!$C$4,IF($X112=$Y112,1,0)))</f>
        <v/>
      </c>
      <c r="AF112" s="143"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51"/>
        <v>0</v>
      </c>
      <c r="AB113" s="13" t="str">
        <f>""</f>
        <v/>
      </c>
      <c r="AD113" s="143"/>
      <c r="AE113" s="148" t="str">
        <f>IF($AA113=0,"",IF($X113&gt;$Y113,Einstellungen!$C$4,IF($X113=$Y113,1,0)))</f>
        <v/>
      </c>
      <c r="AF113" s="143"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51"/>
        <v>0</v>
      </c>
      <c r="AB114" s="13" t="str">
        <f>""</f>
        <v/>
      </c>
      <c r="AD114" s="143"/>
      <c r="AE114" s="148" t="str">
        <f>IF($AA114=0,"",IF($X114&gt;$Y114,Einstellungen!$C$4,IF($X114=$Y114,1,0)))</f>
        <v/>
      </c>
      <c r="AF114" s="143"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51"/>
        <v>0</v>
      </c>
      <c r="AB115" s="13" t="str">
        <f>""</f>
        <v/>
      </c>
      <c r="AD115" s="143"/>
      <c r="AE115" s="148" t="str">
        <f>IF($AA115=0,"",IF($X115&gt;$Y115,Einstellungen!$C$4,IF($X115=$Y115,1,0)))</f>
        <v/>
      </c>
      <c r="AF115" s="143"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51"/>
        <v>0</v>
      </c>
      <c r="AB116" s="13" t="str">
        <f>""</f>
        <v/>
      </c>
      <c r="AD116" s="143"/>
      <c r="AE116" s="148" t="str">
        <f>IF($AA116=0,"",IF($X116&gt;$Y116,Einstellungen!$C$4,IF($X116=$Y116,1,0)))</f>
        <v/>
      </c>
      <c r="AF116" s="143"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51"/>
        <v>0</v>
      </c>
      <c r="AB117" s="13" t="str">
        <f>""</f>
        <v/>
      </c>
      <c r="AD117" s="143"/>
      <c r="AE117" s="148" t="str">
        <f>IF($AA117=0,"",IF($X117&gt;$Y117,Einstellungen!$C$4,IF($X117=$Y117,1,0)))</f>
        <v/>
      </c>
      <c r="AF117" s="143"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51"/>
        <v>0</v>
      </c>
      <c r="AB118" s="13" t="str">
        <f>""</f>
        <v/>
      </c>
      <c r="AD118" s="143"/>
      <c r="AE118" s="148" t="str">
        <f>IF($AA118=0,"",IF($X118&gt;$Y118,Einstellungen!$C$4,IF($X118=$Y118,1,0)))</f>
        <v/>
      </c>
      <c r="AF118" s="143"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51"/>
        <v>0</v>
      </c>
      <c r="AB119" s="13" t="str">
        <f>""</f>
        <v/>
      </c>
      <c r="AD119" s="143"/>
      <c r="AE119" s="148" t="str">
        <f>IF($AA119=0,"",IF($X119&gt;$Y119,Einstellungen!$C$4,IF($X119=$Y119,1,0)))</f>
        <v/>
      </c>
      <c r="AF119" s="143"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51"/>
        <v>0</v>
      </c>
      <c r="AB120" s="13" t="str">
        <f>""</f>
        <v/>
      </c>
      <c r="AD120" s="143"/>
      <c r="AE120" s="148" t="str">
        <f>IF($AA120=0,"",IF($X120&gt;$Y120,Einstellungen!$C$4,IF($X120=$Y120,1,0)))</f>
        <v/>
      </c>
      <c r="AF120" s="143"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51"/>
        <v>0</v>
      </c>
      <c r="AB121" s="13" t="str">
        <f>""</f>
        <v/>
      </c>
      <c r="AD121" s="143"/>
      <c r="AE121" s="148" t="str">
        <f>IF($AA121=0,"",IF($X121&gt;$Y121,Einstellungen!$C$4,IF($X121=$Y121,1,0)))</f>
        <v/>
      </c>
      <c r="AF121" s="143"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51"/>
        <v>0</v>
      </c>
      <c r="AB122" s="13" t="str">
        <f>""</f>
        <v/>
      </c>
      <c r="AD122" s="143"/>
      <c r="AE122" s="148" t="str">
        <f>IF($AA122=0,"",IF($X122&gt;$Y122,Einstellungen!$C$4,IF($X122=$Y122,1,0)))</f>
        <v/>
      </c>
      <c r="AF122" s="143"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51"/>
        <v>0</v>
      </c>
      <c r="AB123" s="13" t="str">
        <f>""</f>
        <v/>
      </c>
      <c r="AD123" s="143"/>
      <c r="AE123" s="148" t="str">
        <f>IF($AA123=0,"",IF($X123&gt;$Y123,Einstellungen!$C$4,IF($X123=$Y123,1,0)))</f>
        <v/>
      </c>
      <c r="AF123" s="143"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51"/>
        <v>0</v>
      </c>
      <c r="AB124" s="13" t="str">
        <f>""</f>
        <v/>
      </c>
      <c r="AD124" s="143"/>
      <c r="AE124" s="148" t="str">
        <f>IF($AA124=0,"",IF($X124&gt;$Y124,Einstellungen!$C$4,IF($X124=$Y124,1,0)))</f>
        <v/>
      </c>
      <c r="AF124" s="143"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51"/>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51"/>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51"/>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51"/>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53">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53"/>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53"/>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53"/>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53"/>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53"/>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53"/>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IF(AA136&gt;0,Y64&amp;Sprache!$E$111&amp;X64,"")</f>
        <v/>
      </c>
      <c r="AD136" s="143"/>
    </row>
    <row r="137" spans="2:32" x14ac:dyDescent="0.2">
      <c r="Y137" s="67" t="s">
        <v>8</v>
      </c>
      <c r="Z137" s="35" t="str">
        <f ca="1">W65&amp;V65</f>
        <v>SSV WildbachMaibach 1822 eV</v>
      </c>
      <c r="AA137" s="13">
        <f t="shared" ref="AA137:AA200" ca="1" si="54">AA65</f>
        <v>1</v>
      </c>
      <c r="AB137" s="13" t="str">
        <f ca="1">IF(AA137&gt;0,Y65&amp;Sprache!$E$111&amp;X65,"")</f>
        <v>4:2</v>
      </c>
      <c r="AC137" s="2"/>
      <c r="AD137" s="143"/>
    </row>
    <row r="138" spans="2:32" x14ac:dyDescent="0.2">
      <c r="Y138" s="67" t="s">
        <v>9</v>
      </c>
      <c r="Z138" s="35" t="str">
        <f t="shared" ref="Z138:Z201" ca="1" si="55">W66&amp;V66</f>
        <v>FC GrönlingenVFB Essenheim</v>
      </c>
      <c r="AA138" s="13">
        <f t="shared" ca="1" si="54"/>
        <v>1</v>
      </c>
      <c r="AB138" s="13" t="str">
        <f ca="1">IF(AA138&gt;0,Y66&amp;Sprache!$E$111&amp;X66,"")</f>
        <v>1:2</v>
      </c>
      <c r="AC138" s="2"/>
      <c r="AD138" s="143"/>
    </row>
    <row r="139" spans="2:32" x14ac:dyDescent="0.2">
      <c r="Y139" s="67" t="s">
        <v>10</v>
      </c>
      <c r="Z139" s="35" t="str">
        <f t="shared" ca="1" si="55"/>
        <v>Mainz 051. FC Riedwald</v>
      </c>
      <c r="AA139" s="13">
        <f t="shared" ca="1" si="54"/>
        <v>1</v>
      </c>
      <c r="AB139" s="13" t="str">
        <f ca="1">IF(AA139&gt;0,Y67&amp;Sprache!$E$111&amp;X67,"")</f>
        <v>0:0</v>
      </c>
      <c r="AC139" s="2"/>
      <c r="AD139" s="143"/>
    </row>
    <row r="140" spans="2:32" x14ac:dyDescent="0.2">
      <c r="Y140" s="67" t="s">
        <v>11</v>
      </c>
      <c r="Z140" s="35" t="str">
        <f t="shared" ca="1" si="55"/>
        <v>Inter MailandEintracht Frankfurt</v>
      </c>
      <c r="AA140" s="13">
        <f t="shared" ca="1" si="54"/>
        <v>1</v>
      </c>
      <c r="AB140" s="13" t="str">
        <f ca="1">IF(AA140&gt;0,Y68&amp;Sprache!$E$111&amp;X68,"")</f>
        <v>1:5</v>
      </c>
      <c r="AC140" s="2"/>
      <c r="AD140" s="143"/>
    </row>
    <row r="141" spans="2:32" x14ac:dyDescent="0.2">
      <c r="Y141" s="67" t="s">
        <v>12</v>
      </c>
      <c r="Z141" s="35" t="str">
        <f t="shared" ca="1" si="55"/>
        <v>Manchester CityFC Barcelona</v>
      </c>
      <c r="AA141" s="13">
        <f t="shared" ca="1" si="54"/>
        <v>1</v>
      </c>
      <c r="AB141" s="13" t="str">
        <f ca="1">IF(AA141&gt;0,Y69&amp;Sprache!$E$111&amp;X69,"")</f>
        <v>3:2</v>
      </c>
      <c r="AC141" s="2"/>
      <c r="AD141" s="143"/>
    </row>
    <row r="142" spans="2:32" x14ac:dyDescent="0.2">
      <c r="Y142" s="67" t="s">
        <v>17</v>
      </c>
      <c r="Z142" s="35" t="str">
        <f t="shared" ca="1" si="55"/>
        <v/>
      </c>
      <c r="AA142" s="13">
        <f t="shared" ca="1" si="54"/>
        <v>0</v>
      </c>
      <c r="AB142" s="13" t="str">
        <f ca="1">IF(AA142&gt;0,Y70&amp;Sprache!$E$111&amp;X70,"")</f>
        <v/>
      </c>
      <c r="AC142" s="2"/>
      <c r="AD142" s="143"/>
    </row>
    <row r="143" spans="2:32" x14ac:dyDescent="0.2">
      <c r="Y143" s="67" t="s">
        <v>18</v>
      </c>
      <c r="Z143" s="35" t="str">
        <f t="shared" ca="1" si="55"/>
        <v>TSG Saalberg eVFSV Rauen</v>
      </c>
      <c r="AA143" s="13">
        <f t="shared" ca="1" si="54"/>
        <v>1</v>
      </c>
      <c r="AB143" s="13" t="str">
        <f ca="1">IF(AA143&gt;0,Y71&amp;Sprache!$E$111&amp;X71,"")</f>
        <v>3:5</v>
      </c>
      <c r="AC143" s="2"/>
      <c r="AD143" s="143"/>
    </row>
    <row r="144" spans="2:32" x14ac:dyDescent="0.2">
      <c r="Y144" s="67" t="s">
        <v>19</v>
      </c>
      <c r="Z144" s="35" t="str">
        <f t="shared" ca="1" si="55"/>
        <v>SV OberredenburgKickers Rodendorf</v>
      </c>
      <c r="AA144" s="13">
        <f t="shared" ca="1" si="54"/>
        <v>1</v>
      </c>
      <c r="AB144" s="13" t="str">
        <f ca="1">IF(AA144&gt;0,Y72&amp;Sprache!$E$111&amp;X72,"")</f>
        <v>1:2</v>
      </c>
      <c r="AC144" s="2"/>
      <c r="AD144" s="143"/>
    </row>
    <row r="145" spans="25:30" x14ac:dyDescent="0.2">
      <c r="Y145" s="67" t="s">
        <v>25</v>
      </c>
      <c r="Z145" s="35" t="str">
        <f t="shared" ca="1" si="55"/>
        <v>HSV1. FC Nürnberg</v>
      </c>
      <c r="AA145" s="13">
        <f t="shared" ca="1" si="54"/>
        <v>1</v>
      </c>
      <c r="AB145" s="13" t="str">
        <f ca="1">IF(AA145&gt;0,Y73&amp;Sprache!$E$111&amp;X73,"")</f>
        <v>1:3</v>
      </c>
      <c r="AC145" s="2"/>
      <c r="AD145" s="143"/>
    </row>
    <row r="146" spans="25:30" x14ac:dyDescent="0.2">
      <c r="Y146" s="67" t="s">
        <v>26</v>
      </c>
      <c r="Z146" s="35" t="str">
        <f t="shared" ca="1" si="55"/>
        <v>RB LeipzigReal Madrid</v>
      </c>
      <c r="AA146" s="13">
        <f t="shared" ca="1" si="54"/>
        <v>1</v>
      </c>
      <c r="AB146" s="13" t="str">
        <f ca="1">IF(AA146&gt;0,Y74&amp;Sprache!$E$111&amp;X74,"")</f>
        <v>2:4</v>
      </c>
      <c r="AC146" s="2"/>
      <c r="AD146" s="143"/>
    </row>
    <row r="147" spans="25:30" x14ac:dyDescent="0.2">
      <c r="Y147" s="67" t="s">
        <v>27</v>
      </c>
      <c r="Z147" s="35" t="str">
        <f t="shared" ca="1" si="55"/>
        <v>Paris St. GermainBorussia Dortmund</v>
      </c>
      <c r="AA147" s="13">
        <f t="shared" ca="1" si="54"/>
        <v>1</v>
      </c>
      <c r="AB147" s="13" t="str">
        <f ca="1">IF(AA147&gt;0,Y75&amp;Sprache!$E$111&amp;X75,"")</f>
        <v>3:1</v>
      </c>
      <c r="AC147" s="2"/>
      <c r="AD147" s="143"/>
    </row>
    <row r="148" spans="25:30" x14ac:dyDescent="0.2">
      <c r="Y148" s="67" t="s">
        <v>28</v>
      </c>
      <c r="Z148" s="35" t="str">
        <f t="shared" ca="1" si="55"/>
        <v/>
      </c>
      <c r="AA148" s="13">
        <f t="shared" ca="1" si="54"/>
        <v>0</v>
      </c>
      <c r="AB148" s="13" t="str">
        <f ca="1">IF(AA148&gt;0,Y76&amp;Sprache!$E$111&amp;X76,"")</f>
        <v/>
      </c>
      <c r="AC148" s="2"/>
      <c r="AD148" s="143"/>
    </row>
    <row r="149" spans="25:30" x14ac:dyDescent="0.2">
      <c r="Y149" s="67" t="s">
        <v>29</v>
      </c>
      <c r="Z149" s="35" t="str">
        <f t="shared" ca="1" si="55"/>
        <v>FSV RauenMaibach 1822 eV</v>
      </c>
      <c r="AA149" s="13">
        <f t="shared" ca="1" si="54"/>
        <v>1</v>
      </c>
      <c r="AB149" s="13" t="str">
        <f ca="1">IF(AA149&gt;0,Y77&amp;Sprache!$E$111&amp;X77,"")</f>
        <v>5:1</v>
      </c>
      <c r="AC149" s="2"/>
      <c r="AD149" s="143"/>
    </row>
    <row r="150" spans="25:30" x14ac:dyDescent="0.2">
      <c r="Y150" s="67" t="s">
        <v>30</v>
      </c>
      <c r="Z150" s="35" t="str">
        <f t="shared" ca="1" si="55"/>
        <v>Kickers RodendorfVFB Essenheim</v>
      </c>
      <c r="AA150" s="13">
        <f t="shared" ca="1" si="54"/>
        <v>1</v>
      </c>
      <c r="AB150" s="13" t="str">
        <f ca="1">IF(AA150&gt;0,Y78&amp;Sprache!$E$111&amp;X78,"")</f>
        <v>4:4</v>
      </c>
      <c r="AC150" s="2"/>
      <c r="AD150" s="143"/>
    </row>
    <row r="151" spans="25:30" x14ac:dyDescent="0.2">
      <c r="Y151" s="67" t="s">
        <v>31</v>
      </c>
      <c r="Z151" s="35" t="str">
        <f t="shared" ca="1" si="55"/>
        <v>1. FC Nürnberg1. FC Riedwald</v>
      </c>
      <c r="AA151" s="13">
        <f t="shared" ca="1" si="54"/>
        <v>1</v>
      </c>
      <c r="AB151" s="13" t="str">
        <f ca="1">IF(AA151&gt;0,Y79&amp;Sprache!$E$111&amp;X79,"")</f>
        <v>7:0</v>
      </c>
      <c r="AC151" s="2"/>
      <c r="AD151" s="143"/>
    </row>
    <row r="152" spans="25:30" x14ac:dyDescent="0.2">
      <c r="Y152" s="67" t="s">
        <v>32</v>
      </c>
      <c r="Z152" s="35" t="str">
        <f t="shared" ca="1" si="55"/>
        <v>Real MadridEintracht Frankfurt</v>
      </c>
      <c r="AA152" s="13">
        <f t="shared" ca="1" si="54"/>
        <v>1</v>
      </c>
      <c r="AB152" s="13" t="str">
        <f ca="1">IF(AA152&gt;0,Y80&amp;Sprache!$E$111&amp;X80,"")</f>
        <v>8:2</v>
      </c>
      <c r="AC152" s="2"/>
      <c r="AD152" s="143"/>
    </row>
    <row r="153" spans="25:30" x14ac:dyDescent="0.2">
      <c r="Y153" s="67" t="s">
        <v>33</v>
      </c>
      <c r="Z153" s="35" t="str">
        <f t="shared" ca="1" si="55"/>
        <v>Borussia DortmundFC Barcelona</v>
      </c>
      <c r="AA153" s="13">
        <f t="shared" ca="1" si="54"/>
        <v>1</v>
      </c>
      <c r="AB153" s="13" t="str">
        <f ca="1">IF(AA153&gt;0,Y81&amp;Sprache!$E$111&amp;X81,"")</f>
        <v>0:4</v>
      </c>
      <c r="AC153" s="2"/>
      <c r="AD153" s="143"/>
    </row>
    <row r="154" spans="25:30" x14ac:dyDescent="0.2">
      <c r="Y154" s="67" t="s">
        <v>34</v>
      </c>
      <c r="Z154" s="35" t="str">
        <f t="shared" ca="1" si="55"/>
        <v/>
      </c>
      <c r="AA154" s="13">
        <f t="shared" ca="1" si="54"/>
        <v>0</v>
      </c>
      <c r="AB154" s="13" t="str">
        <f ca="1">IF(AA154&gt;0,Y82&amp;Sprache!$E$111&amp;X82,"")</f>
        <v/>
      </c>
      <c r="AC154" s="2"/>
      <c r="AD154" s="143"/>
    </row>
    <row r="155" spans="25:30" x14ac:dyDescent="0.2">
      <c r="Y155" s="67" t="s">
        <v>35</v>
      </c>
      <c r="Z155" s="35" t="str">
        <f t="shared" ca="1" si="55"/>
        <v>SSV WildbachTSG Saalberg eV</v>
      </c>
      <c r="AA155" s="13">
        <f t="shared" ca="1" si="54"/>
        <v>1</v>
      </c>
      <c r="AB155" s="13" t="str">
        <f ca="1">IF(AA155&gt;0,Y83&amp;Sprache!$E$111&amp;X83,"")</f>
        <v>1:4</v>
      </c>
      <c r="AC155" s="2"/>
      <c r="AD155" s="143"/>
    </row>
    <row r="156" spans="25:30" x14ac:dyDescent="0.2">
      <c r="Y156" s="67" t="s">
        <v>36</v>
      </c>
      <c r="Z156" s="35" t="str">
        <f t="shared" ca="1" si="55"/>
        <v>FC GrönlingenSV Oberredenburg</v>
      </c>
      <c r="AA156" s="13">
        <f t="shared" ca="1" si="54"/>
        <v>1</v>
      </c>
      <c r="AB156" s="13" t="str">
        <f ca="1">IF(AA156&gt;0,Y84&amp;Sprache!$E$111&amp;X84,"")</f>
        <v>2:3</v>
      </c>
      <c r="AC156" s="2"/>
      <c r="AD156" s="143"/>
    </row>
    <row r="157" spans="25:30" x14ac:dyDescent="0.2">
      <c r="Y157" s="67" t="s">
        <v>37</v>
      </c>
      <c r="Z157" s="35" t="str">
        <f t="shared" ca="1" si="55"/>
        <v>Mainz 05HSV</v>
      </c>
      <c r="AA157" s="13">
        <f t="shared" ca="1" si="54"/>
        <v>1</v>
      </c>
      <c r="AB157" s="13" t="str">
        <f ca="1">IF(AA157&gt;0,Y85&amp;Sprache!$E$111&amp;X85,"")</f>
        <v>3:0</v>
      </c>
      <c r="AC157" s="2"/>
      <c r="AD157" s="143"/>
    </row>
    <row r="158" spans="25:30" x14ac:dyDescent="0.2">
      <c r="Y158" s="67" t="s">
        <v>38</v>
      </c>
      <c r="Z158" s="35" t="str">
        <f t="shared" ca="1" si="55"/>
        <v>Inter MailandRB Leipzig</v>
      </c>
      <c r="AA158" s="13">
        <f t="shared" ca="1" si="54"/>
        <v>1</v>
      </c>
      <c r="AB158" s="13" t="str">
        <f ca="1">IF(AA158&gt;0,Y86&amp;Sprache!$E$111&amp;X86,"")</f>
        <v>1:1</v>
      </c>
      <c r="AC158" s="2"/>
      <c r="AD158" s="143"/>
    </row>
    <row r="159" spans="25:30" x14ac:dyDescent="0.2">
      <c r="Y159" s="67" t="s">
        <v>39</v>
      </c>
      <c r="Z159" s="35" t="str">
        <f t="shared" ca="1" si="55"/>
        <v>Manchester CityParis St. Germain</v>
      </c>
      <c r="AA159" s="13">
        <f t="shared" ca="1" si="54"/>
        <v>1</v>
      </c>
      <c r="AB159" s="13" t="str">
        <f ca="1">IF(AA159&gt;0,Y87&amp;Sprache!$E$111&amp;X87,"")</f>
        <v>2:3</v>
      </c>
      <c r="AC159" s="2"/>
      <c r="AD159" s="143"/>
    </row>
    <row r="160" spans="25:30" x14ac:dyDescent="0.2">
      <c r="Y160" s="67" t="s">
        <v>40</v>
      </c>
      <c r="Z160" s="35" t="str">
        <f t="shared" ca="1" si="55"/>
        <v/>
      </c>
      <c r="AA160" s="13">
        <f t="shared" ca="1" si="54"/>
        <v>0</v>
      </c>
      <c r="AB160" s="13" t="str">
        <f ca="1">IF(AA160&gt;0,Y88&amp;Sprache!$E$111&amp;X88,"")</f>
        <v/>
      </c>
      <c r="AC160" s="2"/>
      <c r="AD160" s="143"/>
    </row>
    <row r="161" spans="25:30" x14ac:dyDescent="0.2">
      <c r="Y161" s="67" t="s">
        <v>41</v>
      </c>
      <c r="Z161" s="35" t="str">
        <f t="shared" ca="1" si="55"/>
        <v>Maibach 1822 eVTSG Saalberg eV</v>
      </c>
      <c r="AA161" s="13">
        <f t="shared" ca="1" si="54"/>
        <v>1</v>
      </c>
      <c r="AB161" s="13" t="str">
        <f ca="1">IF(AA161&gt;0,Y89&amp;Sprache!$E$111&amp;X89,"")</f>
        <v>0:2</v>
      </c>
      <c r="AC161" s="2"/>
      <c r="AD161" s="143"/>
    </row>
    <row r="162" spans="25:30" x14ac:dyDescent="0.2">
      <c r="Y162" s="67" t="s">
        <v>42</v>
      </c>
      <c r="Z162" s="35" t="str">
        <f t="shared" ca="1" si="55"/>
        <v>VFB EssenheimSV Oberredenburg</v>
      </c>
      <c r="AA162" s="13">
        <f t="shared" ca="1" si="54"/>
        <v>1</v>
      </c>
      <c r="AB162" s="13" t="str">
        <f ca="1">IF(AA162&gt;0,Y90&amp;Sprache!$E$111&amp;X90,"")</f>
        <v>0:1</v>
      </c>
      <c r="AC162" s="2"/>
      <c r="AD162" s="143"/>
    </row>
    <row r="163" spans="25:30" x14ac:dyDescent="0.2">
      <c r="Y163" s="67" t="s">
        <v>43</v>
      </c>
      <c r="Z163" s="35" t="str">
        <f t="shared" ca="1" si="55"/>
        <v>1. FC RiedwaldHSV</v>
      </c>
      <c r="AA163" s="13">
        <f t="shared" ca="1" si="54"/>
        <v>1</v>
      </c>
      <c r="AB163" s="13" t="str">
        <f ca="1">IF(AA163&gt;0,Y91&amp;Sprache!$E$111&amp;X91,"")</f>
        <v>0:2</v>
      </c>
      <c r="AC163" s="2"/>
      <c r="AD163" s="143"/>
    </row>
    <row r="164" spans="25:30" x14ac:dyDescent="0.2">
      <c r="Y164" s="67" t="s">
        <v>44</v>
      </c>
      <c r="Z164" s="35" t="str">
        <f t="shared" ca="1" si="55"/>
        <v>Eintracht FrankfurtRB Leipzig</v>
      </c>
      <c r="AA164" s="13">
        <f t="shared" ca="1" si="54"/>
        <v>1</v>
      </c>
      <c r="AB164" s="13" t="str">
        <f ca="1">IF(AA164&gt;0,Y92&amp;Sprache!$E$111&amp;X92,"")</f>
        <v>1:1</v>
      </c>
      <c r="AC164" s="2"/>
      <c r="AD164" s="143"/>
    </row>
    <row r="165" spans="25:30" x14ac:dyDescent="0.2">
      <c r="Y165" s="67" t="s">
        <v>45</v>
      </c>
      <c r="Z165" s="35" t="str">
        <f t="shared" ca="1" si="55"/>
        <v>FC BarcelonaParis St. Germain</v>
      </c>
      <c r="AA165" s="13">
        <f t="shared" ca="1" si="54"/>
        <v>1</v>
      </c>
      <c r="AB165" s="13" t="str">
        <f ca="1">IF(AA165&gt;0,Y93&amp;Sprache!$E$111&amp;X93,"")</f>
        <v>2:1</v>
      </c>
      <c r="AC165" s="2"/>
      <c r="AD165" s="143"/>
    </row>
    <row r="166" spans="25:30" x14ac:dyDescent="0.2">
      <c r="Y166" s="67" t="s">
        <v>46</v>
      </c>
      <c r="Z166" s="35" t="str">
        <f t="shared" ca="1" si="55"/>
        <v/>
      </c>
      <c r="AA166" s="13">
        <f t="shared" ca="1" si="54"/>
        <v>0</v>
      </c>
      <c r="AB166" s="13" t="str">
        <f ca="1">IF(AA166&gt;0,Y94&amp;Sprache!$E$111&amp;X94,"")</f>
        <v/>
      </c>
      <c r="AC166" s="2"/>
      <c r="AD166" s="143"/>
    </row>
    <row r="167" spans="25:30" x14ac:dyDescent="0.2">
      <c r="Y167" s="67" t="s">
        <v>47</v>
      </c>
      <c r="Z167" s="35" t="str">
        <f t="shared" ca="1" si="55"/>
        <v>FSV RauenSSV Wildbach</v>
      </c>
      <c r="AA167" s="13">
        <f t="shared" ca="1" si="54"/>
        <v>1</v>
      </c>
      <c r="AB167" s="13" t="str">
        <f ca="1">IF(AA167&gt;0,Y95&amp;Sprache!$E$111&amp;X95,"")</f>
        <v>1:3</v>
      </c>
      <c r="AC167" s="2"/>
      <c r="AD167" s="143"/>
    </row>
    <row r="168" spans="25:30" x14ac:dyDescent="0.2">
      <c r="Y168" s="67" t="s">
        <v>48</v>
      </c>
      <c r="Z168" s="35" t="str">
        <f t="shared" ca="1" si="55"/>
        <v>Kickers RodendorfFC Grönlingen</v>
      </c>
      <c r="AA168" s="13">
        <f t="shared" ca="1" si="54"/>
        <v>1</v>
      </c>
      <c r="AB168" s="13" t="str">
        <f ca="1">IF(AA168&gt;0,Y96&amp;Sprache!$E$111&amp;X96,"")</f>
        <v>3:4</v>
      </c>
      <c r="AC168" s="2"/>
      <c r="AD168" s="143"/>
    </row>
    <row r="169" spans="25:30" x14ac:dyDescent="0.2">
      <c r="Y169" s="67" t="s">
        <v>49</v>
      </c>
      <c r="Z169" s="35" t="str">
        <f t="shared" ca="1" si="55"/>
        <v>1. FC NürnbergMainz 05</v>
      </c>
      <c r="AA169" s="13">
        <f t="shared" ca="1" si="54"/>
        <v>1</v>
      </c>
      <c r="AB169" s="13" t="str">
        <f ca="1">IF(AA169&gt;0,Y97&amp;Sprache!$E$111&amp;X97,"")</f>
        <v>1:1</v>
      </c>
      <c r="AC169" s="2"/>
      <c r="AD169" s="143"/>
    </row>
    <row r="170" spans="25:30" x14ac:dyDescent="0.2">
      <c r="Y170" s="67" t="s">
        <v>50</v>
      </c>
      <c r="Z170" s="35" t="str">
        <f t="shared" ca="1" si="55"/>
        <v>Real MadridInter Mailand</v>
      </c>
      <c r="AA170" s="13">
        <f t="shared" ca="1" si="54"/>
        <v>1</v>
      </c>
      <c r="AB170" s="13" t="str">
        <f ca="1">IF(AA170&gt;0,Y98&amp;Sprache!$E$111&amp;X98,"")</f>
        <v>4:1</v>
      </c>
      <c r="AC170" s="2"/>
      <c r="AD170" s="143"/>
    </row>
    <row r="171" spans="25:30" x14ac:dyDescent="0.2">
      <c r="Y171" s="67" t="s">
        <v>51</v>
      </c>
      <c r="Z171" s="35" t="str">
        <f t="shared" ca="1" si="55"/>
        <v>Borussia DortmundManchester City</v>
      </c>
      <c r="AA171" s="13">
        <f t="shared" ca="1" si="54"/>
        <v>1</v>
      </c>
      <c r="AB171" s="13" t="str">
        <f ca="1">IF(AA171&gt;0,Y99&amp;Sprache!$E$111&amp;X99,"")</f>
        <v>2:2</v>
      </c>
      <c r="AC171" s="2"/>
      <c r="AD171" s="143"/>
    </row>
    <row r="172" spans="25:30" x14ac:dyDescent="0.2">
      <c r="Y172" s="67" t="s">
        <v>60</v>
      </c>
      <c r="Z172" s="35" t="str">
        <f t="shared" si="55"/>
        <v/>
      </c>
      <c r="AA172" s="13">
        <f t="shared" si="54"/>
        <v>0</v>
      </c>
      <c r="AB172" s="13" t="str">
        <f>IF(AA172&gt;0,Y100&amp;Sprache!$E$111&amp;X100,"")</f>
        <v/>
      </c>
      <c r="AC172" s="2"/>
      <c r="AD172" s="143"/>
    </row>
    <row r="173" spans="25:30" x14ac:dyDescent="0.2">
      <c r="Y173" s="67" t="s">
        <v>61</v>
      </c>
      <c r="Z173" s="35" t="str">
        <f t="shared" si="55"/>
        <v/>
      </c>
      <c r="AA173" s="13">
        <f t="shared" si="54"/>
        <v>0</v>
      </c>
      <c r="AB173" s="13" t="str">
        <f>IF(AA173&gt;0,Y101&amp;Sprache!$E$111&amp;X101,"")</f>
        <v/>
      </c>
      <c r="AC173" s="2"/>
      <c r="AD173" s="143"/>
    </row>
    <row r="174" spans="25:30" x14ac:dyDescent="0.2">
      <c r="Y174" s="67" t="s">
        <v>62</v>
      </c>
      <c r="Z174" s="35" t="str">
        <f t="shared" si="55"/>
        <v/>
      </c>
      <c r="AA174" s="13">
        <f t="shared" si="54"/>
        <v>0</v>
      </c>
      <c r="AB174" s="13" t="str">
        <f>IF(AA174&gt;0,Y102&amp;Sprache!$E$111&amp;X102,"")</f>
        <v/>
      </c>
      <c r="AC174" s="2"/>
      <c r="AD174" s="143"/>
    </row>
    <row r="175" spans="25:30" x14ac:dyDescent="0.2">
      <c r="Y175" s="67" t="s">
        <v>63</v>
      </c>
      <c r="Z175" s="35" t="str">
        <f t="shared" si="55"/>
        <v/>
      </c>
      <c r="AA175" s="13">
        <f t="shared" si="54"/>
        <v>0</v>
      </c>
      <c r="AB175" s="13" t="str">
        <f>IF(AA175&gt;0,Y103&amp;Sprache!$E$111&amp;X103,"")</f>
        <v/>
      </c>
      <c r="AC175" s="2"/>
      <c r="AD175" s="143"/>
    </row>
    <row r="176" spans="25:30" x14ac:dyDescent="0.2">
      <c r="Y176" s="67" t="s">
        <v>64</v>
      </c>
      <c r="Z176" s="35" t="str">
        <f t="shared" si="55"/>
        <v/>
      </c>
      <c r="AA176" s="13">
        <f t="shared" si="54"/>
        <v>0</v>
      </c>
      <c r="AB176" s="13" t="str">
        <f>IF(AA176&gt;0,Y104&amp;Sprache!$E$111&amp;X104,"")</f>
        <v/>
      </c>
      <c r="AC176" s="2"/>
      <c r="AD176" s="143"/>
    </row>
    <row r="177" spans="25:30" x14ac:dyDescent="0.2">
      <c r="Y177" s="67" t="s">
        <v>65</v>
      </c>
      <c r="Z177" s="35" t="str">
        <f t="shared" si="55"/>
        <v/>
      </c>
      <c r="AA177" s="13">
        <f t="shared" si="54"/>
        <v>0</v>
      </c>
      <c r="AB177" s="13" t="str">
        <f>IF(AA177&gt;0,Y105&amp;Sprache!$E$111&amp;X105,"")</f>
        <v/>
      </c>
      <c r="AC177" s="2"/>
      <c r="AD177" s="143"/>
    </row>
    <row r="178" spans="25:30" x14ac:dyDescent="0.2">
      <c r="Y178" s="67" t="s">
        <v>66</v>
      </c>
      <c r="Z178" s="35" t="str">
        <f t="shared" si="55"/>
        <v/>
      </c>
      <c r="AA178" s="13">
        <f t="shared" si="54"/>
        <v>0</v>
      </c>
      <c r="AB178" s="13" t="str">
        <f>IF(AA178&gt;0,Y106&amp;Sprache!$E$111&amp;X106,"")</f>
        <v/>
      </c>
      <c r="AC178" s="2"/>
      <c r="AD178" s="143"/>
    </row>
    <row r="179" spans="25:30" x14ac:dyDescent="0.2">
      <c r="Y179" s="67" t="s">
        <v>67</v>
      </c>
      <c r="Z179" s="35" t="str">
        <f t="shared" si="55"/>
        <v/>
      </c>
      <c r="AA179" s="13">
        <f t="shared" si="54"/>
        <v>0</v>
      </c>
      <c r="AB179" s="13" t="str">
        <f>IF(AA179&gt;0,Y107&amp;Sprache!$E$111&amp;X107,"")</f>
        <v/>
      </c>
      <c r="AC179" s="2"/>
      <c r="AD179" s="143"/>
    </row>
    <row r="180" spans="25:30" x14ac:dyDescent="0.2">
      <c r="Y180" s="67" t="s">
        <v>68</v>
      </c>
      <c r="Z180" s="35" t="str">
        <f t="shared" si="55"/>
        <v/>
      </c>
      <c r="AA180" s="13">
        <f t="shared" si="54"/>
        <v>0</v>
      </c>
      <c r="AB180" s="13" t="str">
        <f>IF(AA180&gt;0,Y108&amp;Sprache!$E$111&amp;X108,"")</f>
        <v/>
      </c>
      <c r="AC180" s="2"/>
      <c r="AD180" s="143"/>
    </row>
    <row r="181" spans="25:30" x14ac:dyDescent="0.2">
      <c r="Y181" s="67" t="s">
        <v>69</v>
      </c>
      <c r="Z181" s="35" t="str">
        <f t="shared" si="55"/>
        <v/>
      </c>
      <c r="AA181" s="13">
        <f t="shared" si="54"/>
        <v>0</v>
      </c>
      <c r="AB181" s="13" t="str">
        <f>IF(AA181&gt;0,Y109&amp;Sprache!$E$111&amp;X109,"")</f>
        <v/>
      </c>
      <c r="AC181" s="2"/>
      <c r="AD181" s="143"/>
    </row>
    <row r="182" spans="25:30" x14ac:dyDescent="0.2">
      <c r="Y182" s="67" t="s">
        <v>70</v>
      </c>
      <c r="Z182" s="35" t="str">
        <f t="shared" si="55"/>
        <v/>
      </c>
      <c r="AA182" s="13">
        <f t="shared" si="54"/>
        <v>0</v>
      </c>
      <c r="AB182" s="13" t="str">
        <f>IF(AA182&gt;0,Y110&amp;Sprache!$E$111&amp;X110,"")</f>
        <v/>
      </c>
      <c r="AC182" s="2"/>
      <c r="AD182" s="143"/>
    </row>
    <row r="183" spans="25:30" x14ac:dyDescent="0.2">
      <c r="Y183" s="67" t="s">
        <v>71</v>
      </c>
      <c r="Z183" s="35" t="str">
        <f t="shared" si="55"/>
        <v/>
      </c>
      <c r="AA183" s="13">
        <f t="shared" si="54"/>
        <v>0</v>
      </c>
      <c r="AB183" s="13" t="str">
        <f>IF(AA183&gt;0,Y111&amp;Sprache!$E$111&amp;X111,"")</f>
        <v/>
      </c>
      <c r="AC183" s="2"/>
      <c r="AD183" s="143"/>
    </row>
    <row r="184" spans="25:30" x14ac:dyDescent="0.2">
      <c r="Y184" s="67" t="s">
        <v>72</v>
      </c>
      <c r="Z184" s="35" t="str">
        <f t="shared" si="55"/>
        <v/>
      </c>
      <c r="AA184" s="13">
        <f t="shared" si="54"/>
        <v>0</v>
      </c>
      <c r="AB184" s="13" t="str">
        <f>IF(AA184&gt;0,Y112&amp;Sprache!$E$111&amp;X112,"")</f>
        <v/>
      </c>
      <c r="AC184" s="2"/>
      <c r="AD184" s="143"/>
    </row>
    <row r="185" spans="25:30" x14ac:dyDescent="0.2">
      <c r="Y185" s="67" t="s">
        <v>73</v>
      </c>
      <c r="Z185" s="35" t="str">
        <f t="shared" si="55"/>
        <v/>
      </c>
      <c r="AA185" s="13">
        <f t="shared" si="54"/>
        <v>0</v>
      </c>
      <c r="AB185" s="13" t="str">
        <f>IF(AA185&gt;0,Y113&amp;Sprache!$E$111&amp;X113,"")</f>
        <v/>
      </c>
      <c r="AC185" s="2"/>
      <c r="AD185" s="143"/>
    </row>
    <row r="186" spans="25:30" x14ac:dyDescent="0.2">
      <c r="Y186" s="67" t="s">
        <v>74</v>
      </c>
      <c r="Z186" s="35" t="str">
        <f t="shared" si="55"/>
        <v/>
      </c>
      <c r="AA186" s="13">
        <f t="shared" si="54"/>
        <v>0</v>
      </c>
      <c r="AB186" s="13" t="str">
        <f>IF(AA186&gt;0,Y114&amp;Sprache!$E$111&amp;X114,"")</f>
        <v/>
      </c>
      <c r="AC186" s="2"/>
      <c r="AD186" s="143"/>
    </row>
    <row r="187" spans="25:30" x14ac:dyDescent="0.2">
      <c r="Y187" s="67" t="s">
        <v>75</v>
      </c>
      <c r="Z187" s="35" t="str">
        <f t="shared" si="55"/>
        <v/>
      </c>
      <c r="AA187" s="13">
        <f t="shared" si="54"/>
        <v>0</v>
      </c>
      <c r="AB187" s="13" t="str">
        <f>IF(AA187&gt;0,Y115&amp;Sprache!$E$111&amp;X115,"")</f>
        <v/>
      </c>
      <c r="AC187" s="2"/>
      <c r="AD187" s="143"/>
    </row>
    <row r="188" spans="25:30" x14ac:dyDescent="0.2">
      <c r="Y188" s="67" t="s">
        <v>76</v>
      </c>
      <c r="Z188" s="35" t="str">
        <f t="shared" si="55"/>
        <v/>
      </c>
      <c r="AA188" s="13">
        <f t="shared" si="54"/>
        <v>0</v>
      </c>
      <c r="AB188" s="13" t="str">
        <f>IF(AA188&gt;0,Y116&amp;Sprache!$E$111&amp;X116,"")</f>
        <v/>
      </c>
      <c r="AC188" s="2"/>
      <c r="AD188" s="143"/>
    </row>
    <row r="189" spans="25:30" x14ac:dyDescent="0.2">
      <c r="Y189" s="67" t="s">
        <v>77</v>
      </c>
      <c r="Z189" s="35" t="str">
        <f t="shared" si="55"/>
        <v/>
      </c>
      <c r="AA189" s="13">
        <f t="shared" si="54"/>
        <v>0</v>
      </c>
      <c r="AB189" s="13" t="str">
        <f>IF(AA189&gt;0,Y117&amp;Sprache!$E$111&amp;X117,"")</f>
        <v/>
      </c>
      <c r="AC189" s="2"/>
      <c r="AD189" s="143"/>
    </row>
    <row r="190" spans="25:30" x14ac:dyDescent="0.2">
      <c r="Y190" s="67" t="s">
        <v>78</v>
      </c>
      <c r="Z190" s="35" t="str">
        <f t="shared" si="55"/>
        <v/>
      </c>
      <c r="AA190" s="13">
        <f t="shared" si="54"/>
        <v>0</v>
      </c>
      <c r="AB190" s="13" t="str">
        <f>IF(AA190&gt;0,Y118&amp;Sprache!$E$111&amp;X118,"")</f>
        <v/>
      </c>
      <c r="AC190" s="2"/>
      <c r="AD190" s="143"/>
    </row>
    <row r="191" spans="25:30" x14ac:dyDescent="0.2">
      <c r="Y191" s="67" t="s">
        <v>79</v>
      </c>
      <c r="Z191" s="35" t="str">
        <f t="shared" si="55"/>
        <v/>
      </c>
      <c r="AA191" s="13">
        <f t="shared" si="54"/>
        <v>0</v>
      </c>
      <c r="AB191" s="13" t="str">
        <f>IF(AA191&gt;0,Y119&amp;Sprache!$E$111&amp;X119,"")</f>
        <v/>
      </c>
      <c r="AC191" s="2"/>
      <c r="AD191" s="143"/>
    </row>
    <row r="192" spans="25:30" x14ac:dyDescent="0.2">
      <c r="Y192" s="67" t="s">
        <v>80</v>
      </c>
      <c r="Z192" s="35" t="str">
        <f t="shared" si="55"/>
        <v/>
      </c>
      <c r="AA192" s="13">
        <f t="shared" si="54"/>
        <v>0</v>
      </c>
      <c r="AB192" s="13" t="str">
        <f>IF(AA192&gt;0,Y120&amp;Sprache!$E$111&amp;X120,"")</f>
        <v/>
      </c>
      <c r="AC192" s="2"/>
      <c r="AD192" s="143"/>
    </row>
    <row r="193" spans="25:30" x14ac:dyDescent="0.2">
      <c r="Y193" s="67" t="s">
        <v>81</v>
      </c>
      <c r="Z193" s="35" t="str">
        <f t="shared" si="55"/>
        <v/>
      </c>
      <c r="AA193" s="13">
        <f t="shared" si="54"/>
        <v>0</v>
      </c>
      <c r="AB193" s="13" t="str">
        <f>IF(AA193&gt;0,Y121&amp;Sprache!$E$111&amp;X121,"")</f>
        <v/>
      </c>
      <c r="AC193" s="2"/>
      <c r="AD193" s="143"/>
    </row>
    <row r="194" spans="25:30" x14ac:dyDescent="0.2">
      <c r="Y194" s="67" t="s">
        <v>82</v>
      </c>
      <c r="Z194" s="35" t="str">
        <f t="shared" si="55"/>
        <v/>
      </c>
      <c r="AA194" s="13">
        <f t="shared" si="54"/>
        <v>0</v>
      </c>
      <c r="AB194" s="13" t="str">
        <f>IF(AA194&gt;0,Y122&amp;Sprache!$E$111&amp;X122,"")</f>
        <v/>
      </c>
      <c r="AC194" s="2"/>
      <c r="AD194" s="143"/>
    </row>
    <row r="195" spans="25:30" x14ac:dyDescent="0.2">
      <c r="Y195" s="67" t="s">
        <v>83</v>
      </c>
      <c r="Z195" s="35" t="str">
        <f t="shared" si="55"/>
        <v/>
      </c>
      <c r="AA195" s="13">
        <f t="shared" si="54"/>
        <v>0</v>
      </c>
      <c r="AB195" s="13" t="str">
        <f>IF(AA195&gt;0,Y123&amp;Sprache!$E$111&amp;X123,"")</f>
        <v/>
      </c>
      <c r="AC195" s="2"/>
      <c r="AD195" s="143"/>
    </row>
    <row r="196" spans="25:30" x14ac:dyDescent="0.2">
      <c r="Y196" s="67" t="s">
        <v>84</v>
      </c>
      <c r="Z196" s="35" t="str">
        <f t="shared" si="55"/>
        <v/>
      </c>
      <c r="AA196" s="13">
        <f t="shared" si="54"/>
        <v>0</v>
      </c>
      <c r="AB196" s="13" t="str">
        <f>IF(AA196&gt;0,Y124&amp;Sprache!$E$111&amp;X124,"")</f>
        <v/>
      </c>
      <c r="AC196" s="2"/>
      <c r="AD196" s="143"/>
    </row>
    <row r="197" spans="25:30" x14ac:dyDescent="0.2">
      <c r="Y197" s="67" t="s">
        <v>85</v>
      </c>
      <c r="Z197" s="35" t="str">
        <f t="shared" si="55"/>
        <v/>
      </c>
      <c r="AA197" s="13">
        <f t="shared" si="54"/>
        <v>0</v>
      </c>
      <c r="AB197" s="13" t="str">
        <f>IF(AA197&gt;0,Y125&amp;Sprache!$E$111&amp;X125,"")</f>
        <v/>
      </c>
      <c r="AC197" s="2"/>
      <c r="AD197" s="143"/>
    </row>
    <row r="198" spans="25:30" x14ac:dyDescent="0.2">
      <c r="Y198" s="67" t="s">
        <v>86</v>
      </c>
      <c r="Z198" s="35" t="str">
        <f t="shared" si="55"/>
        <v/>
      </c>
      <c r="AA198" s="13">
        <f t="shared" si="54"/>
        <v>0</v>
      </c>
      <c r="AB198" s="13" t="str">
        <f>IF(AA198&gt;0,Y126&amp;Sprache!$E$111&amp;X126,"")</f>
        <v/>
      </c>
      <c r="AC198" s="2"/>
      <c r="AD198" s="143"/>
    </row>
    <row r="199" spans="25:30" x14ac:dyDescent="0.2">
      <c r="Y199" s="67" t="s">
        <v>87</v>
      </c>
      <c r="Z199" s="35" t="str">
        <f t="shared" si="55"/>
        <v/>
      </c>
      <c r="AA199" s="13">
        <f t="shared" si="54"/>
        <v>0</v>
      </c>
      <c r="AB199" s="13" t="str">
        <f>IF(AA199&gt;0,Y127&amp;Sprache!$E$111&amp;X127,"")</f>
        <v/>
      </c>
      <c r="AC199" s="2"/>
      <c r="AD199" s="143"/>
    </row>
    <row r="200" spans="25:30" x14ac:dyDescent="0.2">
      <c r="Y200" s="67" t="s">
        <v>88</v>
      </c>
      <c r="Z200" s="35" t="str">
        <f t="shared" si="55"/>
        <v/>
      </c>
      <c r="AA200" s="13">
        <f t="shared" si="54"/>
        <v>0</v>
      </c>
      <c r="AB200" s="13" t="str">
        <f>IF(AA200&gt;0,Y128&amp;Sprache!$E$111&amp;X128,"")</f>
        <v/>
      </c>
      <c r="AC200" s="2"/>
      <c r="AD200" s="143"/>
    </row>
    <row r="201" spans="25:30" x14ac:dyDescent="0.2">
      <c r="Y201" s="67" t="s">
        <v>89</v>
      </c>
      <c r="Z201" s="35" t="str">
        <f t="shared" si="55"/>
        <v/>
      </c>
      <c r="AA201" s="13">
        <f t="shared" ref="AA201:AA207" si="56">AA129</f>
        <v>0</v>
      </c>
      <c r="AB201" s="13" t="str">
        <f>IF(AA201&gt;0,Y129&amp;Sprache!$E$111&amp;X129,"")</f>
        <v/>
      </c>
      <c r="AC201" s="2"/>
      <c r="AD201" s="143"/>
    </row>
    <row r="202" spans="25:30" x14ac:dyDescent="0.2">
      <c r="Y202" s="67" t="s">
        <v>90</v>
      </c>
      <c r="Z202" s="35" t="str">
        <f t="shared" ref="Z202:Z206" si="57">W130&amp;V130</f>
        <v/>
      </c>
      <c r="AA202" s="13">
        <f t="shared" si="56"/>
        <v>0</v>
      </c>
      <c r="AB202" s="13" t="str">
        <f>IF(AA202&gt;0,Y130&amp;Sprache!$E$111&amp;X130,"")</f>
        <v/>
      </c>
      <c r="AC202" s="2"/>
      <c r="AD202" s="143"/>
    </row>
    <row r="203" spans="25:30" x14ac:dyDescent="0.2">
      <c r="Y203" s="67" t="s">
        <v>91</v>
      </c>
      <c r="Z203" s="35" t="str">
        <f t="shared" si="57"/>
        <v/>
      </c>
      <c r="AA203" s="13">
        <f t="shared" si="56"/>
        <v>0</v>
      </c>
      <c r="AB203" s="13" t="str">
        <f>IF(AA203&gt;0,Y131&amp;Sprache!$E$111&amp;X131,"")</f>
        <v/>
      </c>
      <c r="AC203" s="2"/>
      <c r="AD203" s="143"/>
    </row>
    <row r="204" spans="25:30" x14ac:dyDescent="0.2">
      <c r="Y204" s="67" t="s">
        <v>92</v>
      </c>
      <c r="Z204" s="35" t="str">
        <f t="shared" si="57"/>
        <v/>
      </c>
      <c r="AA204" s="13">
        <f t="shared" si="56"/>
        <v>0</v>
      </c>
      <c r="AB204" s="13" t="str">
        <f>IF(AA204&gt;0,Y132&amp;Sprache!$E$111&amp;X132,"")</f>
        <v/>
      </c>
      <c r="AC204" s="2"/>
      <c r="AD204" s="143"/>
    </row>
    <row r="205" spans="25:30" x14ac:dyDescent="0.2">
      <c r="Y205" s="67" t="s">
        <v>93</v>
      </c>
      <c r="Z205" s="35" t="str">
        <f t="shared" si="57"/>
        <v/>
      </c>
      <c r="AA205" s="13">
        <f t="shared" si="56"/>
        <v>0</v>
      </c>
      <c r="AB205" s="13" t="str">
        <f>IF(AA205&gt;0,Y133&amp;Sprache!$E$111&amp;X133,"")</f>
        <v/>
      </c>
      <c r="AC205" s="2"/>
      <c r="AD205" s="143"/>
    </row>
    <row r="206" spans="25:30" x14ac:dyDescent="0.2">
      <c r="Y206" s="67" t="s">
        <v>94</v>
      </c>
      <c r="Z206" s="35" t="str">
        <f t="shared" si="57"/>
        <v/>
      </c>
      <c r="AA206" s="13">
        <f t="shared" si="56"/>
        <v>0</v>
      </c>
      <c r="AB206" s="13" t="str">
        <f>IF(AA206&gt;0,Y134&amp;Sprache!$E$111&amp;X134,"")</f>
        <v/>
      </c>
      <c r="AC206" s="2"/>
      <c r="AD206" s="143"/>
    </row>
    <row r="207" spans="25:30" ht="12.75" thickBot="1" x14ac:dyDescent="0.25">
      <c r="Y207" s="68" t="s">
        <v>95</v>
      </c>
      <c r="Z207" s="37" t="str">
        <f>W135&amp;V135</f>
        <v/>
      </c>
      <c r="AA207" s="38">
        <f t="shared" si="56"/>
        <v>0</v>
      </c>
      <c r="AB207" s="144" t="str">
        <f>IF(AA207&gt;0,Y135&amp;Sprache!$E$111&amp;X135,"")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4</v>
      </c>
      <c r="D4" s="13">
        <f ca="1">E4+ROW()/1000+(F4="")*10</f>
        <v>4.0039999999999996</v>
      </c>
      <c r="E4" s="251">
        <f ca="1">IF($AI$15,RANK(AH17,AH$17:AH$25,1),RANK(X17,X$17:X$25,1))</f>
        <v>4</v>
      </c>
      <c r="F4" s="1" t="str">
        <f ca="1">$Q64</f>
        <v>1. FC Riedwald</v>
      </c>
      <c r="G4" s="1">
        <f t="shared" ref="G4:G12" ca="1" si="0">SUMIFS($X$64:$X$135,$V$64:$V$135,$F4)+SUMIFS($Y$64:$Y$135,$W$64:$W$135,$F4)</f>
        <v>0</v>
      </c>
      <c r="H4" s="1">
        <f t="shared" ref="H4:H12" ca="1" si="1">SUMIFS($Y$64:$Y$135,$V$64:$V$135,$F4)+SUMIFS($X$64:$X$135,$W$64:$W$135,$F4)</f>
        <v>9</v>
      </c>
      <c r="I4" s="13">
        <f t="shared" ref="I4:I12" ca="1" si="2">G4-H4</f>
        <v>-9</v>
      </c>
      <c r="J4" s="1">
        <f ca="1">SUMIF($V$64:$V$135,F4,$AE$64:$AE$135)+SUMIF($W$64:$W$135,F4,$AF$64:$AF$135)</f>
        <v>1</v>
      </c>
      <c r="K4" s="1">
        <f t="shared" ref="K4:K12" ca="1" si="3">SUMPRODUCT(($V$64:$V$135=F4)*($X$64:$X$135&lt;&gt;""))+SUMPRODUCT(($W$64:$W$135=F4)*($Y$64:$Y$135&lt;&gt;""))</f>
        <v>3</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2</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2</v>
      </c>
      <c r="D5" s="13">
        <f t="shared" ref="D5:D12" ca="1" si="8">E5+ROW()/1000+(F5="")*10</f>
        <v>2.0049999999999999</v>
      </c>
      <c r="E5" s="251">
        <f t="shared" ref="E5:E12" ca="1" si="9">IF($AI$15,RANK(AH18,AH$17:AH$25,1),RANK(X18,X$17:X$25,1))</f>
        <v>2</v>
      </c>
      <c r="F5" s="1" t="str">
        <f t="shared" ref="F5:F12" ca="1" si="10">$Q65</f>
        <v>Mainz 05</v>
      </c>
      <c r="G5" s="1">
        <f t="shared" ca="1" si="0"/>
        <v>4</v>
      </c>
      <c r="H5" s="1">
        <f t="shared" ca="1" si="1"/>
        <v>1</v>
      </c>
      <c r="I5" s="13">
        <f t="shared" ca="1" si="2"/>
        <v>3</v>
      </c>
      <c r="J5" s="1">
        <f t="shared" ref="J5:J12" ca="1" si="11">SUMIF($V$64:$V$135,F5,$AE$64:$AE$135)+SUMIF($W$64:$W$135,F5,$AF$64:$AF$135)</f>
        <v>5</v>
      </c>
      <c r="K5" s="1">
        <f t="shared" ca="1" si="3"/>
        <v>3</v>
      </c>
      <c r="L5" s="1">
        <f t="shared" ca="1" si="4"/>
        <v>1</v>
      </c>
      <c r="M5" s="1">
        <f t="shared" ca="1" si="5"/>
        <v>2</v>
      </c>
      <c r="N5" s="1">
        <f t="shared" ca="1" si="6"/>
        <v>0</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1</v>
      </c>
      <c r="D6" s="13">
        <f t="shared" ca="1" si="8"/>
        <v>1.006</v>
      </c>
      <c r="E6" s="251">
        <f t="shared" ca="1" si="9"/>
        <v>1</v>
      </c>
      <c r="F6" s="1" t="str">
        <f t="shared" ca="1" si="10"/>
        <v>1. FC Nürnberg</v>
      </c>
      <c r="G6" s="1">
        <f t="shared" ca="1" si="0"/>
        <v>11</v>
      </c>
      <c r="H6" s="1">
        <f t="shared" ca="1" si="1"/>
        <v>2</v>
      </c>
      <c r="I6" s="13">
        <f t="shared" ca="1" si="2"/>
        <v>9</v>
      </c>
      <c r="J6" s="1">
        <f t="shared" ca="1" si="11"/>
        <v>7</v>
      </c>
      <c r="K6" s="1">
        <f t="shared" ca="1" si="3"/>
        <v>3</v>
      </c>
      <c r="L6" s="1">
        <f t="shared" ca="1" si="4"/>
        <v>2</v>
      </c>
      <c r="M6" s="1">
        <f t="shared" ca="1" si="5"/>
        <v>1</v>
      </c>
      <c r="N6" s="1">
        <f t="shared" ca="1" si="6"/>
        <v>0</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3</v>
      </c>
      <c r="D7" s="13">
        <f t="shared" ca="1" si="8"/>
        <v>3.0070000000000001</v>
      </c>
      <c r="E7" s="251">
        <f t="shared" ca="1" si="9"/>
        <v>3</v>
      </c>
      <c r="F7" s="1" t="str">
        <f t="shared" ca="1" si="10"/>
        <v>HSV</v>
      </c>
      <c r="G7" s="1">
        <f t="shared" ca="1" si="0"/>
        <v>3</v>
      </c>
      <c r="H7" s="1">
        <f t="shared" ca="1" si="1"/>
        <v>6</v>
      </c>
      <c r="I7" s="13">
        <f t="shared" ca="1" si="2"/>
        <v>-3</v>
      </c>
      <c r="J7" s="1">
        <f t="shared" ca="1" si="11"/>
        <v>3</v>
      </c>
      <c r="K7" s="1">
        <f t="shared" ca="1" si="3"/>
        <v>3</v>
      </c>
      <c r="L7" s="1">
        <f t="shared" ca="1" si="4"/>
        <v>1</v>
      </c>
      <c r="M7" s="1">
        <f t="shared" ca="1" si="5"/>
        <v>0</v>
      </c>
      <c r="N7" s="1">
        <f t="shared" ca="1" si="6"/>
        <v>2</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15.007999999999999</v>
      </c>
      <c r="E8" s="251">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15.009</v>
      </c>
      <c r="E9" s="251">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17.009999999999998</v>
      </c>
      <c r="E10" s="251">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17.010999999999999</v>
      </c>
      <c r="E11" s="251">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17.012</v>
      </c>
      <c r="E12" s="251">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1. FC Riedwald</v>
      </c>
      <c r="D17" s="1">
        <f t="shared" ref="D17:G25" ca="1" si="12">K4</f>
        <v>3</v>
      </c>
      <c r="E17" s="1">
        <f t="shared" ca="1" si="12"/>
        <v>0</v>
      </c>
      <c r="F17" s="1">
        <f t="shared" ca="1" si="12"/>
        <v>1</v>
      </c>
      <c r="G17" s="1">
        <f t="shared" ca="1" si="12"/>
        <v>2</v>
      </c>
      <c r="H17" s="1">
        <f t="shared" ref="H17:K25" ca="1" si="13">G4</f>
        <v>0</v>
      </c>
      <c r="I17" s="1">
        <f t="shared" ca="1" si="13"/>
        <v>9</v>
      </c>
      <c r="J17" s="13">
        <f t="shared" ca="1" si="13"/>
        <v>-9</v>
      </c>
      <c r="K17" s="1">
        <f t="shared" ca="1" si="13"/>
        <v>1</v>
      </c>
      <c r="L17" s="30">
        <f t="shared" ref="L17:L25" ca="1" si="14">K17*$F$64+(J17+$H$65)*$F$65+H17*$F$66</f>
        <v>1491000</v>
      </c>
      <c r="M17" s="14">
        <f ca="1">IF($AI$15,COUNTIF($K$17:$K$25,K17),COUNTIF($L$17:$L$25,L17))</f>
        <v>1</v>
      </c>
      <c r="N17" s="14">
        <f t="array" aca="1" ref="N17" ca="1">IF($AI$15,SUM(($K$17:$K$25&gt;=K17)/COUNTIF($K$17:$K$25,$K$17:$K$25)),SUM(($L$17:$L$25&gt;=L17)/COUNTIF($L$17:$L$25,$L$17:$L$25)))</f>
        <v>4</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4.0108999999999995</v>
      </c>
      <c r="Y17" s="13">
        <f>'Endrunde 4'!$AF33</f>
        <v>0</v>
      </c>
      <c r="Z17" s="1">
        <f ca="1">RANK($W17,$W$17:$W$25)+(9-$Y17)/10</f>
        <v>1.9</v>
      </c>
      <c r="AA17" s="1">
        <f ca="1">SUM(E30:BP30)</f>
        <v>0</v>
      </c>
      <c r="AB17" s="1">
        <f ca="1">SUM(E41:BP41)</f>
        <v>0</v>
      </c>
      <c r="AC17" s="1">
        <f ca="1">SUM(E52:BP52)</f>
        <v>0</v>
      </c>
      <c r="AD17" s="245">
        <f ca="1">RANK($K17,$K$17:$K$25)</f>
        <v>4</v>
      </c>
      <c r="AE17" s="30">
        <f t="shared" ref="AE17:AE22" ca="1" si="24">(J17+$H$65)*$F$65+H17*$F$66</f>
        <v>491000</v>
      </c>
      <c r="AF17" s="1">
        <f ca="1">RANK($AE17,$AE$17:$AE$25)</f>
        <v>6</v>
      </c>
      <c r="AG17" s="1">
        <f ca="1">RANK($W17,$W$17:$W$25)</f>
        <v>1</v>
      </c>
      <c r="AH17" s="247">
        <f ca="1">AD17+AG17/100+AF17/10000+(10-Y17)/1000000</f>
        <v>4.0106099999999998</v>
      </c>
      <c r="AI17" s="1"/>
    </row>
    <row r="18" spans="2:80" s="2" customFormat="1" x14ac:dyDescent="0.2">
      <c r="C18" s="2" t="str">
        <f t="shared" ref="C18:C25" ca="1" si="25">$Q65</f>
        <v>Mainz 05</v>
      </c>
      <c r="D18" s="1">
        <f t="shared" ca="1" si="12"/>
        <v>3</v>
      </c>
      <c r="E18" s="1">
        <f t="shared" ca="1" si="12"/>
        <v>1</v>
      </c>
      <c r="F18" s="1">
        <f t="shared" ca="1" si="12"/>
        <v>2</v>
      </c>
      <c r="G18" s="1">
        <f t="shared" ca="1" si="12"/>
        <v>0</v>
      </c>
      <c r="H18" s="1">
        <f t="shared" ca="1" si="13"/>
        <v>4</v>
      </c>
      <c r="I18" s="1">
        <f t="shared" ca="1" si="13"/>
        <v>1</v>
      </c>
      <c r="J18" s="13">
        <f t="shared" ca="1" si="13"/>
        <v>3</v>
      </c>
      <c r="K18" s="1">
        <f t="shared" ca="1" si="13"/>
        <v>5</v>
      </c>
      <c r="L18" s="30">
        <f t="shared" ca="1" si="14"/>
        <v>5503004</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'Endrunde 4'!$AF34</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2</v>
      </c>
      <c r="AE18" s="30">
        <f t="shared" ca="1" si="24"/>
        <v>503004</v>
      </c>
      <c r="AF18" s="1">
        <f t="shared" ref="AF18:AF25" ca="1" si="33">RANK($AE18,$AE$17:$AE$25)</f>
        <v>2</v>
      </c>
      <c r="AG18" s="1">
        <f t="shared" ref="AG18:AG25" ca="1" si="34">RANK($W18,$W$17:$W$25)</f>
        <v>1</v>
      </c>
      <c r="AH18" s="248">
        <f t="shared" ref="AH18:AH25" ca="1" si="35">AD18+AG18/100+AF18/10000+(10-Y18)/1000000</f>
        <v>2.0102099999999998</v>
      </c>
      <c r="AI18" s="1"/>
    </row>
    <row r="19" spans="2:80" s="2" customFormat="1" x14ac:dyDescent="0.2">
      <c r="C19" s="2" t="str">
        <f t="shared" ca="1" si="25"/>
        <v>1. FC Nürnberg</v>
      </c>
      <c r="D19" s="1">
        <f t="shared" ca="1" si="12"/>
        <v>3</v>
      </c>
      <c r="E19" s="1">
        <f t="shared" ca="1" si="12"/>
        <v>2</v>
      </c>
      <c r="F19" s="1">
        <f t="shared" ca="1" si="12"/>
        <v>1</v>
      </c>
      <c r="G19" s="1">
        <f t="shared" ca="1" si="12"/>
        <v>0</v>
      </c>
      <c r="H19" s="1">
        <f t="shared" ca="1" si="13"/>
        <v>11</v>
      </c>
      <c r="I19" s="1">
        <f t="shared" ca="1" si="13"/>
        <v>2</v>
      </c>
      <c r="J19" s="13">
        <f t="shared" ca="1" si="13"/>
        <v>9</v>
      </c>
      <c r="K19" s="1">
        <f t="shared" ca="1" si="13"/>
        <v>7</v>
      </c>
      <c r="L19" s="30">
        <f t="shared" ca="1" si="14"/>
        <v>7509011</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4'!$AF35</f>
        <v>0</v>
      </c>
      <c r="Z19" s="1">
        <f t="shared" ca="1" si="28"/>
        <v>1.9</v>
      </c>
      <c r="AA19" s="1">
        <f t="shared" ca="1" si="29"/>
        <v>0</v>
      </c>
      <c r="AB19" s="1">
        <f t="shared" ca="1" si="30"/>
        <v>0</v>
      </c>
      <c r="AC19" s="1">
        <f t="shared" ca="1" si="31"/>
        <v>0</v>
      </c>
      <c r="AD19" s="245">
        <f t="shared" ca="1" si="32"/>
        <v>1</v>
      </c>
      <c r="AE19" s="30">
        <f t="shared" ca="1" si="24"/>
        <v>509011</v>
      </c>
      <c r="AF19" s="1">
        <f t="shared" ca="1" si="33"/>
        <v>1</v>
      </c>
      <c r="AG19" s="1">
        <f t="shared" ca="1" si="34"/>
        <v>1</v>
      </c>
      <c r="AH19" s="248">
        <f t="shared" ca="1" si="35"/>
        <v>1.0101100000000001</v>
      </c>
      <c r="AI19" s="1"/>
    </row>
    <row r="20" spans="2:80" s="2" customFormat="1" x14ac:dyDescent="0.2">
      <c r="C20" s="2" t="str">
        <f t="shared" ca="1" si="25"/>
        <v>HSV</v>
      </c>
      <c r="D20" s="1">
        <f t="shared" ca="1" si="12"/>
        <v>3</v>
      </c>
      <c r="E20" s="1">
        <f t="shared" ca="1" si="12"/>
        <v>1</v>
      </c>
      <c r="F20" s="1">
        <f t="shared" ca="1" si="12"/>
        <v>0</v>
      </c>
      <c r="G20" s="1">
        <f t="shared" ca="1" si="12"/>
        <v>2</v>
      </c>
      <c r="H20" s="1">
        <f t="shared" ca="1" si="13"/>
        <v>3</v>
      </c>
      <c r="I20" s="1">
        <f t="shared" ca="1" si="13"/>
        <v>6</v>
      </c>
      <c r="J20" s="13">
        <f t="shared" ca="1" si="13"/>
        <v>-3</v>
      </c>
      <c r="K20" s="1">
        <f t="shared" ca="1" si="13"/>
        <v>3</v>
      </c>
      <c r="L20" s="30">
        <f t="shared" ca="1" si="14"/>
        <v>3497003</v>
      </c>
      <c r="M20" s="14">
        <f t="shared" ca="1" si="26"/>
        <v>1</v>
      </c>
      <c r="N20" s="14">
        <f t="array" aca="1" ref="N20" ca="1">IF($AI$15,SUM(($K$17:$K$25&gt;=K20)/COUNTIF($K$17:$K$25,$K$17:$K$25)),SUM(($L$17:$L$25&gt;=L20)/COUNTIF($L$17:$L$25,$L$17:$L$25)))</f>
        <v>3</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3.0108999999999999</v>
      </c>
      <c r="Y20" s="13">
        <f>'Endrunde 4'!$AF36</f>
        <v>0</v>
      </c>
      <c r="Z20" s="1">
        <f t="shared" ca="1" si="28"/>
        <v>1.9</v>
      </c>
      <c r="AA20" s="1">
        <f t="shared" ca="1" si="29"/>
        <v>0</v>
      </c>
      <c r="AB20" s="1">
        <f t="shared" ca="1" si="30"/>
        <v>0</v>
      </c>
      <c r="AC20" s="1">
        <f t="shared" ca="1" si="31"/>
        <v>0</v>
      </c>
      <c r="AD20" s="245">
        <f t="shared" ca="1" si="32"/>
        <v>3</v>
      </c>
      <c r="AE20" s="30">
        <f t="shared" ca="1" si="24"/>
        <v>497003</v>
      </c>
      <c r="AF20" s="1">
        <f t="shared" ca="1" si="33"/>
        <v>5</v>
      </c>
      <c r="AG20" s="1">
        <f t="shared" ca="1" si="34"/>
        <v>1</v>
      </c>
      <c r="AH20" s="248">
        <f t="shared" ca="1" si="35"/>
        <v>3.01051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5.0108999999999995</v>
      </c>
      <c r="Y21" s="13">
        <v>0</v>
      </c>
      <c r="Z21" s="1">
        <f t="shared" ca="1" si="28"/>
        <v>1.9</v>
      </c>
      <c r="AA21" s="1">
        <f t="shared" ca="1" si="29"/>
        <v>0</v>
      </c>
      <c r="AB21" s="1">
        <f t="shared" ca="1" si="30"/>
        <v>0</v>
      </c>
      <c r="AC21" s="1">
        <f t="shared" ca="1" si="31"/>
        <v>0</v>
      </c>
      <c r="AD21" s="245">
        <f t="shared" ca="1" si="32"/>
        <v>5</v>
      </c>
      <c r="AE21" s="30">
        <f t="shared" ca="1" si="24"/>
        <v>500000</v>
      </c>
      <c r="AF21" s="1">
        <f t="shared" ca="1" si="33"/>
        <v>3</v>
      </c>
      <c r="AG21" s="1">
        <f t="shared" ca="1" si="34"/>
        <v>1</v>
      </c>
      <c r="AH21" s="248">
        <f t="shared" ca="1" si="35"/>
        <v>5.0103099999999996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5.0108999999999995</v>
      </c>
      <c r="Y22" s="13">
        <v>0</v>
      </c>
      <c r="Z22" s="1">
        <f t="shared" ca="1" si="28"/>
        <v>1.9</v>
      </c>
      <c r="AA22" s="1">
        <f t="shared" ca="1" si="29"/>
        <v>0</v>
      </c>
      <c r="AB22" s="1">
        <f t="shared" ca="1" si="30"/>
        <v>0</v>
      </c>
      <c r="AC22" s="1">
        <f t="shared" ca="1" si="31"/>
        <v>0</v>
      </c>
      <c r="AD22" s="245">
        <f t="shared" ca="1" si="32"/>
        <v>5</v>
      </c>
      <c r="AE22" s="30">
        <f t="shared" ca="1" si="24"/>
        <v>500000</v>
      </c>
      <c r="AF22" s="1">
        <f t="shared" ca="1" si="33"/>
        <v>3</v>
      </c>
      <c r="AG22" s="1">
        <f t="shared" ca="1" si="34"/>
        <v>1</v>
      </c>
      <c r="AH22" s="248">
        <f t="shared" ca="1" si="35"/>
        <v>5.0103099999999996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5.0709</v>
      </c>
      <c r="Y23" s="13">
        <v>0</v>
      </c>
      <c r="Z23" s="1">
        <f t="shared" ca="1" si="28"/>
        <v>7.9</v>
      </c>
      <c r="AA23" s="1">
        <f t="shared" ca="1" si="29"/>
        <v>0</v>
      </c>
      <c r="AB23" s="1">
        <f t="shared" ca="1" si="30"/>
        <v>0</v>
      </c>
      <c r="AC23" s="1">
        <f t="shared" ca="1" si="31"/>
        <v>0</v>
      </c>
      <c r="AD23" s="245">
        <f t="shared" ca="1" si="32"/>
        <v>5</v>
      </c>
      <c r="AE23" s="30">
        <v>0</v>
      </c>
      <c r="AF23" s="1">
        <f t="shared" ca="1" si="33"/>
        <v>7</v>
      </c>
      <c r="AG23" s="1">
        <f t="shared" ca="1" si="34"/>
        <v>7</v>
      </c>
      <c r="AH23" s="248">
        <f t="shared" ca="1" si="35"/>
        <v>5.0707100000000001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5.0709</v>
      </c>
      <c r="Y24" s="13">
        <v>0</v>
      </c>
      <c r="Z24" s="1">
        <f t="shared" ca="1" si="28"/>
        <v>7.9</v>
      </c>
      <c r="AA24" s="1">
        <f t="shared" ca="1" si="29"/>
        <v>0</v>
      </c>
      <c r="AB24" s="1">
        <f t="shared" ca="1" si="30"/>
        <v>0</v>
      </c>
      <c r="AC24" s="1">
        <f t="shared" ca="1" si="31"/>
        <v>0</v>
      </c>
      <c r="AD24" s="245">
        <f t="shared" ca="1" si="32"/>
        <v>5</v>
      </c>
      <c r="AE24" s="30">
        <v>0</v>
      </c>
      <c r="AF24" s="1">
        <f t="shared" ca="1" si="33"/>
        <v>7</v>
      </c>
      <c r="AG24" s="1">
        <f t="shared" ca="1" si="34"/>
        <v>7</v>
      </c>
      <c r="AH24" s="248">
        <f t="shared" ca="1" si="35"/>
        <v>5.0707100000000001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5.0709</v>
      </c>
      <c r="Y25" s="13">
        <v>0</v>
      </c>
      <c r="Z25" s="1">
        <f t="shared" ca="1" si="28"/>
        <v>7.9</v>
      </c>
      <c r="AA25" s="1">
        <f t="shared" ca="1" si="29"/>
        <v>0</v>
      </c>
      <c r="AB25" s="1">
        <f t="shared" ca="1" si="30"/>
        <v>0</v>
      </c>
      <c r="AC25" s="1">
        <f t="shared" ca="1" si="31"/>
        <v>0</v>
      </c>
      <c r="AD25" s="245">
        <f t="shared" ca="1" si="32"/>
        <v>5</v>
      </c>
      <c r="AE25" s="30">
        <v>0</v>
      </c>
      <c r="AF25" s="1">
        <f t="shared" ca="1" si="33"/>
        <v>7</v>
      </c>
      <c r="AG25" s="1">
        <f t="shared" ca="1" si="34"/>
        <v>7</v>
      </c>
      <c r="AH25" s="249">
        <f t="shared" ca="1" si="35"/>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1. FC Riedwald</v>
      </c>
      <c r="BT29" s="2" t="str">
        <f ca="1">$F$5</f>
        <v>Mainz 05</v>
      </c>
      <c r="BU29" s="2" t="str">
        <f ca="1">$F$6</f>
        <v>1. FC Nürnberg</v>
      </c>
      <c r="BV29" s="2" t="str">
        <f ca="1">$F$7</f>
        <v>HSV</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1. FC Riedwald</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Mainz 05</v>
      </c>
      <c r="BS31" s="9">
        <f t="shared" ref="BS31:BU38" ca="1" si="39">SUMIFS($X$64:$X$135,$V$64:$V$135,$BR31,$W$64:$W$135,BS$29)+SUMIFS($Y$64:$Y$135,$W$64:$W$135,$BR31,$V$64:$V$135,BS$29)</f>
        <v>0</v>
      </c>
      <c r="BT31" s="7"/>
      <c r="BU31" s="8">
        <f t="shared" ca="1" si="37"/>
        <v>1</v>
      </c>
      <c r="BV31" s="8">
        <f t="shared" ca="1" si="37"/>
        <v>3</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1. FC Nürnberg</v>
      </c>
      <c r="BS32" s="9">
        <f t="shared" ca="1" si="39"/>
        <v>7</v>
      </c>
      <c r="BT32" s="9">
        <f t="shared" ca="1" si="39"/>
        <v>1</v>
      </c>
      <c r="BU32" s="7"/>
      <c r="BV32" s="8">
        <f t="shared" ca="1" si="37"/>
        <v>3</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HSV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HSV</v>
      </c>
      <c r="BS33" s="9">
        <f t="shared" ca="1" si="39"/>
        <v>2</v>
      </c>
      <c r="BT33" s="9">
        <f t="shared" ca="1" si="39"/>
        <v>0</v>
      </c>
      <c r="BU33" s="9">
        <f t="shared" ca="1" si="39"/>
        <v>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1. FC Nürnberg</v>
      </c>
      <c r="BV40" s="2" t="str">
        <f ca="1">$F$7</f>
        <v>HSV</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1. FC Riedwald</v>
      </c>
      <c r="BS41" s="7"/>
      <c r="BT41" s="8">
        <f ca="1">BT30-BS31</f>
        <v>0</v>
      </c>
      <c r="BU41" s="8">
        <f ca="1">BU30-BS32</f>
        <v>-7</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Mainz 05</v>
      </c>
      <c r="BS42" s="9">
        <f ca="1">IF(BT41="","",-1*BT41)</f>
        <v>0</v>
      </c>
      <c r="BT42" s="7"/>
      <c r="BU42" s="8">
        <f ca="1">BU31-BT32</f>
        <v>0</v>
      </c>
      <c r="BV42" s="8">
        <f ca="1">BV31-BT33</f>
        <v>3</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1. FC Nürnberg</v>
      </c>
      <c r="BS43" s="9">
        <f ca="1">IF(BU41="","",-1*BU41)</f>
        <v>7</v>
      </c>
      <c r="BT43" s="9">
        <f ca="1">IF(BU42="","",-1*BU42)</f>
        <v>0</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HSV</v>
      </c>
      <c r="BS44" s="9">
        <f ca="1">IF(BV41="","",-1*BV41)</f>
        <v>2</v>
      </c>
      <c r="BT44" s="9">
        <f ca="1">IF(BV42="","",-1*BV42)</f>
        <v>-3</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1. FC Nürnberg</v>
      </c>
      <c r="BV51" s="2" t="str">
        <f ca="1">$F$7</f>
        <v>HSV</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1. FC Riedwald</v>
      </c>
      <c r="BS52" s="7"/>
      <c r="BT52" s="8">
        <f t="shared" ref="BT52:CA58" ca="1" si="43">SUMIFS($AE$64:$AE$135,$V$64:$V$135,$BR52,$W$64:$W$135,BT$51)+SUMIFS($AF$64:$AF$135,$W$64:$W$135,$BR52,$V$64:$V$135,BT$51)</f>
        <v>1</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Mainz 05</v>
      </c>
      <c r="BS53" s="9">
        <f t="shared" ref="BS53:BU60" ca="1" si="44">SUMIFS($AE$64:$AE$135,$V$64:$V$135,$BR53,$W$64:$W$135,BS$51)+SUMIFS($AF$64:$AF$135,$W$64:$W$135,$BR53,$V$64:$V$135,BS$51)</f>
        <v>1</v>
      </c>
      <c r="BT53" s="7"/>
      <c r="BU53" s="8">
        <f ca="1">SUMIFS($AE$64:$AE$135,$V$64:$V$135,$BR53,$W$64:$W$135,BU$51)+SUMIFS($AF$64:$AF$135,$W$64:$W$135,$BR53,$V$64:$V$135,BU$51)</f>
        <v>1</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1. FC Nürnberg</v>
      </c>
      <c r="BS54" s="9">
        <f t="shared" ca="1" si="44"/>
        <v>3</v>
      </c>
      <c r="BT54" s="9">
        <f t="shared" ca="1" si="44"/>
        <v>1</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HSV</v>
      </c>
      <c r="BS55" s="9">
        <f t="shared" ca="1" si="44"/>
        <v>3</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IF('Endrunde 4'!$AE33="","",'Endrunde 4'!$AE33)</f>
        <v>1. FC Riedwald</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1" t="str">
        <f ca="1">IF(AA64&gt;0,X64&amp;Sprache!$E$111&amp;Y64,"")</f>
        <v/>
      </c>
      <c r="AD64" s="142"/>
      <c r="AE64" s="147" t="str">
        <f ca="1">IF($AA64=0,"",IF($X64&gt;$Y64,Einstellungen!$C$4,IF($X64=$Y64,1,0)))</f>
        <v/>
      </c>
      <c r="AF64" s="142" t="str">
        <f ca="1">IF($AA64=0,"",IF($X64&lt;$Y64,Einstellungen!$C$4,IF($X64=$Y64,1,0)))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 ca="1">IF('Endrunde 4'!$AE34="","",'Endrunde 4'!$AE34)</f>
        <v>Mainz 05</v>
      </c>
      <c r="U65" s="67" t="s">
        <v>8</v>
      </c>
      <c r="V65" s="41" t="str">
        <f ca="1">'Endrunde 4'!$I13</f>
        <v>Maibach 1822 eV</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5">V65&amp;W65</f>
        <v>Maibach 1822 eVSSV Wildbach</v>
      </c>
      <c r="AA65" s="13">
        <f t="shared" ref="AA65:AA128" ca="1" si="46">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IF('Endrunde 4'!$AE35="","",'Endrunde 4'!$AE35)</f>
        <v>1. FC Nürnberg</v>
      </c>
      <c r="U66" s="67" t="s">
        <v>9</v>
      </c>
      <c r="V66" s="41" t="str">
        <f ca="1">'Endrunde 4'!$I14</f>
        <v>VFB Essenheim</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5"/>
        <v>VFB EssenheimFC Grönlingen</v>
      </c>
      <c r="AA66" s="13">
        <f t="shared" ca="1" si="46"/>
        <v>1</v>
      </c>
      <c r="AB66" s="13" t="str">
        <f ca="1">IF(AA66&gt;0,X66&amp;Sprache!$E$111&amp;Y66,"")</f>
        <v>2:1</v>
      </c>
      <c r="AD66" s="143"/>
      <c r="AE66" s="148">
        <f ca="1">IF($AA66=0,"",IF($X66&gt;$Y66,Einstellungen!$C$4,IF($X66=$Y66,1,0)))</f>
        <v>3</v>
      </c>
      <c r="AF66" s="143">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4'!$AE36="","",'Endrunde 4'!$AE36)</f>
        <v>HSV</v>
      </c>
      <c r="U67" s="67" t="s">
        <v>10</v>
      </c>
      <c r="V67" s="41" t="str">
        <f ca="1">'Endrunde 4'!$I15</f>
        <v>1. FC Riedwald</v>
      </c>
      <c r="W67" s="13" t="str">
        <f ca="1">'Endrunde 4'!$K15</f>
        <v>Mainz 05</v>
      </c>
      <c r="X67" s="13">
        <f ca="1">IF(AND('Endrunde 4'!$L15&lt;&gt;"",'Endrunde 4'!$N15&lt;&gt;"",$V67&lt;&gt;$W67,$V67&lt;&gt;"",$W67&lt;&gt;""),'Endrunde 4'!$L15,"")</f>
        <v>0</v>
      </c>
      <c r="Y67" s="36">
        <f ca="1">IF(AND('Endrunde 4'!$L15&lt;&gt;"",'Endrunde 4'!$N15&lt;&gt;"",$V67&lt;&gt;$W67,$V67&lt;&gt;"",$W67&lt;&gt;""),'Endrunde 4'!$N15,"")</f>
        <v>0</v>
      </c>
      <c r="Z67" s="35" t="str">
        <f t="shared" ca="1" si="45"/>
        <v>1. FC RiedwaldMainz 05</v>
      </c>
      <c r="AA67" s="13">
        <f t="shared" ca="1" si="46"/>
        <v>1</v>
      </c>
      <c r="AB67" s="13" t="str">
        <f ca="1">IF(AA67&gt;0,X67&amp;Sprache!$E$111&amp;Y67,"")</f>
        <v>0:0</v>
      </c>
      <c r="AD67" s="143"/>
      <c r="AE67" s="148">
        <f ca="1">IF($AA67=0,"",IF($X67&gt;$Y67,Einstellungen!$C$4,IF($X67=$Y67,1,0)))</f>
        <v>1</v>
      </c>
      <c r="AF67" s="143">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Eintracht Frankfurt</v>
      </c>
      <c r="W68" s="13" t="str">
        <f ca="1">'Endrunde 4'!$K16</f>
        <v>Inter Mailand</v>
      </c>
      <c r="X68" s="13">
        <f ca="1">IF(AND('Endrunde 4'!$L16&lt;&gt;"",'Endrunde 4'!$N16&lt;&gt;"",$V68&lt;&gt;$W68,$V68&lt;&gt;"",$W68&lt;&gt;""),'Endrunde 4'!$L16,"")</f>
        <v>5</v>
      </c>
      <c r="Y68" s="36">
        <f ca="1">IF(AND('Endrunde 4'!$L16&lt;&gt;"",'Endrunde 4'!$N16&lt;&gt;"",$V68&lt;&gt;$W68,$V68&lt;&gt;"",$W68&lt;&gt;""),'Endrunde 4'!$N16,"")</f>
        <v>1</v>
      </c>
      <c r="Z68" s="35" t="str">
        <f t="shared" ca="1" si="45"/>
        <v>Eintracht FrankfurtInter Mailand</v>
      </c>
      <c r="AA68" s="13">
        <f t="shared" ca="1" si="46"/>
        <v>1</v>
      </c>
      <c r="AB68" s="13" t="str">
        <f ca="1">IF(AA68&gt;0,X68&amp;Sprache!$E$111&amp;Y68,"")</f>
        <v>5:1</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FC Barcelona</v>
      </c>
      <c r="W69" s="13" t="str">
        <f ca="1">'Endrunde 4'!$K17</f>
        <v>Manchester City</v>
      </c>
      <c r="X69" s="13">
        <f ca="1">IF(AND('Endrunde 4'!$L17&lt;&gt;"",'Endrunde 4'!$N17&lt;&gt;"",$V69&lt;&gt;$W69,$V69&lt;&gt;"",$W69&lt;&gt;""),'Endrunde 4'!$L17,"")</f>
        <v>2</v>
      </c>
      <c r="Y69" s="36">
        <f ca="1">IF(AND('Endrunde 4'!$L17&lt;&gt;"",'Endrunde 4'!$N17&lt;&gt;"",$V69&lt;&gt;$W69,$V69&lt;&gt;"",$W69&lt;&gt;""),'Endrunde 4'!$N17,"")</f>
        <v>3</v>
      </c>
      <c r="Z69" s="35" t="str">
        <f t="shared" ca="1" si="45"/>
        <v>FC BarcelonaManchester City</v>
      </c>
      <c r="AA69" s="13">
        <f t="shared" ca="1" si="46"/>
        <v>1</v>
      </c>
      <c r="AB69" s="13" t="str">
        <f ca="1">IF(AA69&gt;0,X69&amp;Sprache!$E$111&amp;Y69,"")</f>
        <v>2:3</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'Endrunde 4'!$I18</f>
        <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5"/>
        <v/>
      </c>
      <c r="AA70" s="13">
        <f t="shared" ca="1" si="46"/>
        <v>0</v>
      </c>
      <c r="AB70" s="13" t="str">
        <f ca="1">IF(AA70&gt;0,X70&amp;Sprache!$E$111&amp;Y70,"")</f>
        <v/>
      </c>
      <c r="AD70" s="143"/>
      <c r="AE70" s="148" t="str">
        <f ca="1">IF($AA70=0,"",IF($X70&gt;$Y70,Einstellungen!$C$4,IF($X70=$Y70,1,0)))</f>
        <v/>
      </c>
      <c r="AF70" s="143"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FSV Rauen</v>
      </c>
      <c r="W71" s="13" t="str">
        <f ca="1">'Endrunde 4'!$K19</f>
        <v>TSG Saalberg eV</v>
      </c>
      <c r="X71" s="13">
        <f ca="1">IF(AND('Endrunde 4'!$L19&lt;&gt;"",'Endrunde 4'!$N19&lt;&gt;"",$V71&lt;&gt;$W71,$V71&lt;&gt;"",$W71&lt;&gt;""),'Endrunde 4'!$L19,"")</f>
        <v>5</v>
      </c>
      <c r="Y71" s="36">
        <f ca="1">IF(AND('Endrunde 4'!$L19&lt;&gt;"",'Endrunde 4'!$N19&lt;&gt;"",$V71&lt;&gt;$W71,$V71&lt;&gt;"",$W71&lt;&gt;""),'Endrunde 4'!$N19,"")</f>
        <v>3</v>
      </c>
      <c r="Z71" s="35" t="str">
        <f t="shared" ca="1" si="45"/>
        <v>FSV RauenTSG Saalberg eV</v>
      </c>
      <c r="AA71" s="13">
        <f t="shared" ca="1" si="46"/>
        <v>1</v>
      </c>
      <c r="AB71" s="13" t="str">
        <f ca="1">IF(AA71&gt;0,X71&amp;Sprache!$E$111&amp;Y71,"")</f>
        <v>5:3</v>
      </c>
      <c r="AD71" s="143"/>
      <c r="AE71" s="148">
        <f ca="1">IF($AA71=0,"",IF($X71&gt;$Y71,Einstellungen!$C$4,IF($X71=$Y71,1,0)))</f>
        <v>3</v>
      </c>
      <c r="AF71" s="143">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Kickers Rodendorf</v>
      </c>
      <c r="W72" s="13" t="str">
        <f ca="1">'Endrunde 4'!$K20</f>
        <v>SV Oberredenburg</v>
      </c>
      <c r="X72" s="13">
        <f ca="1">IF(AND('Endrunde 4'!$L20&lt;&gt;"",'Endrunde 4'!$N20&lt;&gt;"",$V72&lt;&gt;$W72,$V72&lt;&gt;"",$W72&lt;&gt;""),'Endrunde 4'!$L20,"")</f>
        <v>2</v>
      </c>
      <c r="Y72" s="36">
        <f ca="1">IF(AND('Endrunde 4'!$L20&lt;&gt;"",'Endrunde 4'!$N20&lt;&gt;"",$V72&lt;&gt;$W72,$V72&lt;&gt;"",$W72&lt;&gt;""),'Endrunde 4'!$N20,"")</f>
        <v>1</v>
      </c>
      <c r="Z72" s="35" t="str">
        <f t="shared" ca="1" si="45"/>
        <v>Kickers RodendorfSV Oberredenburg</v>
      </c>
      <c r="AA72" s="13">
        <f t="shared" ca="1" si="46"/>
        <v>1</v>
      </c>
      <c r="AB72" s="13" t="str">
        <f ca="1">IF(AA72&gt;0,X72&amp;Sprache!$E$111&amp;Y72,"")</f>
        <v>2:1</v>
      </c>
      <c r="AD72" s="143"/>
      <c r="AE72" s="148">
        <f ca="1">IF($AA72=0,"",IF($X72&gt;$Y72,Einstellungen!$C$4,IF($X72=$Y72,1,0)))</f>
        <v>3</v>
      </c>
      <c r="AF72" s="143">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1. FC Nürnberg</v>
      </c>
      <c r="W73" s="13" t="str">
        <f ca="1">'Endrunde 4'!$K21</f>
        <v>HSV</v>
      </c>
      <c r="X73" s="13">
        <f ca="1">IF(AND('Endrunde 4'!$L21&lt;&gt;"",'Endrunde 4'!$N21&lt;&gt;"",$V73&lt;&gt;$W73,$V73&lt;&gt;"",$W73&lt;&gt;""),'Endrunde 4'!$L21,"")</f>
        <v>3</v>
      </c>
      <c r="Y73" s="36">
        <f ca="1">IF(AND('Endrunde 4'!$L21&lt;&gt;"",'Endrunde 4'!$N21&lt;&gt;"",$V73&lt;&gt;$W73,$V73&lt;&gt;"",$W73&lt;&gt;""),'Endrunde 4'!$N21,"")</f>
        <v>1</v>
      </c>
      <c r="Z73" s="35" t="str">
        <f t="shared" ca="1" si="45"/>
        <v>1. FC NürnbergHSV</v>
      </c>
      <c r="AA73" s="13">
        <f t="shared" ca="1" si="46"/>
        <v>1</v>
      </c>
      <c r="AB73" s="13" t="str">
        <f ca="1">IF(AA73&gt;0,X73&amp;Sprache!$E$111&amp;Y73,"")</f>
        <v>3:1</v>
      </c>
      <c r="AD73" s="143"/>
      <c r="AE73" s="148">
        <f ca="1">IF($AA73=0,"",IF($X73&gt;$Y73,Einstellungen!$C$4,IF($X73=$Y73,1,0)))</f>
        <v>3</v>
      </c>
      <c r="AF73" s="143">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Real Madrid</v>
      </c>
      <c r="W74" s="13" t="str">
        <f ca="1">'Endrunde 4'!$K22</f>
        <v>RB Leipzig</v>
      </c>
      <c r="X74" s="13">
        <f ca="1">IF(AND('Endrunde 4'!$L22&lt;&gt;"",'Endrunde 4'!$N22&lt;&gt;"",$V74&lt;&gt;$W74,$V74&lt;&gt;"",$W74&lt;&gt;""),'Endrunde 4'!$L22,"")</f>
        <v>4</v>
      </c>
      <c r="Y74" s="36">
        <f ca="1">IF(AND('Endrunde 4'!$L22&lt;&gt;"",'Endrunde 4'!$N22&lt;&gt;"",$V74&lt;&gt;$W74,$V74&lt;&gt;"",$W74&lt;&gt;""),'Endrunde 4'!$N22,"")</f>
        <v>2</v>
      </c>
      <c r="Z74" s="35" t="str">
        <f ca="1">V74&amp;W74</f>
        <v>Real MadridRB Leipzig</v>
      </c>
      <c r="AA74" s="13">
        <f t="shared" ca="1" si="46"/>
        <v>1</v>
      </c>
      <c r="AB74" s="13" t="str">
        <f ca="1">IF(AA74&gt;0,X74&amp;Sprache!$E$111&amp;Y74,"")</f>
        <v>4:2</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Borussia Dortmund</v>
      </c>
      <c r="W75" s="13" t="str">
        <f ca="1">'Endrunde 4'!$K23</f>
        <v>Paris St. Germain</v>
      </c>
      <c r="X75" s="13">
        <f ca="1">IF(AND('Endrunde 4'!$L23&lt;&gt;"",'Endrunde 4'!$N23&lt;&gt;"",$V75&lt;&gt;$W75,$V75&lt;&gt;"",$W75&lt;&gt;""),'Endrunde 4'!$L23,"")</f>
        <v>1</v>
      </c>
      <c r="Y75" s="36">
        <f ca="1">IF(AND('Endrunde 4'!$L23&lt;&gt;"",'Endrunde 4'!$N23&lt;&gt;"",$V75&lt;&gt;$W75,$V75&lt;&gt;"",$W75&lt;&gt;""),'Endrunde 4'!$N23,"")</f>
        <v>3</v>
      </c>
      <c r="Z75" s="35" t="str">
        <f t="shared" ref="Z75:Z108" ca="1" si="47">V75&amp;W75</f>
        <v>Borussia DortmundParis St. Germain</v>
      </c>
      <c r="AA75" s="13">
        <f t="shared" ca="1" si="46"/>
        <v>1</v>
      </c>
      <c r="AB75" s="13" t="str">
        <f ca="1">IF(AA75&gt;0,X75&amp;Sprache!$E$111&amp;Y75,"")</f>
        <v>1:3</v>
      </c>
      <c r="AD75" s="143"/>
      <c r="AE75" s="148">
        <f ca="1">IF($AA75=0,"",IF($X75&gt;$Y75,Einstellungen!$C$4,IF($X75=$Y75,1,0)))</f>
        <v>0</v>
      </c>
      <c r="AF75" s="143">
        <f ca="1">IF($AA75=0,"",IF($X75&lt;$Y75,Einstellungen!$C$4,IF($X75=$Y75,1,0)))</f>
        <v>3</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7"/>
        <v/>
      </c>
      <c r="AA76" s="13">
        <f t="shared" ca="1" si="46"/>
        <v>0</v>
      </c>
      <c r="AB76" s="13" t="str">
        <f ca="1">IF(AA76&gt;0,X76&amp;Sprache!$E$111&amp;Y76,"")</f>
        <v/>
      </c>
      <c r="AD76" s="143"/>
      <c r="AE76" s="148" t="str">
        <f ca="1">IF($AA76=0,"",IF($X76&gt;$Y76,Einstellungen!$C$4,IF($X76=$Y76,1,0)))</f>
        <v/>
      </c>
      <c r="AF76" s="143"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Maibach 1822 eV</v>
      </c>
      <c r="W77" s="13" t="str">
        <f ca="1">'Endrunde 4'!$K25</f>
        <v>FSV Rauen</v>
      </c>
      <c r="X77" s="13">
        <f ca="1">IF(AND('Endrunde 4'!$L25&lt;&gt;"",'Endrunde 4'!$N25&lt;&gt;"",$V77&lt;&gt;$W77,$V77&lt;&gt;"",$W77&lt;&gt;""),'Endrunde 4'!$L25,"")</f>
        <v>1</v>
      </c>
      <c r="Y77" s="36">
        <f ca="1">IF(AND('Endrunde 4'!$L25&lt;&gt;"",'Endrunde 4'!$N25&lt;&gt;"",$V77&lt;&gt;$W77,$V77&lt;&gt;"",$W77&lt;&gt;""),'Endrunde 4'!$N25,"")</f>
        <v>5</v>
      </c>
      <c r="Z77" s="35" t="str">
        <f t="shared" ca="1" si="47"/>
        <v>Maibach 1822 eVFSV Rauen</v>
      </c>
      <c r="AA77" s="13">
        <f t="shared" ca="1" si="46"/>
        <v>1</v>
      </c>
      <c r="AB77" s="13" t="str">
        <f ca="1">IF(AA77&gt;0,X77&amp;Sprache!$E$111&amp;Y77,"")</f>
        <v>1:5</v>
      </c>
      <c r="AD77" s="143"/>
      <c r="AE77" s="148">
        <f ca="1">IF($AA77=0,"",IF($X77&gt;$Y77,Einstellungen!$C$4,IF($X77=$Y77,1,0)))</f>
        <v>0</v>
      </c>
      <c r="AF77" s="143">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VFB Essenheim</v>
      </c>
      <c r="W78" s="13" t="str">
        <f ca="1">'Endrunde 4'!$K26</f>
        <v>Kickers Rodendorf</v>
      </c>
      <c r="X78" s="13">
        <f ca="1">IF(AND('Endrunde 4'!$L26&lt;&gt;"",'Endrunde 4'!$N26&lt;&gt;"",$V78&lt;&gt;$W78,$V78&lt;&gt;"",$W78&lt;&gt;""),'Endrunde 4'!$L26,"")</f>
        <v>4</v>
      </c>
      <c r="Y78" s="36">
        <f ca="1">IF(AND('Endrunde 4'!$L26&lt;&gt;"",'Endrunde 4'!$N26&lt;&gt;"",$V78&lt;&gt;$W78,$V78&lt;&gt;"",$W78&lt;&gt;""),'Endrunde 4'!$N26,"")</f>
        <v>4</v>
      </c>
      <c r="Z78" s="35" t="str">
        <f t="shared" ca="1" si="47"/>
        <v>VFB EssenheimKickers Rodendorf</v>
      </c>
      <c r="AA78" s="13">
        <f t="shared" ca="1" si="46"/>
        <v>1</v>
      </c>
      <c r="AB78" s="13" t="str">
        <f ca="1">IF(AA78&gt;0,X78&amp;Sprache!$E$111&amp;Y78,"")</f>
        <v>4:4</v>
      </c>
      <c r="AD78" s="143"/>
      <c r="AE78" s="148">
        <f ca="1">IF($AA78=0,"",IF($X78&gt;$Y78,Einstellungen!$C$4,IF($X78=$Y78,1,0)))</f>
        <v>1</v>
      </c>
      <c r="AF78" s="143">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1. FC Riedwald</v>
      </c>
      <c r="W79" s="13" t="str">
        <f ca="1">'Endrunde 4'!$K27</f>
        <v>1. FC Nürnberg</v>
      </c>
      <c r="X79" s="13">
        <f ca="1">IF(AND('Endrunde 4'!$L27&lt;&gt;"",'Endrunde 4'!$N27&lt;&gt;"",$V79&lt;&gt;$W79,$V79&lt;&gt;"",$W79&lt;&gt;""),'Endrunde 4'!$L27,"")</f>
        <v>0</v>
      </c>
      <c r="Y79" s="36">
        <f ca="1">IF(AND('Endrunde 4'!$L27&lt;&gt;"",'Endrunde 4'!$N27&lt;&gt;"",$V79&lt;&gt;$W79,$V79&lt;&gt;"",$W79&lt;&gt;""),'Endrunde 4'!$N27,"")</f>
        <v>7</v>
      </c>
      <c r="Z79" s="35" t="str">
        <f t="shared" ca="1" si="47"/>
        <v>1. FC Riedwald1. FC Nürnberg</v>
      </c>
      <c r="AA79" s="13">
        <f t="shared" ca="1" si="46"/>
        <v>1</v>
      </c>
      <c r="AB79" s="13" t="str">
        <f ca="1">IF(AA79&gt;0,X79&amp;Sprache!$E$111&amp;Y79,"")</f>
        <v>0:7</v>
      </c>
      <c r="AD79" s="143"/>
      <c r="AE79" s="148">
        <f ca="1">IF($AA79=0,"",IF($X79&gt;$Y79,Einstellungen!$C$4,IF($X79=$Y79,1,0)))</f>
        <v>0</v>
      </c>
      <c r="AF79" s="143">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Eintracht Frankfurt</v>
      </c>
      <c r="W80" s="13" t="str">
        <f ca="1">'Endrunde 4'!$K28</f>
        <v>Real Madrid</v>
      </c>
      <c r="X80" s="13">
        <f ca="1">IF(AND('Endrunde 4'!$L28&lt;&gt;"",'Endrunde 4'!$N28&lt;&gt;"",$V80&lt;&gt;$W80,$V80&lt;&gt;"",$W80&lt;&gt;""),'Endrunde 4'!$L28,"")</f>
        <v>2</v>
      </c>
      <c r="Y80" s="36">
        <f ca="1">IF(AND('Endrunde 4'!$L28&lt;&gt;"",'Endrunde 4'!$N28&lt;&gt;"",$V80&lt;&gt;$W80,$V80&lt;&gt;"",$W80&lt;&gt;""),'Endrunde 4'!$N28,"")</f>
        <v>8</v>
      </c>
      <c r="Z80" s="35" t="str">
        <f t="shared" ca="1" si="47"/>
        <v>Eintracht FrankfurtReal Madrid</v>
      </c>
      <c r="AA80" s="13">
        <f t="shared" ca="1" si="46"/>
        <v>1</v>
      </c>
      <c r="AB80" s="13" t="str">
        <f ca="1">IF(AA80&gt;0,X80&amp;Sprache!$E$111&amp;Y80,"")</f>
        <v>2:8</v>
      </c>
      <c r="AD80" s="143"/>
      <c r="AE80" s="148">
        <f ca="1">IF($AA80=0,"",IF($X80&gt;$Y80,Einstellungen!$C$4,IF($X80=$Y80,1,0)))</f>
        <v>0</v>
      </c>
      <c r="AF80" s="143">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FC Barcelona</v>
      </c>
      <c r="W81" s="13" t="str">
        <f ca="1">'Endrunde 4'!$K29</f>
        <v>Borussia Dortmund</v>
      </c>
      <c r="X81" s="13">
        <f ca="1">IF(AND('Endrunde 4'!$L29&lt;&gt;"",'Endrunde 4'!$N29&lt;&gt;"",$V81&lt;&gt;$W81,$V81&lt;&gt;"",$W81&lt;&gt;""),'Endrunde 4'!$L29,"")</f>
        <v>4</v>
      </c>
      <c r="Y81" s="36">
        <f ca="1">IF(AND('Endrunde 4'!$L29&lt;&gt;"",'Endrunde 4'!$N29&lt;&gt;"",$V81&lt;&gt;$W81,$V81&lt;&gt;"",$W81&lt;&gt;""),'Endrunde 4'!$N29,"")</f>
        <v>0</v>
      </c>
      <c r="Z81" s="35" t="str">
        <f t="shared" ca="1" si="47"/>
        <v>FC BarcelonaBorussia Dortmund</v>
      </c>
      <c r="AA81" s="13">
        <f t="shared" ca="1" si="46"/>
        <v>1</v>
      </c>
      <c r="AB81" s="13" t="str">
        <f ca="1">IF(AA81&gt;0,X81&amp;Sprache!$E$111&amp;Y81,"")</f>
        <v>4:0</v>
      </c>
      <c r="AD81" s="143"/>
      <c r="AE81" s="148">
        <f ca="1">IF($AA81=0,"",IF($X81&gt;$Y81,Einstellungen!$C$4,IF($X81=$Y81,1,0)))</f>
        <v>3</v>
      </c>
      <c r="AF81" s="143">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'Endrunde 4'!$I30</f>
        <v/>
      </c>
      <c r="W82" s="13" t="str">
        <f ca="1">'Endrunde 4'!$K30</f>
        <v/>
      </c>
      <c r="X82" s="13" t="str">
        <f ca="1">IF(AND('Endrunde 4'!$L30&lt;&gt;"",'Endrunde 4'!$N30&lt;&gt;"",$V82&lt;&gt;$W82,$V82&lt;&gt;"",$W82&lt;&gt;""),'Endrunde 4'!$L30,"")</f>
        <v/>
      </c>
      <c r="Y82" s="36" t="str">
        <f ca="1">IF(AND('Endrunde 4'!$L30&lt;&gt;"",'Endrunde 4'!$N30&lt;&gt;"",$V82&lt;&gt;$W82,$V82&lt;&gt;"",$W82&lt;&gt;""),'Endrunde 4'!$N30,"")</f>
        <v/>
      </c>
      <c r="Z82" s="35" t="str">
        <f t="shared" ca="1" si="47"/>
        <v/>
      </c>
      <c r="AA82" s="13">
        <f t="shared" ca="1" si="46"/>
        <v>0</v>
      </c>
      <c r="AB82" s="13" t="str">
        <f ca="1">IF(AA82&gt;0,X82&amp;Sprache!$E$111&amp;Y82,"")</f>
        <v/>
      </c>
      <c r="AD82" s="143"/>
      <c r="AE82" s="148" t="str">
        <f ca="1">IF($AA82=0,"",IF($X82&gt;$Y82,Einstellungen!$C$4,IF($X82=$Y82,1,0)))</f>
        <v/>
      </c>
      <c r="AF82" s="143" t="str">
        <f ca="1">IF($AA82=0,"",IF($X82&lt;$Y82,Einstellungen!$C$4,IF($X82=$Y82,1,0)))</f>
        <v/>
      </c>
    </row>
    <row r="83" spans="2:32" s="2" customFormat="1" x14ac:dyDescent="0.2">
      <c r="B83" s="4"/>
      <c r="C83" s="4"/>
      <c r="D83" s="4"/>
      <c r="E83" s="4"/>
      <c r="F83" s="13"/>
      <c r="G83" s="13"/>
      <c r="H83" s="13"/>
      <c r="I83" s="13"/>
      <c r="J83" s="13"/>
      <c r="K83" s="13"/>
      <c r="L83" s="13"/>
      <c r="M83" s="13"/>
      <c r="U83" s="67" t="s">
        <v>35</v>
      </c>
      <c r="V83" s="41" t="str">
        <f ca="1">'Endrunde 4'!$I31</f>
        <v>TSG Saalberg eV</v>
      </c>
      <c r="W83" s="13" t="str">
        <f ca="1">'Endrunde 4'!$K31</f>
        <v>SSV Wildbach</v>
      </c>
      <c r="X83" s="13">
        <f ca="1">IF(AND('Endrunde 4'!$L31&lt;&gt;"",'Endrunde 4'!$N31&lt;&gt;"",$V83&lt;&gt;$W83,$V83&lt;&gt;"",$W83&lt;&gt;""),'Endrunde 4'!$L31,"")</f>
        <v>4</v>
      </c>
      <c r="Y83" s="36">
        <f ca="1">IF(AND('Endrunde 4'!$L31&lt;&gt;"",'Endrunde 4'!$N31&lt;&gt;"",$V83&lt;&gt;$W83,$V83&lt;&gt;"",$W83&lt;&gt;""),'Endrunde 4'!$N31,"")</f>
        <v>1</v>
      </c>
      <c r="Z83" s="35" t="str">
        <f t="shared" ca="1" si="47"/>
        <v>TSG Saalberg eVSSV Wildbach</v>
      </c>
      <c r="AA83" s="13">
        <f t="shared" ca="1" si="46"/>
        <v>1</v>
      </c>
      <c r="AB83" s="13" t="str">
        <f ca="1">IF(AA83&gt;0,X83&amp;Sprache!$E$111&amp;Y83,"")</f>
        <v>4:1</v>
      </c>
      <c r="AD83" s="143"/>
      <c r="AE83" s="148">
        <f ca="1">IF($AA83=0,"",IF($X83&gt;$Y83,Einstellungen!$C$4,IF($X83=$Y83,1,0)))</f>
        <v>3</v>
      </c>
      <c r="AF83" s="143">
        <f ca="1">IF($AA83=0,"",IF($X83&lt;$Y83,Einstellungen!$C$4,IF($X83=$Y83,1,0)))</f>
        <v>0</v>
      </c>
    </row>
    <row r="84" spans="2:32" s="2" customFormat="1" x14ac:dyDescent="0.2">
      <c r="B84" s="4"/>
      <c r="C84" s="4"/>
      <c r="D84" s="4"/>
      <c r="E84" s="4"/>
      <c r="F84" s="13"/>
      <c r="G84" s="13"/>
      <c r="H84" s="13"/>
      <c r="I84" s="13"/>
      <c r="J84" s="13"/>
      <c r="K84" s="13"/>
      <c r="L84" s="13"/>
      <c r="M84" s="13"/>
      <c r="U84" s="67" t="s">
        <v>36</v>
      </c>
      <c r="V84" s="41" t="str">
        <f ca="1">'Endrunde 4'!$I32</f>
        <v>SV Oberredenburg</v>
      </c>
      <c r="W84" s="13" t="str">
        <f ca="1">'Endrunde 4'!$K32</f>
        <v>FC Grönlingen</v>
      </c>
      <c r="X84" s="13">
        <f ca="1">IF(AND('Endrunde 4'!$L32&lt;&gt;"",'Endrunde 4'!$N32&lt;&gt;"",$V84&lt;&gt;$W84,$V84&lt;&gt;"",$W84&lt;&gt;""),'Endrunde 4'!$L32,"")</f>
        <v>3</v>
      </c>
      <c r="Y84" s="36">
        <f ca="1">IF(AND('Endrunde 4'!$L32&lt;&gt;"",'Endrunde 4'!$N32&lt;&gt;"",$V84&lt;&gt;$W84,$V84&lt;&gt;"",$W84&lt;&gt;""),'Endrunde 4'!$N32,"")</f>
        <v>2</v>
      </c>
      <c r="Z84" s="35" t="str">
        <f t="shared" ca="1" si="47"/>
        <v>SV OberredenburgFC Grönlingen</v>
      </c>
      <c r="AA84" s="13">
        <f t="shared" ca="1" si="46"/>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'Endrunde 4'!$I33</f>
        <v>HSV</v>
      </c>
      <c r="W85" s="13" t="str">
        <f ca="1">'Endrunde 4'!$K33</f>
        <v>Mainz 05</v>
      </c>
      <c r="X85" s="13">
        <f ca="1">IF(AND('Endrunde 4'!$L33&lt;&gt;"",'Endrunde 4'!$N33&lt;&gt;"",$V85&lt;&gt;$W85,$V85&lt;&gt;"",$W85&lt;&gt;""),'Endrunde 4'!$L33,"")</f>
        <v>0</v>
      </c>
      <c r="Y85" s="36">
        <f ca="1">IF(AND('Endrunde 4'!$L33&lt;&gt;"",'Endrunde 4'!$N33&lt;&gt;"",$V85&lt;&gt;$W85,$V85&lt;&gt;"",$W85&lt;&gt;""),'Endrunde 4'!$N33,"")</f>
        <v>3</v>
      </c>
      <c r="Z85" s="35" t="str">
        <f t="shared" ca="1" si="47"/>
        <v>HSVMainz 05</v>
      </c>
      <c r="AA85" s="13">
        <f t="shared" ca="1" si="46"/>
        <v>1</v>
      </c>
      <c r="AB85" s="13" t="str">
        <f ca="1">IF(AA85&gt;0,X85&amp;Sprache!$E$111&amp;Y85,"")</f>
        <v>0:3</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RB Leipzig</v>
      </c>
      <c r="W86" s="13" t="str">
        <f ca="1">'Endrunde 4'!$K34</f>
        <v>Inter Mailand</v>
      </c>
      <c r="X86" s="13">
        <f ca="1">IF(AND('Endrunde 4'!$L34&lt;&gt;"",'Endrunde 4'!$N34&lt;&gt;"",$V86&lt;&gt;$W86,$V86&lt;&gt;"",$W86&lt;&gt;""),'Endrunde 4'!$L34,"")</f>
        <v>1</v>
      </c>
      <c r="Y86" s="36">
        <f ca="1">IF(AND('Endrunde 4'!$L34&lt;&gt;"",'Endrunde 4'!$N34&lt;&gt;"",$V86&lt;&gt;$W86,$V86&lt;&gt;"",$W86&lt;&gt;""),'Endrunde 4'!$N34,"")</f>
        <v>1</v>
      </c>
      <c r="Z86" s="35" t="str">
        <f t="shared" ca="1" si="47"/>
        <v>RB LeipzigInter Mailand</v>
      </c>
      <c r="AA86" s="13">
        <f t="shared" ca="1" si="46"/>
        <v>1</v>
      </c>
      <c r="AB86" s="13" t="str">
        <f ca="1">IF(AA86&gt;0,X86&amp;Sprache!$E$111&amp;Y86,"")</f>
        <v>1:1</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'Endrunde 4'!$I35</f>
        <v>Paris St. Germain</v>
      </c>
      <c r="W87" s="13" t="str">
        <f ca="1">'Endrunde 4'!$K35</f>
        <v>Manchester City</v>
      </c>
      <c r="X87" s="13">
        <f ca="1">IF(AND('Endrunde 4'!$L35&lt;&gt;"",'Endrunde 4'!$N35&lt;&gt;"",$V87&lt;&gt;$W87,$V87&lt;&gt;"",$W87&lt;&gt;""),'Endrunde 4'!$L35,"")</f>
        <v>3</v>
      </c>
      <c r="Y87" s="36">
        <f ca="1">IF(AND('Endrunde 4'!$L35&lt;&gt;"",'Endrunde 4'!$N35&lt;&gt;"",$V87&lt;&gt;$W87,$V87&lt;&gt;"",$W87&lt;&gt;""),'Endrunde 4'!$N35,"")</f>
        <v>2</v>
      </c>
      <c r="Z87" s="35" t="str">
        <f t="shared" ca="1" si="47"/>
        <v>Paris St. GermainManchester City</v>
      </c>
      <c r="AA87" s="13">
        <f t="shared" ca="1" si="46"/>
        <v>1</v>
      </c>
      <c r="AB87" s="13" t="str">
        <f ca="1">IF(AA87&gt;0,X87&amp;Sprache!$E$111&amp;Y87,"")</f>
        <v>3:2</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'Endrunde 4'!$I36</f>
        <v/>
      </c>
      <c r="W88" s="13" t="str">
        <f ca="1">'Endrunde 4'!$K36</f>
        <v/>
      </c>
      <c r="X88" s="13" t="str">
        <f ca="1">IF(AND('Endrunde 4'!$L36&lt;&gt;"",'Endrunde 4'!$N36&lt;&gt;"",$V88&lt;&gt;$W88,$V88&lt;&gt;"",$W88&lt;&gt;""),'Endrunde 4'!$L36,"")</f>
        <v/>
      </c>
      <c r="Y88" s="36" t="str">
        <f ca="1">IF(AND('Endrunde 4'!$L36&lt;&gt;"",'Endrunde 4'!$N36&lt;&gt;"",$V88&lt;&gt;$W88,$V88&lt;&gt;"",$W88&lt;&gt;""),'Endrunde 4'!$N36,"")</f>
        <v/>
      </c>
      <c r="Z88" s="35" t="str">
        <f t="shared" ca="1" si="47"/>
        <v/>
      </c>
      <c r="AA88" s="13">
        <f t="shared" ca="1" si="46"/>
        <v>0</v>
      </c>
      <c r="AB88" s="13" t="str">
        <f ca="1">IF(AA88&gt;0,X88&amp;Sprache!$E$111&amp;Y88,"")</f>
        <v/>
      </c>
      <c r="AD88" s="143"/>
      <c r="AE88" s="148" t="str">
        <f ca="1">IF($AA88=0,"",IF($X88&gt;$Y88,Einstellungen!$C$4,IF($X88=$Y88,1,0)))</f>
        <v/>
      </c>
      <c r="AF88" s="143"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'Endrunde 4'!$I37</f>
        <v>TSG Saalberg eV</v>
      </c>
      <c r="W89" s="13" t="str">
        <f ca="1">'Endrunde 4'!$K37</f>
        <v>Maibach 1822 eV</v>
      </c>
      <c r="X89" s="13">
        <f ca="1">IF(AND('Endrunde 4'!$L37&lt;&gt;"",'Endrunde 4'!$N37&lt;&gt;"",$V89&lt;&gt;$W89,$V89&lt;&gt;"",$W89&lt;&gt;""),'Endrunde 4'!$L37,"")</f>
        <v>2</v>
      </c>
      <c r="Y89" s="36">
        <f ca="1">IF(AND('Endrunde 4'!$L37&lt;&gt;"",'Endrunde 4'!$N37&lt;&gt;"",$V89&lt;&gt;$W89,$V89&lt;&gt;"",$W89&lt;&gt;""),'Endrunde 4'!$N37,"")</f>
        <v>0</v>
      </c>
      <c r="Z89" s="35" t="str">
        <f t="shared" ca="1" si="47"/>
        <v>TSG Saalberg eVMaibach 1822 eV</v>
      </c>
      <c r="AA89" s="13">
        <f t="shared" ca="1" si="46"/>
        <v>1</v>
      </c>
      <c r="AB89" s="13" t="str">
        <f ca="1">IF(AA89&gt;0,X89&amp;Sprache!$E$111&amp;Y89,"")</f>
        <v>2:0</v>
      </c>
      <c r="AD89" s="143"/>
      <c r="AE89" s="148">
        <f ca="1">IF($AA89=0,"",IF($X89&gt;$Y89,Einstellungen!$C$4,IF($X89=$Y89,1,0)))</f>
        <v>3</v>
      </c>
      <c r="AF89" s="143">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'Endrunde 4'!$I38</f>
        <v>SV Oberredenburg</v>
      </c>
      <c r="W90" s="13" t="str">
        <f ca="1">'Endrunde 4'!$K38</f>
        <v>VFB Essenheim</v>
      </c>
      <c r="X90" s="13">
        <f ca="1">IF(AND('Endrunde 4'!$L38&lt;&gt;"",'Endrunde 4'!$N38&lt;&gt;"",$V90&lt;&gt;$W90,$V90&lt;&gt;"",$W90&lt;&gt;""),'Endrunde 4'!$L38,"")</f>
        <v>1</v>
      </c>
      <c r="Y90" s="36">
        <f ca="1">IF(AND('Endrunde 4'!$L38&lt;&gt;"",'Endrunde 4'!$N38&lt;&gt;"",$V90&lt;&gt;$W90,$V90&lt;&gt;"",$W90&lt;&gt;""),'Endrunde 4'!$N38,"")</f>
        <v>0</v>
      </c>
      <c r="Z90" s="35" t="str">
        <f t="shared" ca="1" si="47"/>
        <v>SV OberredenburgVFB Essenheim</v>
      </c>
      <c r="AA90" s="13">
        <f t="shared" ca="1" si="46"/>
        <v>1</v>
      </c>
      <c r="AB90" s="13" t="str">
        <f ca="1">IF(AA90&gt;0,X90&amp;Sprache!$E$111&amp;Y90,"")</f>
        <v>1:0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'Endrunde 4'!$I39</f>
        <v>HSV</v>
      </c>
      <c r="W91" s="13" t="str">
        <f ca="1">'Endrunde 4'!$K39</f>
        <v>1. FC Riedwald</v>
      </c>
      <c r="X91" s="13">
        <f ca="1">IF(AND('Endrunde 4'!$L39&lt;&gt;"",'Endrunde 4'!$N39&lt;&gt;"",$V91&lt;&gt;$W91,$V91&lt;&gt;"",$W91&lt;&gt;""),'Endrunde 4'!$L39,"")</f>
        <v>2</v>
      </c>
      <c r="Y91" s="36">
        <f ca="1">IF(AND('Endrunde 4'!$L39&lt;&gt;"",'Endrunde 4'!$N39&lt;&gt;"",$V91&lt;&gt;$W91,$V91&lt;&gt;"",$W91&lt;&gt;""),'Endrunde 4'!$N39,"")</f>
        <v>0</v>
      </c>
      <c r="Z91" s="35" t="str">
        <f t="shared" ca="1" si="47"/>
        <v>HSV1. FC Riedwald</v>
      </c>
      <c r="AA91" s="13">
        <f t="shared" ca="1" si="46"/>
        <v>1</v>
      </c>
      <c r="AB91" s="13" t="str">
        <f ca="1">IF(AA91&gt;0,X91&amp;Sprache!$E$111&amp;Y91,"")</f>
        <v>2:0</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'Endrunde 4'!$I40</f>
        <v>RB Leipzig</v>
      </c>
      <c r="W92" s="13" t="str">
        <f ca="1">'Endrunde 4'!$K40</f>
        <v>Eintracht Frankfurt</v>
      </c>
      <c r="X92" s="13">
        <f ca="1">IF(AND('Endrunde 4'!$L40&lt;&gt;"",'Endrunde 4'!$N40&lt;&gt;"",$V92&lt;&gt;$W92,$V92&lt;&gt;"",$W92&lt;&gt;""),'Endrunde 4'!$L40,"")</f>
        <v>1</v>
      </c>
      <c r="Y92" s="36">
        <f ca="1">IF(AND('Endrunde 4'!$L40&lt;&gt;"",'Endrunde 4'!$N40&lt;&gt;"",$V92&lt;&gt;$W92,$V92&lt;&gt;"",$W92&lt;&gt;""),'Endrunde 4'!$N40,"")</f>
        <v>1</v>
      </c>
      <c r="Z92" s="35" t="str">
        <f t="shared" ca="1" si="47"/>
        <v>RB LeipzigEintracht Frankfurt</v>
      </c>
      <c r="AA92" s="13">
        <f t="shared" ca="1" si="46"/>
        <v>1</v>
      </c>
      <c r="AB92" s="13" t="str">
        <f ca="1">IF(AA92&gt;0,X92&amp;Sprache!$E$111&amp;Y92,"")</f>
        <v>1:1</v>
      </c>
      <c r="AD92" s="143"/>
      <c r="AE92" s="148">
        <f ca="1">IF($AA92=0,"",IF($X92&gt;$Y92,Einstellungen!$C$4,IF($X92=$Y92,1,0)))</f>
        <v>1</v>
      </c>
      <c r="AF92" s="143">
        <f ca="1">IF($AA92=0,"",IF($X92&lt;$Y92,Einstellungen!$C$4,IF($X92=$Y92,1,0)))</f>
        <v>1</v>
      </c>
    </row>
    <row r="93" spans="2:32" s="2" customFormat="1" x14ac:dyDescent="0.2">
      <c r="B93" s="4"/>
      <c r="C93" s="4"/>
      <c r="D93" s="4"/>
      <c r="E93" s="4"/>
      <c r="F93" s="13"/>
      <c r="G93" s="13"/>
      <c r="H93" s="13"/>
      <c r="I93" s="13"/>
      <c r="J93" s="13"/>
      <c r="K93" s="13"/>
      <c r="L93" s="13"/>
      <c r="M93" s="13"/>
      <c r="U93" s="67" t="s">
        <v>45</v>
      </c>
      <c r="V93" s="41" t="str">
        <f ca="1">'Endrunde 4'!$I41</f>
        <v>Paris St. Germain</v>
      </c>
      <c r="W93" s="13" t="str">
        <f ca="1">'Endrunde 4'!$K41</f>
        <v>FC Barcelona</v>
      </c>
      <c r="X93" s="13">
        <f ca="1">IF(AND('Endrunde 4'!$L41&lt;&gt;"",'Endrunde 4'!$N41&lt;&gt;"",$V93&lt;&gt;$W93,$V93&lt;&gt;"",$W93&lt;&gt;""),'Endrunde 4'!$L41,"")</f>
        <v>1</v>
      </c>
      <c r="Y93" s="36">
        <f ca="1">IF(AND('Endrunde 4'!$L41&lt;&gt;"",'Endrunde 4'!$N41&lt;&gt;"",$V93&lt;&gt;$W93,$V93&lt;&gt;"",$W93&lt;&gt;""),'Endrunde 4'!$N41,"")</f>
        <v>2</v>
      </c>
      <c r="Z93" s="35" t="str">
        <f t="shared" ca="1" si="47"/>
        <v>Paris St. GermainFC Barcelona</v>
      </c>
      <c r="AA93" s="13">
        <f t="shared" ca="1" si="46"/>
        <v>1</v>
      </c>
      <c r="AB93" s="13" t="str">
        <f ca="1">IF(AA93&gt;0,X93&amp;Sprache!$E$111&amp;Y93,"")</f>
        <v>1:2</v>
      </c>
      <c r="AD93" s="143"/>
      <c r="AE93" s="148">
        <f ca="1">IF($AA93=0,"",IF($X93&gt;$Y93,Einstellungen!$C$4,IF($X93=$Y93,1,0)))</f>
        <v>0</v>
      </c>
      <c r="AF93" s="143">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'Endrunde 4'!$I42</f>
        <v/>
      </c>
      <c r="W94" s="13" t="str">
        <f ca="1">'Endrunde 4'!$K42</f>
        <v/>
      </c>
      <c r="X94" s="13" t="str">
        <f ca="1">IF(AND('Endrunde 4'!$L42&lt;&gt;"",'Endrunde 4'!$N42&lt;&gt;"",$V94&lt;&gt;$W94,$V94&lt;&gt;"",$W94&lt;&gt;""),'Endrunde 4'!$L42,"")</f>
        <v/>
      </c>
      <c r="Y94" s="36" t="str">
        <f ca="1">IF(AND('Endrunde 4'!$L42&lt;&gt;"",'Endrunde 4'!$N42&lt;&gt;"",$V94&lt;&gt;$W94,$V94&lt;&gt;"",$W94&lt;&gt;""),'Endrunde 4'!$N42,"")</f>
        <v/>
      </c>
      <c r="Z94" s="35" t="str">
        <f t="shared" ca="1" si="47"/>
        <v/>
      </c>
      <c r="AA94" s="13">
        <f t="shared" ca="1" si="46"/>
        <v>0</v>
      </c>
      <c r="AB94" s="13" t="str">
        <f ca="1">IF(AA94&gt;0,X94&amp;Sprache!$E$111&amp;Y94,"")</f>
        <v/>
      </c>
      <c r="AD94" s="143"/>
      <c r="AE94" s="148" t="str">
        <f ca="1">IF($AA94=0,"",IF($X94&gt;$Y94,Einstellungen!$C$4,IF($X94=$Y94,1,0)))</f>
        <v/>
      </c>
      <c r="AF94" s="143"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'Endrunde 4'!$I43</f>
        <v>SSV Wildbach</v>
      </c>
      <c r="W95" s="13" t="str">
        <f ca="1">'Endrunde 4'!$K43</f>
        <v>FSV Rauen</v>
      </c>
      <c r="X95" s="13">
        <f ca="1">IF(AND('Endrunde 4'!$L43&lt;&gt;"",'Endrunde 4'!$N43&lt;&gt;"",$V95&lt;&gt;$W95,$V95&lt;&gt;"",$W95&lt;&gt;""),'Endrunde 4'!$L43,"")</f>
        <v>3</v>
      </c>
      <c r="Y95" s="36">
        <f ca="1">IF(AND('Endrunde 4'!$L43&lt;&gt;"",'Endrunde 4'!$N43&lt;&gt;"",$V95&lt;&gt;$W95,$V95&lt;&gt;"",$W95&lt;&gt;""),'Endrunde 4'!$N43,"")</f>
        <v>1</v>
      </c>
      <c r="Z95" s="35" t="str">
        <f t="shared" ca="1" si="47"/>
        <v>SSV WildbachFSV Rauen</v>
      </c>
      <c r="AA95" s="13">
        <f t="shared" ca="1" si="46"/>
        <v>1</v>
      </c>
      <c r="AB95" s="13" t="str">
        <f ca="1">IF(AA95&gt;0,X95&amp;Sprache!$E$111&amp;Y95,"")</f>
        <v>3:1</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'Endrunde 4'!$I44</f>
        <v>FC Grönlingen</v>
      </c>
      <c r="W96" s="13" t="str">
        <f ca="1">'Endrunde 4'!$K44</f>
        <v>Kickers Rodendorf</v>
      </c>
      <c r="X96" s="13">
        <f ca="1">IF(AND('Endrunde 4'!$L44&lt;&gt;"",'Endrunde 4'!$N44&lt;&gt;"",$V96&lt;&gt;$W96,$V96&lt;&gt;"",$W96&lt;&gt;""),'Endrunde 4'!$L44,"")</f>
        <v>4</v>
      </c>
      <c r="Y96" s="36">
        <f ca="1">IF(AND('Endrunde 4'!$L44&lt;&gt;"",'Endrunde 4'!$N44&lt;&gt;"",$V96&lt;&gt;$W96,$V96&lt;&gt;"",$W96&lt;&gt;""),'Endrunde 4'!$N44,"")</f>
        <v>3</v>
      </c>
      <c r="Z96" s="35" t="str">
        <f t="shared" ca="1" si="47"/>
        <v>FC GrönlingenKickers Rodendorf</v>
      </c>
      <c r="AA96" s="13">
        <f t="shared" ca="1" si="46"/>
        <v>1</v>
      </c>
      <c r="AB96" s="13" t="str">
        <f ca="1">IF(AA96&gt;0,X96&amp;Sprache!$E$111&amp;Y96,"")</f>
        <v>4:3</v>
      </c>
      <c r="AD96" s="143"/>
      <c r="AE96" s="148">
        <f ca="1">IF($AA96=0,"",IF($X96&gt;$Y96,Einstellungen!$C$4,IF($X96=$Y96,1,0)))</f>
        <v>3</v>
      </c>
      <c r="AF96" s="143">
        <f ca="1">IF($AA96=0,"",IF($X96&lt;$Y96,Einstellungen!$C$4,IF($X96=$Y96,1,0)))</f>
        <v>0</v>
      </c>
    </row>
    <row r="97" spans="2:32" s="2" customFormat="1" x14ac:dyDescent="0.2">
      <c r="B97" s="4"/>
      <c r="C97" s="4"/>
      <c r="D97" s="4"/>
      <c r="E97" s="4"/>
      <c r="F97" s="13"/>
      <c r="G97" s="13"/>
      <c r="H97" s="13"/>
      <c r="I97" s="13"/>
      <c r="J97" s="13"/>
      <c r="K97" s="13"/>
      <c r="L97" s="13"/>
      <c r="M97" s="13"/>
      <c r="U97" s="67" t="s">
        <v>49</v>
      </c>
      <c r="V97" s="41" t="str">
        <f ca="1">'Endrunde 4'!$I45</f>
        <v>Mainz 05</v>
      </c>
      <c r="W97" s="13" t="str">
        <f ca="1">'Endrunde 4'!$K45</f>
        <v>1. FC Nürnberg</v>
      </c>
      <c r="X97" s="13">
        <f ca="1">IF(AND('Endrunde 4'!$L45&lt;&gt;"",'Endrunde 4'!$N45&lt;&gt;"",$V97&lt;&gt;$W97,$V97&lt;&gt;"",$W97&lt;&gt;""),'Endrunde 4'!$L45,"")</f>
        <v>1</v>
      </c>
      <c r="Y97" s="36">
        <f ca="1">IF(AND('Endrunde 4'!$L45&lt;&gt;"",'Endrunde 4'!$N45&lt;&gt;"",$V97&lt;&gt;$W97,$V97&lt;&gt;"",$W97&lt;&gt;""),'Endrunde 4'!$N45,"")</f>
        <v>1</v>
      </c>
      <c r="Z97" s="35" t="str">
        <f t="shared" ca="1" si="47"/>
        <v>Mainz 051. FC Nürnberg</v>
      </c>
      <c r="AA97" s="13">
        <f t="shared" ca="1" si="46"/>
        <v>1</v>
      </c>
      <c r="AB97" s="13" t="str">
        <f ca="1">IF(AA97&gt;0,X97&amp;Sprache!$E$111&amp;Y97,"")</f>
        <v>1:1</v>
      </c>
      <c r="AD97" s="143"/>
      <c r="AE97" s="148">
        <f ca="1">IF($AA97=0,"",IF($X97&gt;$Y97,Einstellungen!$C$4,IF($X97=$Y97,1,0)))</f>
        <v>1</v>
      </c>
      <c r="AF97" s="143">
        <f ca="1">IF($AA97=0,"",IF($X97&lt;$Y97,Einstellungen!$C$4,IF($X97=$Y97,1,0)))</f>
        <v>1</v>
      </c>
    </row>
    <row r="98" spans="2:32" s="2" customFormat="1" x14ac:dyDescent="0.2">
      <c r="B98" s="4"/>
      <c r="C98" s="4"/>
      <c r="D98" s="4"/>
      <c r="E98" s="4"/>
      <c r="F98" s="13"/>
      <c r="G98" s="13"/>
      <c r="H98" s="13"/>
      <c r="I98" s="13"/>
      <c r="J98" s="13"/>
      <c r="K98" s="13"/>
      <c r="L98" s="13"/>
      <c r="M98" s="13"/>
      <c r="U98" s="67" t="s">
        <v>50</v>
      </c>
      <c r="V98" s="41" t="str">
        <f ca="1">'Endrunde 4'!$I46</f>
        <v>Inter Mailand</v>
      </c>
      <c r="W98" s="13" t="str">
        <f ca="1">'Endrunde 4'!$K46</f>
        <v>Real Madrid</v>
      </c>
      <c r="X98" s="13">
        <f ca="1">IF(AND('Endrunde 4'!$L46&lt;&gt;"",'Endrunde 4'!$N46&lt;&gt;"",$V98&lt;&gt;$W98,$V98&lt;&gt;"",$W98&lt;&gt;""),'Endrunde 4'!$L46,"")</f>
        <v>1</v>
      </c>
      <c r="Y98" s="36">
        <f ca="1">IF(AND('Endrunde 4'!$L46&lt;&gt;"",'Endrunde 4'!$N46&lt;&gt;"",$V98&lt;&gt;$W98,$V98&lt;&gt;"",$W98&lt;&gt;""),'Endrunde 4'!$N46,"")</f>
        <v>4</v>
      </c>
      <c r="Z98" s="35" t="str">
        <f t="shared" ca="1" si="47"/>
        <v>Inter MailandReal Madrid</v>
      </c>
      <c r="AA98" s="13">
        <f t="shared" ca="1" si="46"/>
        <v>1</v>
      </c>
      <c r="AB98" s="13" t="str">
        <f ca="1">IF(AA98&gt;0,X98&amp;Sprache!$E$111&amp;Y98,"")</f>
        <v>1:4</v>
      </c>
      <c r="AD98" s="143"/>
      <c r="AE98" s="148">
        <f ca="1">IF($AA98=0,"",IF($X98&gt;$Y98,Einstellungen!$C$4,IF($X98=$Y98,1,0)))</f>
        <v>0</v>
      </c>
      <c r="AF98" s="143">
        <f ca="1">IF($AA98=0,"",IF($X98&lt;$Y98,Einstellungen!$C$4,IF($X98=$Y98,1,0)))</f>
        <v>3</v>
      </c>
    </row>
    <row r="99" spans="2:32" s="2" customFormat="1" ht="12.75" thickBot="1" x14ac:dyDescent="0.25">
      <c r="B99" s="4"/>
      <c r="C99" s="4"/>
      <c r="D99" s="4"/>
      <c r="E99" s="4"/>
      <c r="F99" s="13"/>
      <c r="G99" s="13"/>
      <c r="H99" s="13"/>
      <c r="I99" s="13"/>
      <c r="J99" s="13"/>
      <c r="K99" s="13"/>
      <c r="L99" s="13"/>
      <c r="M99" s="13"/>
      <c r="U99" s="67" t="s">
        <v>51</v>
      </c>
      <c r="V99" s="41" t="str">
        <f ca="1">'Endrunde 4'!$I47</f>
        <v>Manchester City</v>
      </c>
      <c r="W99" s="13" t="str">
        <f ca="1">'Endrunde 4'!$K47</f>
        <v>Borussia Dortmund</v>
      </c>
      <c r="X99" s="13">
        <f ca="1">IF(AND('Endrunde 4'!$L47&lt;&gt;"",'Endrunde 4'!$N47&lt;&gt;"",$V99&lt;&gt;$W99,$V99&lt;&gt;"",$W99&lt;&gt;""),'Endrunde 4'!$L47,"")</f>
        <v>2</v>
      </c>
      <c r="Y99" s="36">
        <f ca="1">IF(AND('Endrunde 4'!$L47&lt;&gt;"",'Endrunde 4'!$N47&lt;&gt;"",$V99&lt;&gt;$W99,$V99&lt;&gt;"",$W99&lt;&gt;""),'Endrunde 4'!$N47,"")</f>
        <v>2</v>
      </c>
      <c r="Z99" s="35" t="str">
        <f t="shared" ca="1" si="47"/>
        <v>Manchester CityBorussia Dortmund</v>
      </c>
      <c r="AA99" s="13">
        <f t="shared" ca="1" si="46"/>
        <v>1</v>
      </c>
      <c r="AB99" s="13" t="str">
        <f ca="1">IF(AA99&gt;0,X99&amp;Sprache!$E$111&amp;Y99,"")</f>
        <v>2:2</v>
      </c>
      <c r="AD99" s="143"/>
      <c r="AE99" s="148">
        <f ca="1">IF($AA99=0,"",IF($X99&gt;$Y99,Einstellungen!$C$4,IF($X99=$Y99,1,0)))</f>
        <v>1</v>
      </c>
      <c r="AF99" s="143">
        <f ca="1">IF($AA99=0,"",IF($X99&lt;$Y99,Einstellungen!$C$4,IF($X99=$Y99,1,0)))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IF(AA100&gt;0,X100&amp;Sprache!$E$111&amp;Y100,"")</f>
        <v/>
      </c>
      <c r="AC100" s="296"/>
      <c r="AD100" s="297"/>
      <c r="AE100" s="298" t="str">
        <f>IF($AA100=0,"",IF($X100&gt;$Y100,Einstellungen!$C$4,IF($X100=$Y100,1,0)))</f>
        <v/>
      </c>
      <c r="AF100" s="297"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IF(AA101&gt;0,X101&amp;Sprache!$E$111&amp;Y101,"")</f>
        <v/>
      </c>
      <c r="AD101" s="143"/>
      <c r="AE101" s="148" t="str">
        <f>IF($AA101=0,"",IF($X101&gt;$Y101,Einstellungen!$C$4,IF($X101=$Y101,1,0)))</f>
        <v/>
      </c>
      <c r="AF101" s="143"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IF(AA102&gt;0,X102&amp;Sprache!$E$111&amp;Y102,"")</f>
        <v/>
      </c>
      <c r="AD102" s="143"/>
      <c r="AE102" s="148" t="str">
        <f>IF($AA102=0,"",IF($X102&gt;$Y102,Einstellungen!$C$4,IF($X102=$Y102,1,0)))</f>
        <v/>
      </c>
      <c r="AF102" s="143"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IF(AA103&gt;0,X103&amp;Sprache!$E$111&amp;Y103,"")</f>
        <v/>
      </c>
      <c r="AD103" s="143"/>
      <c r="AE103" s="148" t="str">
        <f>IF($AA103=0,"",IF($X103&gt;$Y103,Einstellungen!$C$4,IF($X103=$Y103,1,0)))</f>
        <v/>
      </c>
      <c r="AF103" s="143"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IF(AA104&gt;0,X104&amp;Sprache!$E$111&amp;Y104,"")</f>
        <v/>
      </c>
      <c r="AD104" s="143"/>
      <c r="AE104" s="148" t="str">
        <f>IF($AA104=0,"",IF($X104&gt;$Y104,Einstellungen!$C$4,IF($X104=$Y104,1,0)))</f>
        <v/>
      </c>
      <c r="AF104" s="143"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IF(AA105&gt;0,X105&amp;Sprache!$E$111&amp;Y105,"")</f>
        <v/>
      </c>
      <c r="AD105" s="143"/>
      <c r="AE105" s="148" t="str">
        <f>IF($AA105=0,"",IF($X105&gt;$Y105,Einstellungen!$C$4,IF($X105=$Y105,1,0)))</f>
        <v/>
      </c>
      <c r="AF105" s="143"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IF(AA106&gt;0,X106&amp;Sprache!$E$111&amp;Y106,"")</f>
        <v/>
      </c>
      <c r="AD106" s="143"/>
      <c r="AE106" s="148" t="str">
        <f>IF($AA106=0,"",IF($X106&gt;$Y106,Einstellungen!$C$4,IF($X106=$Y106,1,0)))</f>
        <v/>
      </c>
      <c r="AF106" s="143"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IF(AA107&gt;0,X107&amp;Sprache!$E$111&amp;Y107,"")</f>
        <v/>
      </c>
      <c r="AD107" s="143"/>
      <c r="AE107" s="148" t="str">
        <f>IF($AA107=0,"",IF($X107&gt;$Y107,Einstellungen!$C$4,IF($X107=$Y107,1,0)))</f>
        <v/>
      </c>
      <c r="AF107" s="143"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IF(AA108&gt;0,X108&amp;Sprache!$E$111&amp;Y108,"")</f>
        <v/>
      </c>
      <c r="AD108" s="143"/>
      <c r="AE108" s="148" t="str">
        <f>IF($AA108=0,"",IF($X108&gt;$Y108,Einstellungen!$C$4,IF($X108=$Y108,1,0)))</f>
        <v/>
      </c>
      <c r="AF108" s="143"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IF($AA109=0,"",IF($X109&gt;$Y109,Einstellungen!$C$4,IF($X109=$Y109,1,0)))</f>
        <v/>
      </c>
      <c r="AF109" s="143"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IF($AA110=0,"",IF($X110&gt;$Y110,Einstellungen!$C$4,IF($X110=$Y110,1,0)))</f>
        <v/>
      </c>
      <c r="AF110" s="143"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IF($AA111=0,"",IF($X111&gt;$Y111,Einstellungen!$C$4,IF($X111=$Y111,1,0)))</f>
        <v/>
      </c>
      <c r="AF111" s="143"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IF($AA112=0,"",IF($X112&gt;$Y112,Einstellungen!$C$4,IF($X112=$Y112,1,0)))</f>
        <v/>
      </c>
      <c r="AF112" s="143"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IF($AA113=0,"",IF($X113&gt;$Y113,Einstellungen!$C$4,IF($X113=$Y113,1,0)))</f>
        <v/>
      </c>
      <c r="AF113" s="143"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IF($AA114=0,"",IF($X114&gt;$Y114,Einstellungen!$C$4,IF($X114=$Y114,1,0)))</f>
        <v/>
      </c>
      <c r="AF114" s="143"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IF($AA115=0,"",IF($X115&gt;$Y115,Einstellungen!$C$4,IF($X115=$Y115,1,0)))</f>
        <v/>
      </c>
      <c r="AF115" s="143"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IF($AA116=0,"",IF($X116&gt;$Y116,Einstellungen!$C$4,IF($X116=$Y116,1,0)))</f>
        <v/>
      </c>
      <c r="AF116" s="143"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IF($AA117=0,"",IF($X117&gt;$Y117,Einstellungen!$C$4,IF($X117=$Y117,1,0)))</f>
        <v/>
      </c>
      <c r="AF117" s="143"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IF($AA118=0,"",IF($X118&gt;$Y118,Einstellungen!$C$4,IF($X118=$Y118,1,0)))</f>
        <v/>
      </c>
      <c r="AF118" s="143"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IF($AA119=0,"",IF($X119&gt;$Y119,Einstellungen!$C$4,IF($X119=$Y119,1,0)))</f>
        <v/>
      </c>
      <c r="AF119" s="143"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IF($AA120=0,"",IF($X120&gt;$Y120,Einstellungen!$C$4,IF($X120=$Y120,1,0)))</f>
        <v/>
      </c>
      <c r="AF120" s="143"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IF($AA121=0,"",IF($X121&gt;$Y121,Einstellungen!$C$4,IF($X121=$Y121,1,0)))</f>
        <v/>
      </c>
      <c r="AF121" s="143"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IF($AA122=0,"",IF($X122&gt;$Y122,Einstellungen!$C$4,IF($X122=$Y122,1,0)))</f>
        <v/>
      </c>
      <c r="AF122" s="143"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IF($AA123=0,"",IF($X123&gt;$Y123,Einstellungen!$C$4,IF($X123=$Y123,1,0)))</f>
        <v/>
      </c>
      <c r="AF123" s="143"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IF($AA124=0,"",IF($X124&gt;$Y124,Einstellungen!$C$4,IF($X124=$Y124,1,0)))</f>
        <v/>
      </c>
      <c r="AF124" s="143"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IF(AA136&gt;0,Y64&amp;Sprache!$E$111&amp;X64,"")</f>
        <v/>
      </c>
      <c r="AD136" s="143"/>
    </row>
    <row r="137" spans="2:32" x14ac:dyDescent="0.2">
      <c r="Y137" s="67" t="s">
        <v>8</v>
      </c>
      <c r="Z137" s="35" t="str">
        <f ca="1">W65&amp;V65</f>
        <v>SSV WildbachMaibach 1822 eV</v>
      </c>
      <c r="AA137" s="13">
        <f t="shared" ref="AA137:AA200" ca="1" si="49">AA65</f>
        <v>1</v>
      </c>
      <c r="AB137" s="13" t="str">
        <f ca="1">IF(AA137&gt;0,Y65&amp;Sprache!$E$111&amp;X65,"")</f>
        <v>4:2</v>
      </c>
      <c r="AC137" s="2"/>
      <c r="AD137" s="143"/>
    </row>
    <row r="138" spans="2:32" x14ac:dyDescent="0.2">
      <c r="Y138" s="67" t="s">
        <v>9</v>
      </c>
      <c r="Z138" s="35" t="str">
        <f t="shared" ref="Z138:Z201" ca="1" si="50">W66&amp;V66</f>
        <v>FC GrönlingenVFB Essenheim</v>
      </c>
      <c r="AA138" s="13">
        <f t="shared" ca="1" si="49"/>
        <v>1</v>
      </c>
      <c r="AB138" s="13" t="str">
        <f ca="1">IF(AA138&gt;0,Y66&amp;Sprache!$E$111&amp;X66,"")</f>
        <v>1:2</v>
      </c>
      <c r="AC138" s="2"/>
      <c r="AD138" s="143"/>
    </row>
    <row r="139" spans="2:32" x14ac:dyDescent="0.2">
      <c r="Y139" s="67" t="s">
        <v>10</v>
      </c>
      <c r="Z139" s="35" t="str">
        <f t="shared" ca="1" si="50"/>
        <v>Mainz 051. FC Riedwald</v>
      </c>
      <c r="AA139" s="13">
        <f t="shared" ca="1" si="49"/>
        <v>1</v>
      </c>
      <c r="AB139" s="13" t="str">
        <f ca="1">IF(AA139&gt;0,Y67&amp;Sprache!$E$111&amp;X67,"")</f>
        <v>0:0</v>
      </c>
      <c r="AC139" s="2"/>
      <c r="AD139" s="143"/>
    </row>
    <row r="140" spans="2:32" x14ac:dyDescent="0.2">
      <c r="Y140" s="67" t="s">
        <v>11</v>
      </c>
      <c r="Z140" s="35" t="str">
        <f t="shared" ca="1" si="50"/>
        <v>Inter MailandEintracht Frankfurt</v>
      </c>
      <c r="AA140" s="13">
        <f t="shared" ca="1" si="49"/>
        <v>1</v>
      </c>
      <c r="AB140" s="13" t="str">
        <f ca="1">IF(AA140&gt;0,Y68&amp;Sprache!$E$111&amp;X68,"")</f>
        <v>1:5</v>
      </c>
      <c r="AC140" s="2"/>
      <c r="AD140" s="143"/>
    </row>
    <row r="141" spans="2:32" x14ac:dyDescent="0.2">
      <c r="Y141" s="67" t="s">
        <v>12</v>
      </c>
      <c r="Z141" s="35" t="str">
        <f t="shared" ca="1" si="50"/>
        <v>Manchester CityFC Barcelona</v>
      </c>
      <c r="AA141" s="13">
        <f t="shared" ca="1" si="49"/>
        <v>1</v>
      </c>
      <c r="AB141" s="13" t="str">
        <f ca="1">IF(AA141&gt;0,Y69&amp;Sprache!$E$111&amp;X69,"")</f>
        <v>3:2</v>
      </c>
      <c r="AC141" s="2"/>
      <c r="AD141" s="143"/>
    </row>
    <row r="142" spans="2:32" x14ac:dyDescent="0.2">
      <c r="Y142" s="67" t="s">
        <v>17</v>
      </c>
      <c r="Z142" s="35" t="str">
        <f t="shared" ca="1" si="50"/>
        <v/>
      </c>
      <c r="AA142" s="13">
        <f t="shared" ca="1" si="49"/>
        <v>0</v>
      </c>
      <c r="AB142" s="13" t="str">
        <f ca="1">IF(AA142&gt;0,Y70&amp;Sprache!$E$111&amp;X70,"")</f>
        <v/>
      </c>
      <c r="AC142" s="2"/>
      <c r="AD142" s="143"/>
    </row>
    <row r="143" spans="2:32" x14ac:dyDescent="0.2">
      <c r="Y143" s="67" t="s">
        <v>18</v>
      </c>
      <c r="Z143" s="35" t="str">
        <f t="shared" ca="1" si="50"/>
        <v>TSG Saalberg eVFSV Rauen</v>
      </c>
      <c r="AA143" s="13">
        <f t="shared" ca="1" si="49"/>
        <v>1</v>
      </c>
      <c r="AB143" s="13" t="str">
        <f ca="1">IF(AA143&gt;0,Y71&amp;Sprache!$E$111&amp;X71,"")</f>
        <v>3:5</v>
      </c>
      <c r="AC143" s="2"/>
      <c r="AD143" s="143"/>
    </row>
    <row r="144" spans="2:32" x14ac:dyDescent="0.2">
      <c r="Y144" s="67" t="s">
        <v>19</v>
      </c>
      <c r="Z144" s="35" t="str">
        <f t="shared" ca="1" si="50"/>
        <v>SV OberredenburgKickers Rodendorf</v>
      </c>
      <c r="AA144" s="13">
        <f t="shared" ca="1" si="49"/>
        <v>1</v>
      </c>
      <c r="AB144" s="13" t="str">
        <f ca="1">IF(AA144&gt;0,Y72&amp;Sprache!$E$111&amp;X72,"")</f>
        <v>1:2</v>
      </c>
      <c r="AC144" s="2"/>
      <c r="AD144" s="143"/>
    </row>
    <row r="145" spans="25:30" x14ac:dyDescent="0.2">
      <c r="Y145" s="67" t="s">
        <v>25</v>
      </c>
      <c r="Z145" s="35" t="str">
        <f t="shared" ca="1" si="50"/>
        <v>HSV1. FC Nürnberg</v>
      </c>
      <c r="AA145" s="13">
        <f t="shared" ca="1" si="49"/>
        <v>1</v>
      </c>
      <c r="AB145" s="13" t="str">
        <f ca="1">IF(AA145&gt;0,Y73&amp;Sprache!$E$111&amp;X73,"")</f>
        <v>1:3</v>
      </c>
      <c r="AC145" s="2"/>
      <c r="AD145" s="143"/>
    </row>
    <row r="146" spans="25:30" x14ac:dyDescent="0.2">
      <c r="Y146" s="67" t="s">
        <v>26</v>
      </c>
      <c r="Z146" s="35" t="str">
        <f t="shared" ca="1" si="50"/>
        <v>RB LeipzigReal Madrid</v>
      </c>
      <c r="AA146" s="13">
        <f t="shared" ca="1" si="49"/>
        <v>1</v>
      </c>
      <c r="AB146" s="13" t="str">
        <f ca="1">IF(AA146&gt;0,Y74&amp;Sprache!$E$111&amp;X74,"")</f>
        <v>2:4</v>
      </c>
      <c r="AC146" s="2"/>
      <c r="AD146" s="143"/>
    </row>
    <row r="147" spans="25:30" x14ac:dyDescent="0.2">
      <c r="Y147" s="67" t="s">
        <v>27</v>
      </c>
      <c r="Z147" s="35" t="str">
        <f t="shared" ca="1" si="50"/>
        <v>Paris St. GermainBorussia Dortmund</v>
      </c>
      <c r="AA147" s="13">
        <f t="shared" ca="1" si="49"/>
        <v>1</v>
      </c>
      <c r="AB147" s="13" t="str">
        <f ca="1">IF(AA147&gt;0,Y75&amp;Sprache!$E$111&amp;X75,"")</f>
        <v>3:1</v>
      </c>
      <c r="AC147" s="2"/>
      <c r="AD147" s="143"/>
    </row>
    <row r="148" spans="25:30" x14ac:dyDescent="0.2">
      <c r="Y148" s="67" t="s">
        <v>28</v>
      </c>
      <c r="Z148" s="35" t="str">
        <f t="shared" ca="1" si="50"/>
        <v/>
      </c>
      <c r="AA148" s="13">
        <f t="shared" ca="1" si="49"/>
        <v>0</v>
      </c>
      <c r="AB148" s="13" t="str">
        <f ca="1">IF(AA148&gt;0,Y76&amp;Sprache!$E$111&amp;X76,"")</f>
        <v/>
      </c>
      <c r="AC148" s="2"/>
      <c r="AD148" s="143"/>
    </row>
    <row r="149" spans="25:30" x14ac:dyDescent="0.2">
      <c r="Y149" s="67" t="s">
        <v>29</v>
      </c>
      <c r="Z149" s="35" t="str">
        <f t="shared" ca="1" si="50"/>
        <v>FSV RauenMaibach 1822 eV</v>
      </c>
      <c r="AA149" s="13">
        <f t="shared" ca="1" si="49"/>
        <v>1</v>
      </c>
      <c r="AB149" s="13" t="str">
        <f ca="1">IF(AA149&gt;0,Y77&amp;Sprache!$E$111&amp;X77,"")</f>
        <v>5:1</v>
      </c>
      <c r="AC149" s="2"/>
      <c r="AD149" s="143"/>
    </row>
    <row r="150" spans="25:30" x14ac:dyDescent="0.2">
      <c r="Y150" s="67" t="s">
        <v>30</v>
      </c>
      <c r="Z150" s="35" t="str">
        <f t="shared" ca="1" si="50"/>
        <v>Kickers RodendorfVFB Essenheim</v>
      </c>
      <c r="AA150" s="13">
        <f t="shared" ca="1" si="49"/>
        <v>1</v>
      </c>
      <c r="AB150" s="13" t="str">
        <f ca="1">IF(AA150&gt;0,Y78&amp;Sprache!$E$111&amp;X78,"")</f>
        <v>4:4</v>
      </c>
      <c r="AC150" s="2"/>
      <c r="AD150" s="143"/>
    </row>
    <row r="151" spans="25:30" x14ac:dyDescent="0.2">
      <c r="Y151" s="67" t="s">
        <v>31</v>
      </c>
      <c r="Z151" s="35" t="str">
        <f t="shared" ca="1" si="50"/>
        <v>1. FC Nürnberg1. FC Riedwald</v>
      </c>
      <c r="AA151" s="13">
        <f t="shared" ca="1" si="49"/>
        <v>1</v>
      </c>
      <c r="AB151" s="13" t="str">
        <f ca="1">IF(AA151&gt;0,Y79&amp;Sprache!$E$111&amp;X79,"")</f>
        <v>7:0</v>
      </c>
      <c r="AC151" s="2"/>
      <c r="AD151" s="143"/>
    </row>
    <row r="152" spans="25:30" x14ac:dyDescent="0.2">
      <c r="Y152" s="67" t="s">
        <v>32</v>
      </c>
      <c r="Z152" s="35" t="str">
        <f t="shared" ca="1" si="50"/>
        <v>Real MadridEintracht Frankfurt</v>
      </c>
      <c r="AA152" s="13">
        <f t="shared" ca="1" si="49"/>
        <v>1</v>
      </c>
      <c r="AB152" s="13" t="str">
        <f ca="1">IF(AA152&gt;0,Y80&amp;Sprache!$E$111&amp;X80,"")</f>
        <v>8:2</v>
      </c>
      <c r="AC152" s="2"/>
      <c r="AD152" s="143"/>
    </row>
    <row r="153" spans="25:30" x14ac:dyDescent="0.2">
      <c r="Y153" s="67" t="s">
        <v>33</v>
      </c>
      <c r="Z153" s="35" t="str">
        <f t="shared" ca="1" si="50"/>
        <v>Borussia DortmundFC Barcelona</v>
      </c>
      <c r="AA153" s="13">
        <f t="shared" ca="1" si="49"/>
        <v>1</v>
      </c>
      <c r="AB153" s="13" t="str">
        <f ca="1">IF(AA153&gt;0,Y81&amp;Sprache!$E$111&amp;X81,"")</f>
        <v>0:4</v>
      </c>
      <c r="AC153" s="2"/>
      <c r="AD153" s="143"/>
    </row>
    <row r="154" spans="25:30" x14ac:dyDescent="0.2">
      <c r="Y154" s="67" t="s">
        <v>34</v>
      </c>
      <c r="Z154" s="35" t="str">
        <f t="shared" ca="1" si="50"/>
        <v/>
      </c>
      <c r="AA154" s="13">
        <f t="shared" ca="1" si="49"/>
        <v>0</v>
      </c>
      <c r="AB154" s="13" t="str">
        <f ca="1">IF(AA154&gt;0,Y82&amp;Sprache!$E$111&amp;X82,"")</f>
        <v/>
      </c>
      <c r="AC154" s="2"/>
      <c r="AD154" s="143"/>
    </row>
    <row r="155" spans="25:30" x14ac:dyDescent="0.2">
      <c r="Y155" s="67" t="s">
        <v>35</v>
      </c>
      <c r="Z155" s="35" t="str">
        <f t="shared" ca="1" si="50"/>
        <v>SSV WildbachTSG Saalberg eV</v>
      </c>
      <c r="AA155" s="13">
        <f t="shared" ca="1" si="49"/>
        <v>1</v>
      </c>
      <c r="AB155" s="13" t="str">
        <f ca="1">IF(AA155&gt;0,Y83&amp;Sprache!$E$111&amp;X83,"")</f>
        <v>1:4</v>
      </c>
      <c r="AC155" s="2"/>
      <c r="AD155" s="143"/>
    </row>
    <row r="156" spans="25:30" x14ac:dyDescent="0.2">
      <c r="Y156" s="67" t="s">
        <v>36</v>
      </c>
      <c r="Z156" s="35" t="str">
        <f t="shared" ca="1" si="50"/>
        <v>FC GrönlingenSV Oberredenburg</v>
      </c>
      <c r="AA156" s="13">
        <f t="shared" ca="1" si="49"/>
        <v>1</v>
      </c>
      <c r="AB156" s="13" t="str">
        <f ca="1">IF(AA156&gt;0,Y84&amp;Sprache!$E$111&amp;X84,"")</f>
        <v>2:3</v>
      </c>
      <c r="AC156" s="2"/>
      <c r="AD156" s="143"/>
    </row>
    <row r="157" spans="25:30" x14ac:dyDescent="0.2">
      <c r="Y157" s="67" t="s">
        <v>37</v>
      </c>
      <c r="Z157" s="35" t="str">
        <f t="shared" ca="1" si="50"/>
        <v>Mainz 05HSV</v>
      </c>
      <c r="AA157" s="13">
        <f t="shared" ca="1" si="49"/>
        <v>1</v>
      </c>
      <c r="AB157" s="13" t="str">
        <f ca="1">IF(AA157&gt;0,Y85&amp;Sprache!$E$111&amp;X85,"")</f>
        <v>3:0</v>
      </c>
      <c r="AC157" s="2"/>
      <c r="AD157" s="143"/>
    </row>
    <row r="158" spans="25:30" x14ac:dyDescent="0.2">
      <c r="Y158" s="67" t="s">
        <v>38</v>
      </c>
      <c r="Z158" s="35" t="str">
        <f t="shared" ca="1" si="50"/>
        <v>Inter MailandRB Leipzig</v>
      </c>
      <c r="AA158" s="13">
        <f t="shared" ca="1" si="49"/>
        <v>1</v>
      </c>
      <c r="AB158" s="13" t="str">
        <f ca="1">IF(AA158&gt;0,Y86&amp;Sprache!$E$111&amp;X86,"")</f>
        <v>1:1</v>
      </c>
      <c r="AC158" s="2"/>
      <c r="AD158" s="143"/>
    </row>
    <row r="159" spans="25:30" x14ac:dyDescent="0.2">
      <c r="Y159" s="67" t="s">
        <v>39</v>
      </c>
      <c r="Z159" s="35" t="str">
        <f t="shared" ca="1" si="50"/>
        <v>Manchester CityParis St. Germain</v>
      </c>
      <c r="AA159" s="13">
        <f t="shared" ca="1" si="49"/>
        <v>1</v>
      </c>
      <c r="AB159" s="13" t="str">
        <f ca="1">IF(AA159&gt;0,Y87&amp;Sprache!$E$111&amp;X87,"")</f>
        <v>2:3</v>
      </c>
      <c r="AC159" s="2"/>
      <c r="AD159" s="143"/>
    </row>
    <row r="160" spans="25:30" x14ac:dyDescent="0.2">
      <c r="Y160" s="67" t="s">
        <v>40</v>
      </c>
      <c r="Z160" s="35" t="str">
        <f t="shared" ca="1" si="50"/>
        <v/>
      </c>
      <c r="AA160" s="13">
        <f t="shared" ca="1" si="49"/>
        <v>0</v>
      </c>
      <c r="AB160" s="13" t="str">
        <f ca="1">IF(AA160&gt;0,Y88&amp;Sprache!$E$111&amp;X88,"")</f>
        <v/>
      </c>
      <c r="AC160" s="2"/>
      <c r="AD160" s="143"/>
    </row>
    <row r="161" spans="25:30" x14ac:dyDescent="0.2">
      <c r="Y161" s="67" t="s">
        <v>41</v>
      </c>
      <c r="Z161" s="35" t="str">
        <f t="shared" ca="1" si="50"/>
        <v>Maibach 1822 eVTSG Saalberg eV</v>
      </c>
      <c r="AA161" s="13">
        <f t="shared" ca="1" si="49"/>
        <v>1</v>
      </c>
      <c r="AB161" s="13" t="str">
        <f ca="1">IF(AA161&gt;0,Y89&amp;Sprache!$E$111&amp;X89,"")</f>
        <v>0:2</v>
      </c>
      <c r="AC161" s="2"/>
      <c r="AD161" s="143"/>
    </row>
    <row r="162" spans="25:30" x14ac:dyDescent="0.2">
      <c r="Y162" s="67" t="s">
        <v>42</v>
      </c>
      <c r="Z162" s="35" t="str">
        <f t="shared" ca="1" si="50"/>
        <v>VFB EssenheimSV Oberredenburg</v>
      </c>
      <c r="AA162" s="13">
        <f t="shared" ca="1" si="49"/>
        <v>1</v>
      </c>
      <c r="AB162" s="13" t="str">
        <f ca="1">IF(AA162&gt;0,Y90&amp;Sprache!$E$111&amp;X90,"")</f>
        <v>0:1</v>
      </c>
      <c r="AC162" s="2"/>
      <c r="AD162" s="143"/>
    </row>
    <row r="163" spans="25:30" x14ac:dyDescent="0.2">
      <c r="Y163" s="67" t="s">
        <v>43</v>
      </c>
      <c r="Z163" s="35" t="str">
        <f t="shared" ca="1" si="50"/>
        <v>1. FC RiedwaldHSV</v>
      </c>
      <c r="AA163" s="13">
        <f t="shared" ca="1" si="49"/>
        <v>1</v>
      </c>
      <c r="AB163" s="13" t="str">
        <f ca="1">IF(AA163&gt;0,Y91&amp;Sprache!$E$111&amp;X91,"")</f>
        <v>0:2</v>
      </c>
      <c r="AC163" s="2"/>
      <c r="AD163" s="143"/>
    </row>
    <row r="164" spans="25:30" x14ac:dyDescent="0.2">
      <c r="Y164" s="67" t="s">
        <v>44</v>
      </c>
      <c r="Z164" s="35" t="str">
        <f t="shared" ca="1" si="50"/>
        <v>Eintracht FrankfurtRB Leipzig</v>
      </c>
      <c r="AA164" s="13">
        <f t="shared" ca="1" si="49"/>
        <v>1</v>
      </c>
      <c r="AB164" s="13" t="str">
        <f ca="1">IF(AA164&gt;0,Y92&amp;Sprache!$E$111&amp;X92,"")</f>
        <v>1:1</v>
      </c>
      <c r="AC164" s="2"/>
      <c r="AD164" s="143"/>
    </row>
    <row r="165" spans="25:30" x14ac:dyDescent="0.2">
      <c r="Y165" s="67" t="s">
        <v>45</v>
      </c>
      <c r="Z165" s="35" t="str">
        <f t="shared" ca="1" si="50"/>
        <v>FC BarcelonaParis St. Germain</v>
      </c>
      <c r="AA165" s="13">
        <f t="shared" ca="1" si="49"/>
        <v>1</v>
      </c>
      <c r="AB165" s="13" t="str">
        <f ca="1">IF(AA165&gt;0,Y93&amp;Sprache!$E$111&amp;X93,"")</f>
        <v>2:1</v>
      </c>
      <c r="AC165" s="2"/>
      <c r="AD165" s="143"/>
    </row>
    <row r="166" spans="25:30" x14ac:dyDescent="0.2">
      <c r="Y166" s="67" t="s">
        <v>46</v>
      </c>
      <c r="Z166" s="35" t="str">
        <f t="shared" ca="1" si="50"/>
        <v/>
      </c>
      <c r="AA166" s="13">
        <f t="shared" ca="1" si="49"/>
        <v>0</v>
      </c>
      <c r="AB166" s="13" t="str">
        <f ca="1">IF(AA166&gt;0,Y94&amp;Sprache!$E$111&amp;X94,"")</f>
        <v/>
      </c>
      <c r="AC166" s="2"/>
      <c r="AD166" s="143"/>
    </row>
    <row r="167" spans="25:30" x14ac:dyDescent="0.2">
      <c r="Y167" s="67" t="s">
        <v>47</v>
      </c>
      <c r="Z167" s="35" t="str">
        <f t="shared" ca="1" si="50"/>
        <v>FSV RauenSSV Wildbach</v>
      </c>
      <c r="AA167" s="13">
        <f t="shared" ca="1" si="49"/>
        <v>1</v>
      </c>
      <c r="AB167" s="13" t="str">
        <f ca="1">IF(AA167&gt;0,Y95&amp;Sprache!$E$111&amp;X95,"")</f>
        <v>1:3</v>
      </c>
      <c r="AC167" s="2"/>
      <c r="AD167" s="143"/>
    </row>
    <row r="168" spans="25:30" x14ac:dyDescent="0.2">
      <c r="Y168" s="67" t="s">
        <v>48</v>
      </c>
      <c r="Z168" s="35" t="str">
        <f t="shared" ca="1" si="50"/>
        <v>Kickers RodendorfFC Grönlingen</v>
      </c>
      <c r="AA168" s="13">
        <f t="shared" ca="1" si="49"/>
        <v>1</v>
      </c>
      <c r="AB168" s="13" t="str">
        <f ca="1">IF(AA168&gt;0,Y96&amp;Sprache!$E$111&amp;X96,"")</f>
        <v>3:4</v>
      </c>
      <c r="AC168" s="2"/>
      <c r="AD168" s="143"/>
    </row>
    <row r="169" spans="25:30" x14ac:dyDescent="0.2">
      <c r="Y169" s="67" t="s">
        <v>49</v>
      </c>
      <c r="Z169" s="35" t="str">
        <f t="shared" ca="1" si="50"/>
        <v>1. FC NürnbergMainz 05</v>
      </c>
      <c r="AA169" s="13">
        <f t="shared" ca="1" si="49"/>
        <v>1</v>
      </c>
      <c r="AB169" s="13" t="str">
        <f ca="1">IF(AA169&gt;0,Y97&amp;Sprache!$E$111&amp;X97,"")</f>
        <v>1:1</v>
      </c>
      <c r="AC169" s="2"/>
      <c r="AD169" s="143"/>
    </row>
    <row r="170" spans="25:30" x14ac:dyDescent="0.2">
      <c r="Y170" s="67" t="s">
        <v>50</v>
      </c>
      <c r="Z170" s="35" t="str">
        <f t="shared" ca="1" si="50"/>
        <v>Real MadridInter Mailand</v>
      </c>
      <c r="AA170" s="13">
        <f t="shared" ca="1" si="49"/>
        <v>1</v>
      </c>
      <c r="AB170" s="13" t="str">
        <f ca="1">IF(AA170&gt;0,Y98&amp;Sprache!$E$111&amp;X98,"")</f>
        <v>4:1</v>
      </c>
      <c r="AC170" s="2"/>
      <c r="AD170" s="143"/>
    </row>
    <row r="171" spans="25:30" x14ac:dyDescent="0.2">
      <c r="Y171" s="67" t="s">
        <v>51</v>
      </c>
      <c r="Z171" s="35" t="str">
        <f t="shared" ca="1" si="50"/>
        <v>Borussia DortmundManchester City</v>
      </c>
      <c r="AA171" s="13">
        <f t="shared" ca="1" si="49"/>
        <v>1</v>
      </c>
      <c r="AB171" s="13" t="str">
        <f ca="1">IF(AA171&gt;0,Y99&amp;Sprache!$E$111&amp;X99,"")</f>
        <v>2:2</v>
      </c>
      <c r="AC171" s="2"/>
      <c r="AD171" s="143"/>
    </row>
    <row r="172" spans="25:30" x14ac:dyDescent="0.2">
      <c r="Y172" s="67" t="s">
        <v>60</v>
      </c>
      <c r="Z172" s="35" t="str">
        <f t="shared" si="50"/>
        <v/>
      </c>
      <c r="AA172" s="13">
        <f t="shared" si="49"/>
        <v>0</v>
      </c>
      <c r="AB172" s="13" t="str">
        <f>IF(AA172&gt;0,Y100&amp;Sprache!$E$111&amp;X100,"")</f>
        <v/>
      </c>
      <c r="AC172" s="2"/>
      <c r="AD172" s="143"/>
    </row>
    <row r="173" spans="25:30" x14ac:dyDescent="0.2">
      <c r="Y173" s="67" t="s">
        <v>61</v>
      </c>
      <c r="Z173" s="35" t="str">
        <f t="shared" si="50"/>
        <v/>
      </c>
      <c r="AA173" s="13">
        <f t="shared" si="49"/>
        <v>0</v>
      </c>
      <c r="AB173" s="13" t="str">
        <f>IF(AA173&gt;0,Y101&amp;Sprache!$E$111&amp;X101,"")</f>
        <v/>
      </c>
      <c r="AC173" s="2"/>
      <c r="AD173" s="143"/>
    </row>
    <row r="174" spans="25:30" x14ac:dyDescent="0.2">
      <c r="Y174" s="67" t="s">
        <v>62</v>
      </c>
      <c r="Z174" s="35" t="str">
        <f t="shared" si="50"/>
        <v/>
      </c>
      <c r="AA174" s="13">
        <f t="shared" si="49"/>
        <v>0</v>
      </c>
      <c r="AB174" s="13" t="str">
        <f>IF(AA174&gt;0,Y102&amp;Sprache!$E$111&amp;X102,"")</f>
        <v/>
      </c>
      <c r="AC174" s="2"/>
      <c r="AD174" s="143"/>
    </row>
    <row r="175" spans="25:30" x14ac:dyDescent="0.2">
      <c r="Y175" s="67" t="s">
        <v>63</v>
      </c>
      <c r="Z175" s="35" t="str">
        <f t="shared" si="50"/>
        <v/>
      </c>
      <c r="AA175" s="13">
        <f t="shared" si="49"/>
        <v>0</v>
      </c>
      <c r="AB175" s="13" t="str">
        <f>IF(AA175&gt;0,Y103&amp;Sprache!$E$111&amp;X103,"")</f>
        <v/>
      </c>
      <c r="AC175" s="2"/>
      <c r="AD175" s="143"/>
    </row>
    <row r="176" spans="25:30" x14ac:dyDescent="0.2">
      <c r="Y176" s="67" t="s">
        <v>64</v>
      </c>
      <c r="Z176" s="35" t="str">
        <f t="shared" si="50"/>
        <v/>
      </c>
      <c r="AA176" s="13">
        <f t="shared" si="49"/>
        <v>0</v>
      </c>
      <c r="AB176" s="13" t="str">
        <f>IF(AA176&gt;0,Y104&amp;Sprache!$E$111&amp;X104,"")</f>
        <v/>
      </c>
      <c r="AC176" s="2"/>
      <c r="AD176" s="143"/>
    </row>
    <row r="177" spans="25:30" x14ac:dyDescent="0.2">
      <c r="Y177" s="67" t="s">
        <v>65</v>
      </c>
      <c r="Z177" s="35" t="str">
        <f t="shared" si="50"/>
        <v/>
      </c>
      <c r="AA177" s="13">
        <f t="shared" si="49"/>
        <v>0</v>
      </c>
      <c r="AB177" s="13" t="str">
        <f>IF(AA177&gt;0,Y105&amp;Sprache!$E$111&amp;X105,"")</f>
        <v/>
      </c>
      <c r="AC177" s="2"/>
      <c r="AD177" s="143"/>
    </row>
    <row r="178" spans="25:30" x14ac:dyDescent="0.2">
      <c r="Y178" s="67" t="s">
        <v>66</v>
      </c>
      <c r="Z178" s="35" t="str">
        <f t="shared" si="50"/>
        <v/>
      </c>
      <c r="AA178" s="13">
        <f t="shared" si="49"/>
        <v>0</v>
      </c>
      <c r="AB178" s="13" t="str">
        <f>IF(AA178&gt;0,Y106&amp;Sprache!$E$111&amp;X106,"")</f>
        <v/>
      </c>
      <c r="AC178" s="2"/>
      <c r="AD178" s="143"/>
    </row>
    <row r="179" spans="25:30" x14ac:dyDescent="0.2">
      <c r="Y179" s="67" t="s">
        <v>67</v>
      </c>
      <c r="Z179" s="35" t="str">
        <f t="shared" si="50"/>
        <v/>
      </c>
      <c r="AA179" s="13">
        <f t="shared" si="49"/>
        <v>0</v>
      </c>
      <c r="AB179" s="13" t="str">
        <f>IF(AA179&gt;0,Y107&amp;Sprache!$E$111&amp;X107,"")</f>
        <v/>
      </c>
      <c r="AC179" s="2"/>
      <c r="AD179" s="143"/>
    </row>
    <row r="180" spans="25:30" x14ac:dyDescent="0.2">
      <c r="Y180" s="67" t="s">
        <v>68</v>
      </c>
      <c r="Z180" s="35" t="str">
        <f t="shared" si="50"/>
        <v/>
      </c>
      <c r="AA180" s="13">
        <f t="shared" si="49"/>
        <v>0</v>
      </c>
      <c r="AB180" s="13" t="str">
        <f>IF(AA180&gt;0,Y108&amp;Sprache!$E$111&amp;X108,"")</f>
        <v/>
      </c>
      <c r="AC180" s="2"/>
      <c r="AD180" s="143"/>
    </row>
    <row r="181" spans="25:30" x14ac:dyDescent="0.2">
      <c r="Y181" s="67" t="s">
        <v>69</v>
      </c>
      <c r="Z181" s="35" t="str">
        <f t="shared" si="50"/>
        <v/>
      </c>
      <c r="AA181" s="13">
        <f t="shared" si="49"/>
        <v>0</v>
      </c>
      <c r="AB181" s="13" t="str">
        <f>IF(AA181&gt;0,Y109&amp;Sprache!$E$111&amp;X109,"")</f>
        <v/>
      </c>
      <c r="AC181" s="2"/>
      <c r="AD181" s="143"/>
    </row>
    <row r="182" spans="25:30" x14ac:dyDescent="0.2">
      <c r="Y182" s="67" t="s">
        <v>70</v>
      </c>
      <c r="Z182" s="35" t="str">
        <f t="shared" si="50"/>
        <v/>
      </c>
      <c r="AA182" s="13">
        <f t="shared" si="49"/>
        <v>0</v>
      </c>
      <c r="AB182" s="13" t="str">
        <f>IF(AA182&gt;0,Y110&amp;Sprache!$E$111&amp;X110,"")</f>
        <v/>
      </c>
      <c r="AC182" s="2"/>
      <c r="AD182" s="143"/>
    </row>
    <row r="183" spans="25:30" x14ac:dyDescent="0.2">
      <c r="Y183" s="67" t="s">
        <v>71</v>
      </c>
      <c r="Z183" s="35" t="str">
        <f t="shared" si="50"/>
        <v/>
      </c>
      <c r="AA183" s="13">
        <f t="shared" si="49"/>
        <v>0</v>
      </c>
      <c r="AB183" s="13" t="str">
        <f>IF(AA183&gt;0,Y111&amp;Sprache!$E$111&amp;X111,"")</f>
        <v/>
      </c>
      <c r="AC183" s="2"/>
      <c r="AD183" s="143"/>
    </row>
    <row r="184" spans="25:30" x14ac:dyDescent="0.2">
      <c r="Y184" s="67" t="s">
        <v>72</v>
      </c>
      <c r="Z184" s="35" t="str">
        <f t="shared" si="50"/>
        <v/>
      </c>
      <c r="AA184" s="13">
        <f t="shared" si="49"/>
        <v>0</v>
      </c>
      <c r="AB184" s="13" t="str">
        <f>IF(AA184&gt;0,Y112&amp;Sprache!$E$111&amp;X112,"")</f>
        <v/>
      </c>
      <c r="AC184" s="2"/>
      <c r="AD184" s="143"/>
    </row>
    <row r="185" spans="25:30" x14ac:dyDescent="0.2">
      <c r="Y185" s="67" t="s">
        <v>73</v>
      </c>
      <c r="Z185" s="35" t="str">
        <f t="shared" si="50"/>
        <v/>
      </c>
      <c r="AA185" s="13">
        <f t="shared" si="49"/>
        <v>0</v>
      </c>
      <c r="AB185" s="13" t="str">
        <f>IF(AA185&gt;0,Y113&amp;Sprache!$E$111&amp;X113,"")</f>
        <v/>
      </c>
      <c r="AC185" s="2"/>
      <c r="AD185" s="143"/>
    </row>
    <row r="186" spans="25:30" x14ac:dyDescent="0.2">
      <c r="Y186" s="67" t="s">
        <v>74</v>
      </c>
      <c r="Z186" s="35" t="str">
        <f t="shared" si="50"/>
        <v/>
      </c>
      <c r="AA186" s="13">
        <f t="shared" si="49"/>
        <v>0</v>
      </c>
      <c r="AB186" s="13" t="str">
        <f>IF(AA186&gt;0,Y114&amp;Sprache!$E$111&amp;X114,"")</f>
        <v/>
      </c>
      <c r="AC186" s="2"/>
      <c r="AD186" s="143"/>
    </row>
    <row r="187" spans="25:30" x14ac:dyDescent="0.2">
      <c r="Y187" s="67" t="s">
        <v>75</v>
      </c>
      <c r="Z187" s="35" t="str">
        <f t="shared" si="50"/>
        <v/>
      </c>
      <c r="AA187" s="13">
        <f t="shared" si="49"/>
        <v>0</v>
      </c>
      <c r="AB187" s="13" t="str">
        <f>IF(AA187&gt;0,Y115&amp;Sprache!$E$111&amp;X115,"")</f>
        <v/>
      </c>
      <c r="AC187" s="2"/>
      <c r="AD187" s="143"/>
    </row>
    <row r="188" spans="25:30" x14ac:dyDescent="0.2">
      <c r="Y188" s="67" t="s">
        <v>76</v>
      </c>
      <c r="Z188" s="35" t="str">
        <f t="shared" si="50"/>
        <v/>
      </c>
      <c r="AA188" s="13">
        <f t="shared" si="49"/>
        <v>0</v>
      </c>
      <c r="AB188" s="13" t="str">
        <f>IF(AA188&gt;0,Y116&amp;Sprache!$E$111&amp;X116,"")</f>
        <v/>
      </c>
      <c r="AC188" s="2"/>
      <c r="AD188" s="143"/>
    </row>
    <row r="189" spans="25:30" x14ac:dyDescent="0.2">
      <c r="Y189" s="67" t="s">
        <v>77</v>
      </c>
      <c r="Z189" s="35" t="str">
        <f t="shared" si="50"/>
        <v/>
      </c>
      <c r="AA189" s="13">
        <f t="shared" si="49"/>
        <v>0</v>
      </c>
      <c r="AB189" s="13" t="str">
        <f>IF(AA189&gt;0,Y117&amp;Sprache!$E$111&amp;X117,"")</f>
        <v/>
      </c>
      <c r="AC189" s="2"/>
      <c r="AD189" s="143"/>
    </row>
    <row r="190" spans="25:30" x14ac:dyDescent="0.2">
      <c r="Y190" s="67" t="s">
        <v>78</v>
      </c>
      <c r="Z190" s="35" t="str">
        <f t="shared" si="50"/>
        <v/>
      </c>
      <c r="AA190" s="13">
        <f t="shared" si="49"/>
        <v>0</v>
      </c>
      <c r="AB190" s="13" t="str">
        <f>IF(AA190&gt;0,Y118&amp;Sprache!$E$111&amp;X118,"")</f>
        <v/>
      </c>
      <c r="AC190" s="2"/>
      <c r="AD190" s="143"/>
    </row>
    <row r="191" spans="25:30" x14ac:dyDescent="0.2">
      <c r="Y191" s="67" t="s">
        <v>79</v>
      </c>
      <c r="Z191" s="35" t="str">
        <f t="shared" si="50"/>
        <v/>
      </c>
      <c r="AA191" s="13">
        <f t="shared" si="49"/>
        <v>0</v>
      </c>
      <c r="AB191" s="13" t="str">
        <f>IF(AA191&gt;0,Y119&amp;Sprache!$E$111&amp;X119,"")</f>
        <v/>
      </c>
      <c r="AC191" s="2"/>
      <c r="AD191" s="143"/>
    </row>
    <row r="192" spans="25:30" x14ac:dyDescent="0.2">
      <c r="Y192" s="67" t="s">
        <v>80</v>
      </c>
      <c r="Z192" s="35" t="str">
        <f t="shared" si="50"/>
        <v/>
      </c>
      <c r="AA192" s="13">
        <f t="shared" si="49"/>
        <v>0</v>
      </c>
      <c r="AB192" s="13" t="str">
        <f>IF(AA192&gt;0,Y120&amp;Sprache!$E$111&amp;X120,"")</f>
        <v/>
      </c>
      <c r="AC192" s="2"/>
      <c r="AD192" s="143"/>
    </row>
    <row r="193" spans="25:30" x14ac:dyDescent="0.2">
      <c r="Y193" s="67" t="s">
        <v>81</v>
      </c>
      <c r="Z193" s="35" t="str">
        <f t="shared" si="50"/>
        <v/>
      </c>
      <c r="AA193" s="13">
        <f t="shared" si="49"/>
        <v>0</v>
      </c>
      <c r="AB193" s="13" t="str">
        <f>IF(AA193&gt;0,Y121&amp;Sprache!$E$111&amp;X121,"")</f>
        <v/>
      </c>
      <c r="AC193" s="2"/>
      <c r="AD193" s="143"/>
    </row>
    <row r="194" spans="25:30" x14ac:dyDescent="0.2">
      <c r="Y194" s="67" t="s">
        <v>82</v>
      </c>
      <c r="Z194" s="35" t="str">
        <f t="shared" si="50"/>
        <v/>
      </c>
      <c r="AA194" s="13">
        <f t="shared" si="49"/>
        <v>0</v>
      </c>
      <c r="AB194" s="13" t="str">
        <f>IF(AA194&gt;0,Y122&amp;Sprache!$E$111&amp;X122,"")</f>
        <v/>
      </c>
      <c r="AC194" s="2"/>
      <c r="AD194" s="143"/>
    </row>
    <row r="195" spans="25:30" x14ac:dyDescent="0.2">
      <c r="Y195" s="67" t="s">
        <v>83</v>
      </c>
      <c r="Z195" s="35" t="str">
        <f t="shared" si="50"/>
        <v/>
      </c>
      <c r="AA195" s="13">
        <f t="shared" si="49"/>
        <v>0</v>
      </c>
      <c r="AB195" s="13" t="str">
        <f>IF(AA195&gt;0,Y123&amp;Sprache!$E$111&amp;X123,"")</f>
        <v/>
      </c>
      <c r="AC195" s="2"/>
      <c r="AD195" s="143"/>
    </row>
    <row r="196" spans="25:30" x14ac:dyDescent="0.2">
      <c r="Y196" s="67" t="s">
        <v>84</v>
      </c>
      <c r="Z196" s="35" t="str">
        <f t="shared" si="50"/>
        <v/>
      </c>
      <c r="AA196" s="13">
        <f t="shared" si="49"/>
        <v>0</v>
      </c>
      <c r="AB196" s="13" t="str">
        <f>IF(AA196&gt;0,Y124&amp;Sprache!$E$111&amp;X124,"")</f>
        <v/>
      </c>
      <c r="AC196" s="2"/>
      <c r="AD196" s="143"/>
    </row>
    <row r="197" spans="25:30" x14ac:dyDescent="0.2">
      <c r="Y197" s="67" t="s">
        <v>85</v>
      </c>
      <c r="Z197" s="35" t="str">
        <f t="shared" si="50"/>
        <v/>
      </c>
      <c r="AA197" s="13">
        <f t="shared" si="49"/>
        <v>0</v>
      </c>
      <c r="AB197" s="13" t="str">
        <f>IF(AA197&gt;0,Y125&amp;Sprache!$E$111&amp;X125,"")</f>
        <v/>
      </c>
      <c r="AC197" s="2"/>
      <c r="AD197" s="143"/>
    </row>
    <row r="198" spans="25:30" x14ac:dyDescent="0.2">
      <c r="Y198" s="67" t="s">
        <v>86</v>
      </c>
      <c r="Z198" s="35" t="str">
        <f t="shared" si="50"/>
        <v/>
      </c>
      <c r="AA198" s="13">
        <f t="shared" si="49"/>
        <v>0</v>
      </c>
      <c r="AB198" s="13" t="str">
        <f>IF(AA198&gt;0,Y126&amp;Sprache!$E$111&amp;X126,"")</f>
        <v/>
      </c>
      <c r="AC198" s="2"/>
      <c r="AD198" s="143"/>
    </row>
    <row r="199" spans="25:30" x14ac:dyDescent="0.2">
      <c r="Y199" s="67" t="s">
        <v>87</v>
      </c>
      <c r="Z199" s="35" t="str">
        <f t="shared" si="50"/>
        <v/>
      </c>
      <c r="AA199" s="13">
        <f t="shared" si="49"/>
        <v>0</v>
      </c>
      <c r="AB199" s="13" t="str">
        <f>IF(AA199&gt;0,Y127&amp;Sprache!$E$111&amp;X127,"")</f>
        <v/>
      </c>
      <c r="AC199" s="2"/>
      <c r="AD199" s="143"/>
    </row>
    <row r="200" spans="25:30" x14ac:dyDescent="0.2">
      <c r="Y200" s="67" t="s">
        <v>88</v>
      </c>
      <c r="Z200" s="35" t="str">
        <f t="shared" si="50"/>
        <v/>
      </c>
      <c r="AA200" s="13">
        <f t="shared" si="49"/>
        <v>0</v>
      </c>
      <c r="AB200" s="13" t="str">
        <f>IF(AA200&gt;0,Y128&amp;Sprache!$E$111&amp;X128,"")</f>
        <v/>
      </c>
      <c r="AC200" s="2"/>
      <c r="AD200" s="143"/>
    </row>
    <row r="201" spans="25:30" x14ac:dyDescent="0.2">
      <c r="Y201" s="67" t="s">
        <v>89</v>
      </c>
      <c r="Z201" s="35" t="str">
        <f t="shared" si="50"/>
        <v/>
      </c>
      <c r="AA201" s="13">
        <f t="shared" ref="AA201:AA207" si="51">AA129</f>
        <v>0</v>
      </c>
      <c r="AB201" s="13" t="str">
        <f>IF(AA201&gt;0,Y129&amp;Sprache!$E$111&amp;X129,"")</f>
        <v/>
      </c>
      <c r="AC201" s="2"/>
      <c r="AD201" s="143"/>
    </row>
    <row r="202" spans="25:30" x14ac:dyDescent="0.2">
      <c r="Y202" s="67" t="s">
        <v>90</v>
      </c>
      <c r="Z202" s="35" t="str">
        <f t="shared" ref="Z202:Z206" si="52">W130&amp;V130</f>
        <v/>
      </c>
      <c r="AA202" s="13">
        <f t="shared" si="51"/>
        <v>0</v>
      </c>
      <c r="AB202" s="13" t="str">
        <f>IF(AA202&gt;0,Y130&amp;Sprache!$E$111&amp;X130,"")</f>
        <v/>
      </c>
      <c r="AC202" s="2"/>
      <c r="AD202" s="143"/>
    </row>
    <row r="203" spans="25:30" x14ac:dyDescent="0.2">
      <c r="Y203" s="67" t="s">
        <v>91</v>
      </c>
      <c r="Z203" s="35" t="str">
        <f t="shared" si="52"/>
        <v/>
      </c>
      <c r="AA203" s="13">
        <f t="shared" si="51"/>
        <v>0</v>
      </c>
      <c r="AB203" s="13" t="str">
        <f>IF(AA203&gt;0,Y131&amp;Sprache!$E$111&amp;X131,"")</f>
        <v/>
      </c>
      <c r="AC203" s="2"/>
      <c r="AD203" s="143"/>
    </row>
    <row r="204" spans="25:30" x14ac:dyDescent="0.2">
      <c r="Y204" s="67" t="s">
        <v>92</v>
      </c>
      <c r="Z204" s="35" t="str">
        <f t="shared" si="52"/>
        <v/>
      </c>
      <c r="AA204" s="13">
        <f t="shared" si="51"/>
        <v>0</v>
      </c>
      <c r="AB204" s="13" t="str">
        <f>IF(AA204&gt;0,Y132&amp;Sprache!$E$111&amp;X132,"")</f>
        <v/>
      </c>
      <c r="AC204" s="2"/>
      <c r="AD204" s="143"/>
    </row>
    <row r="205" spans="25:30" x14ac:dyDescent="0.2">
      <c r="Y205" s="67" t="s">
        <v>93</v>
      </c>
      <c r="Z205" s="35" t="str">
        <f t="shared" si="52"/>
        <v/>
      </c>
      <c r="AA205" s="13">
        <f t="shared" si="51"/>
        <v>0</v>
      </c>
      <c r="AB205" s="13" t="str">
        <f>IF(AA205&gt;0,Y133&amp;Sprache!$E$111&amp;X133,"")</f>
        <v/>
      </c>
      <c r="AC205" s="2"/>
      <c r="AD205" s="143"/>
    </row>
    <row r="206" spans="25:30" x14ac:dyDescent="0.2">
      <c r="Y206" s="67" t="s">
        <v>94</v>
      </c>
      <c r="Z206" s="35" t="str">
        <f t="shared" si="52"/>
        <v/>
      </c>
      <c r="AA206" s="13">
        <f t="shared" si="51"/>
        <v>0</v>
      </c>
      <c r="AB206" s="13" t="str">
        <f>IF(AA206&gt;0,Y134&amp;Sprache!$E$111&amp;X134,"")</f>
        <v/>
      </c>
      <c r="AC206" s="2"/>
      <c r="AD206" s="143"/>
    </row>
    <row r="207" spans="25:30" ht="12.75" thickBot="1" x14ac:dyDescent="0.25">
      <c r="Y207" s="68" t="s">
        <v>95</v>
      </c>
      <c r="Z207" s="37" t="str">
        <f>W135&amp;V135</f>
        <v/>
      </c>
      <c r="AA207" s="38">
        <f t="shared" si="51"/>
        <v>0</v>
      </c>
      <c r="AB207" s="144" t="str">
        <f>IF(AA207&gt;0,Y135&amp;Sprache!$E$111&amp;X135,"")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3</v>
      </c>
      <c r="D4" s="13">
        <f ca="1">E4+ROW()/1000+(F4="")*10</f>
        <v>3.004</v>
      </c>
      <c r="E4" s="251">
        <f ca="1">IF($AI$15,RANK(AH17,AH$17:AH$25,1),RANK(X17,X$17:X$25,1))</f>
        <v>3</v>
      </c>
      <c r="F4" s="1" t="str">
        <f ca="1">$Q64</f>
        <v>VFB Essenheim</v>
      </c>
      <c r="G4" s="1">
        <f t="shared" ref="G4:G12" ca="1" si="0">SUMIFS($X$64:$X$135,$V$64:$V$135,$F4)+SUMIFS($Y$64:$Y$135,$W$64:$W$135,$F4)</f>
        <v>6</v>
      </c>
      <c r="H4" s="1">
        <f t="shared" ref="H4:H12" ca="1" si="1">SUMIFS($Y$64:$Y$135,$V$64:$V$135,$F4)+SUMIFS($X$64:$X$135,$W$64:$W$135,$F4)</f>
        <v>6</v>
      </c>
      <c r="I4" s="13">
        <f t="shared" ref="I4:I12" ca="1" si="2">G4-H4</f>
        <v>0</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4</v>
      </c>
      <c r="D5" s="13">
        <f t="shared" ref="D5:D12" ca="1" si="8">E5+ROW()/1000+(F5="")*10</f>
        <v>4.0049999999999999</v>
      </c>
      <c r="E5" s="251">
        <f t="shared" ref="E5:E12" ca="1" si="9">IF($AI$15,RANK(AH18,AH$17:AH$25,1),RANK(X18,X$17:X$25,1))</f>
        <v>4</v>
      </c>
      <c r="F5" s="1" t="str">
        <f t="shared" ref="F5:F12" ca="1" si="10">$Q65</f>
        <v>FC Grönlingen</v>
      </c>
      <c r="G5" s="1">
        <f t="shared" ca="1" si="0"/>
        <v>7</v>
      </c>
      <c r="H5" s="1">
        <f t="shared" ca="1" si="1"/>
        <v>8</v>
      </c>
      <c r="I5" s="13">
        <f t="shared" ca="1" si="2"/>
        <v>-1</v>
      </c>
      <c r="J5" s="1">
        <f t="shared" ref="J5:J12" ca="1" si="11">SUMIF($V$64:$V$135,F5,$AE$64:$AE$135)+SUMIF($W$64:$W$135,F5,$AF$64:$AF$135)</f>
        <v>3</v>
      </c>
      <c r="K5" s="1">
        <f t="shared" ca="1" si="3"/>
        <v>3</v>
      </c>
      <c r="L5" s="1">
        <f t="shared" ca="1" si="4"/>
        <v>1</v>
      </c>
      <c r="M5" s="1">
        <f t="shared" ca="1" si="5"/>
        <v>0</v>
      </c>
      <c r="N5" s="1">
        <f t="shared" ca="1" si="6"/>
        <v>2</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2</v>
      </c>
      <c r="D6" s="13">
        <f t="shared" ca="1" si="8"/>
        <v>2.0059999999999998</v>
      </c>
      <c r="E6" s="251">
        <f t="shared" ca="1" si="9"/>
        <v>2</v>
      </c>
      <c r="F6" s="1" t="str">
        <f t="shared" ca="1" si="10"/>
        <v>Kickers Rodendorf</v>
      </c>
      <c r="G6" s="1">
        <f t="shared" ca="1" si="0"/>
        <v>9</v>
      </c>
      <c r="H6" s="1">
        <f t="shared" ca="1" si="1"/>
        <v>9</v>
      </c>
      <c r="I6" s="13">
        <f t="shared" ca="1" si="2"/>
        <v>0</v>
      </c>
      <c r="J6" s="1">
        <f t="shared" ca="1" si="11"/>
        <v>4</v>
      </c>
      <c r="K6" s="1">
        <f t="shared" ca="1" si="3"/>
        <v>3</v>
      </c>
      <c r="L6" s="1">
        <f t="shared" ca="1" si="4"/>
        <v>1</v>
      </c>
      <c r="M6" s="1">
        <f t="shared" ca="1" si="5"/>
        <v>1</v>
      </c>
      <c r="N6" s="1">
        <f t="shared" ca="1" si="6"/>
        <v>1</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1</v>
      </c>
      <c r="D7" s="13">
        <f t="shared" ca="1" si="8"/>
        <v>1.0069999999999999</v>
      </c>
      <c r="E7" s="251">
        <f t="shared" ca="1" si="9"/>
        <v>1</v>
      </c>
      <c r="F7" s="1" t="str">
        <f t="shared" ca="1" si="10"/>
        <v>SV Oberredenburg</v>
      </c>
      <c r="G7" s="1">
        <f t="shared" ca="1" si="0"/>
        <v>5</v>
      </c>
      <c r="H7" s="1">
        <f t="shared" ca="1" si="1"/>
        <v>4</v>
      </c>
      <c r="I7" s="13">
        <f t="shared" ca="1" si="2"/>
        <v>1</v>
      </c>
      <c r="J7" s="1">
        <f t="shared" ca="1" si="11"/>
        <v>6</v>
      </c>
      <c r="K7" s="1">
        <f t="shared" ca="1" si="3"/>
        <v>3</v>
      </c>
      <c r="L7" s="1">
        <f t="shared" ca="1" si="4"/>
        <v>2</v>
      </c>
      <c r="M7" s="1">
        <f t="shared" ca="1" si="5"/>
        <v>0</v>
      </c>
      <c r="N7" s="1">
        <f t="shared" ca="1" si="6"/>
        <v>1</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15.007999999999999</v>
      </c>
      <c r="E8" s="251">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15.009</v>
      </c>
      <c r="E9" s="251">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17.009999999999998</v>
      </c>
      <c r="E10" s="251">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17.010999999999999</v>
      </c>
      <c r="E11" s="251">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17.012</v>
      </c>
      <c r="E12" s="251">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VFB Essenheim</v>
      </c>
      <c r="D17" s="1">
        <f t="shared" ref="D17:G25" ca="1" si="12">K4</f>
        <v>3</v>
      </c>
      <c r="E17" s="1">
        <f t="shared" ca="1" si="12"/>
        <v>1</v>
      </c>
      <c r="F17" s="1">
        <f t="shared" ca="1" si="12"/>
        <v>1</v>
      </c>
      <c r="G17" s="1">
        <f t="shared" ca="1" si="12"/>
        <v>1</v>
      </c>
      <c r="H17" s="1">
        <f t="shared" ref="H17:K25" ca="1" si="13">G4</f>
        <v>6</v>
      </c>
      <c r="I17" s="1">
        <f t="shared" ca="1" si="13"/>
        <v>6</v>
      </c>
      <c r="J17" s="13">
        <f t="shared" ca="1" si="13"/>
        <v>0</v>
      </c>
      <c r="K17" s="1">
        <f t="shared" ca="1" si="13"/>
        <v>4</v>
      </c>
      <c r="L17" s="30">
        <f t="shared" ref="L17:L25" ca="1" si="14">K17*$F$64+(J17+$H$65)*$F$65+H17*$F$66</f>
        <v>4500006</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3.0108999999999999</v>
      </c>
      <c r="Y17" s="13">
        <f>'Endrunde 4'!$AF26</f>
        <v>0</v>
      </c>
      <c r="Z17" s="1">
        <f ca="1">RANK($W17,$W$17:$W$25)+(9-$Y17)/10</f>
        <v>1.9</v>
      </c>
      <c r="AA17" s="1">
        <f ca="1">SUM(E30:BP30)</f>
        <v>0</v>
      </c>
      <c r="AB17" s="1">
        <f ca="1">SUM(E41:BP41)</f>
        <v>0</v>
      </c>
      <c r="AC17" s="1">
        <f ca="1">SUM(E52:BP52)</f>
        <v>0</v>
      </c>
      <c r="AD17" s="245">
        <f ca="1">RANK($K17,$K$17:$K$25)</f>
        <v>2</v>
      </c>
      <c r="AE17" s="30">
        <f t="shared" ref="AE17:AE22" ca="1" si="24">(J17+$H$65)*$F$65+H17*$F$66</f>
        <v>500006</v>
      </c>
      <c r="AF17" s="1">
        <f ca="1">RANK($AE17,$AE$17:$AE$25)</f>
        <v>3</v>
      </c>
      <c r="AG17" s="1">
        <f ca="1">RANK($W17,$W$17:$W$25)</f>
        <v>1</v>
      </c>
      <c r="AH17" s="247">
        <f ca="1">AD17+AG17/100+AF17/10000+(10-Y17)/1000000</f>
        <v>2.01031</v>
      </c>
      <c r="AI17" s="1"/>
    </row>
    <row r="18" spans="2:80" s="2" customFormat="1" x14ac:dyDescent="0.2">
      <c r="C18" s="2" t="str">
        <f t="shared" ref="C18:C25" ca="1" si="25">$Q65</f>
        <v>FC Grönlingen</v>
      </c>
      <c r="D18" s="1">
        <f t="shared" ca="1" si="12"/>
        <v>3</v>
      </c>
      <c r="E18" s="1">
        <f t="shared" ca="1" si="12"/>
        <v>1</v>
      </c>
      <c r="F18" s="1">
        <f t="shared" ca="1" si="12"/>
        <v>0</v>
      </c>
      <c r="G18" s="1">
        <f t="shared" ca="1" si="12"/>
        <v>2</v>
      </c>
      <c r="H18" s="1">
        <f t="shared" ca="1" si="13"/>
        <v>7</v>
      </c>
      <c r="I18" s="1">
        <f t="shared" ca="1" si="13"/>
        <v>8</v>
      </c>
      <c r="J18" s="13">
        <f t="shared" ca="1" si="13"/>
        <v>-1</v>
      </c>
      <c r="K18" s="1">
        <f t="shared" ca="1" si="13"/>
        <v>3</v>
      </c>
      <c r="L18" s="30">
        <f t="shared" ca="1" si="14"/>
        <v>3499007</v>
      </c>
      <c r="M18" s="14">
        <f t="shared" ref="M18:M25" ca="1" si="26">IF($AI$15,COUNTIF($K$17:$K$25,K18),COUNTIF($L$17:$L$25,L18))</f>
        <v>1</v>
      </c>
      <c r="N18" s="14">
        <f t="array" aca="1" ref="N18" ca="1">IF($AI$15,SUM(($K$17:$K$25&gt;=K18)/COUNTIF($K$17:$K$25,$K$17:$K$25)),SUM(($L$17:$L$25&gt;=L18)/COUNTIF($L$17:$L$25,$L$17:$L$25)))</f>
        <v>4</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4.0108999999999995</v>
      </c>
      <c r="Y18" s="13">
        <f>'Endrunde 4'!$AF27</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4</v>
      </c>
      <c r="AE18" s="30">
        <f t="shared" ca="1" si="24"/>
        <v>499007</v>
      </c>
      <c r="AF18" s="1">
        <f t="shared" ref="AF18:AF25" ca="1" si="33">RANK($AE18,$AE$17:$AE$25)</f>
        <v>6</v>
      </c>
      <c r="AG18" s="1">
        <f t="shared" ref="AG18:AG25" ca="1" si="34">RANK($W18,$W$17:$W$25)</f>
        <v>1</v>
      </c>
      <c r="AH18" s="248">
        <f t="shared" ref="AH18:AH25" ca="1" si="35">AD18+AG18/100+AF18/10000+(10-Y18)/1000000</f>
        <v>4.0106099999999998</v>
      </c>
      <c r="AI18" s="1"/>
    </row>
    <row r="19" spans="2:80" s="2" customFormat="1" x14ac:dyDescent="0.2">
      <c r="C19" s="2" t="str">
        <f t="shared" ca="1" si="25"/>
        <v>Kickers Rodendorf</v>
      </c>
      <c r="D19" s="1">
        <f t="shared" ca="1" si="12"/>
        <v>3</v>
      </c>
      <c r="E19" s="1">
        <f t="shared" ca="1" si="12"/>
        <v>1</v>
      </c>
      <c r="F19" s="1">
        <f t="shared" ca="1" si="12"/>
        <v>1</v>
      </c>
      <c r="G19" s="1">
        <f t="shared" ca="1" si="12"/>
        <v>1</v>
      </c>
      <c r="H19" s="1">
        <f t="shared" ca="1" si="13"/>
        <v>9</v>
      </c>
      <c r="I19" s="1">
        <f t="shared" ca="1" si="13"/>
        <v>9</v>
      </c>
      <c r="J19" s="13">
        <f t="shared" ca="1" si="13"/>
        <v>0</v>
      </c>
      <c r="K19" s="1">
        <f t="shared" ca="1" si="13"/>
        <v>4</v>
      </c>
      <c r="L19" s="30">
        <f t="shared" ca="1" si="14"/>
        <v>4500009</v>
      </c>
      <c r="M19" s="14">
        <f t="shared" ca="1" si="26"/>
        <v>1</v>
      </c>
      <c r="N19" s="14">
        <f t="array" aca="1" ref="N19" ca="1">IF($AI$15,SUM(($K$17:$K$25&gt;=K19)/COUNTIF($K$17:$K$25,$K$17:$K$25)),SUM(($L$17:$L$25&gt;=L19)/COUNTIF($L$17:$L$25,$L$17:$L$25)))</f>
        <v>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2.0108999999999999</v>
      </c>
      <c r="Y19" s="13">
        <f>'Endrunde 4'!$AF28</f>
        <v>0</v>
      </c>
      <c r="Z19" s="1">
        <f t="shared" ca="1" si="28"/>
        <v>1.9</v>
      </c>
      <c r="AA19" s="1">
        <f t="shared" ca="1" si="29"/>
        <v>0</v>
      </c>
      <c r="AB19" s="1">
        <f t="shared" ca="1" si="30"/>
        <v>0</v>
      </c>
      <c r="AC19" s="1">
        <f t="shared" ca="1" si="31"/>
        <v>0</v>
      </c>
      <c r="AD19" s="245">
        <f t="shared" ca="1" si="32"/>
        <v>2</v>
      </c>
      <c r="AE19" s="30">
        <f t="shared" ca="1" si="24"/>
        <v>500009</v>
      </c>
      <c r="AF19" s="1">
        <f t="shared" ca="1" si="33"/>
        <v>2</v>
      </c>
      <c r="AG19" s="1">
        <f t="shared" ca="1" si="34"/>
        <v>1</v>
      </c>
      <c r="AH19" s="248">
        <f t="shared" ca="1" si="35"/>
        <v>2.0102099999999998</v>
      </c>
      <c r="AI19" s="1"/>
    </row>
    <row r="20" spans="2:80" s="2" customFormat="1" x14ac:dyDescent="0.2">
      <c r="C20" s="2" t="str">
        <f t="shared" ca="1" si="25"/>
        <v>SV Oberredenburg</v>
      </c>
      <c r="D20" s="1">
        <f t="shared" ca="1" si="12"/>
        <v>3</v>
      </c>
      <c r="E20" s="1">
        <f t="shared" ca="1" si="12"/>
        <v>2</v>
      </c>
      <c r="F20" s="1">
        <f t="shared" ca="1" si="12"/>
        <v>0</v>
      </c>
      <c r="G20" s="1">
        <f t="shared" ca="1" si="12"/>
        <v>1</v>
      </c>
      <c r="H20" s="1">
        <f t="shared" ca="1" si="13"/>
        <v>5</v>
      </c>
      <c r="I20" s="1">
        <f t="shared" ca="1" si="13"/>
        <v>4</v>
      </c>
      <c r="J20" s="13">
        <f t="shared" ca="1" si="13"/>
        <v>1</v>
      </c>
      <c r="K20" s="1">
        <f t="shared" ca="1" si="13"/>
        <v>6</v>
      </c>
      <c r="L20" s="30">
        <f t="shared" ca="1" si="14"/>
        <v>6501005</v>
      </c>
      <c r="M20" s="14">
        <f t="shared" ca="1" si="26"/>
        <v>1</v>
      </c>
      <c r="N20" s="14">
        <f t="array" aca="1" ref="N20" ca="1">IF($AI$15,SUM(($K$17:$K$25&gt;=K20)/COUNTIF($K$17:$K$25,$K$17:$K$25)),SUM(($L$17:$L$25&gt;=L20)/COUNTIF($L$17:$L$25,$L$17:$L$25)))</f>
        <v>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1.0108999999999999</v>
      </c>
      <c r="Y20" s="13">
        <f>'Endrunde 4'!$AF29</f>
        <v>0</v>
      </c>
      <c r="Z20" s="1">
        <f t="shared" ca="1" si="28"/>
        <v>1.9</v>
      </c>
      <c r="AA20" s="1">
        <f t="shared" ca="1" si="29"/>
        <v>0</v>
      </c>
      <c r="AB20" s="1">
        <f t="shared" ca="1" si="30"/>
        <v>0</v>
      </c>
      <c r="AC20" s="1">
        <f t="shared" ca="1" si="31"/>
        <v>0</v>
      </c>
      <c r="AD20" s="245">
        <f t="shared" ca="1" si="32"/>
        <v>1</v>
      </c>
      <c r="AE20" s="30">
        <f t="shared" ca="1" si="24"/>
        <v>501005</v>
      </c>
      <c r="AF20" s="1">
        <f t="shared" ca="1" si="33"/>
        <v>1</v>
      </c>
      <c r="AG20" s="1">
        <f t="shared" ca="1" si="34"/>
        <v>1</v>
      </c>
      <c r="AH20" s="248">
        <f t="shared" ca="1" si="35"/>
        <v>1.0101100000000001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5.0108999999999995</v>
      </c>
      <c r="Y21" s="13">
        <v>0</v>
      </c>
      <c r="Z21" s="1">
        <f t="shared" ca="1" si="28"/>
        <v>1.9</v>
      </c>
      <c r="AA21" s="1">
        <f t="shared" ca="1" si="29"/>
        <v>0</v>
      </c>
      <c r="AB21" s="1">
        <f t="shared" ca="1" si="30"/>
        <v>0</v>
      </c>
      <c r="AC21" s="1">
        <f t="shared" ca="1" si="31"/>
        <v>0</v>
      </c>
      <c r="AD21" s="245">
        <f t="shared" ca="1" si="32"/>
        <v>5</v>
      </c>
      <c r="AE21" s="30">
        <f t="shared" ca="1" si="24"/>
        <v>500000</v>
      </c>
      <c r="AF21" s="1">
        <f t="shared" ca="1" si="33"/>
        <v>4</v>
      </c>
      <c r="AG21" s="1">
        <f t="shared" ca="1" si="34"/>
        <v>1</v>
      </c>
      <c r="AH21" s="248">
        <f t="shared" ca="1" si="35"/>
        <v>5.0104099999999994</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5.0108999999999995</v>
      </c>
      <c r="Y22" s="13">
        <v>0</v>
      </c>
      <c r="Z22" s="1">
        <f t="shared" ca="1" si="28"/>
        <v>1.9</v>
      </c>
      <c r="AA22" s="1">
        <f t="shared" ca="1" si="29"/>
        <v>0</v>
      </c>
      <c r="AB22" s="1">
        <f t="shared" ca="1" si="30"/>
        <v>0</v>
      </c>
      <c r="AC22" s="1">
        <f t="shared" ca="1" si="31"/>
        <v>0</v>
      </c>
      <c r="AD22" s="245">
        <f t="shared" ca="1" si="32"/>
        <v>5</v>
      </c>
      <c r="AE22" s="30">
        <f t="shared" ca="1" si="24"/>
        <v>500000</v>
      </c>
      <c r="AF22" s="1">
        <f t="shared" ca="1" si="33"/>
        <v>4</v>
      </c>
      <c r="AG22" s="1">
        <f t="shared" ca="1" si="34"/>
        <v>1</v>
      </c>
      <c r="AH22" s="248">
        <f t="shared" ca="1" si="35"/>
        <v>5.0104099999999994</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5.0709</v>
      </c>
      <c r="Y23" s="13">
        <v>0</v>
      </c>
      <c r="Z23" s="1">
        <f t="shared" ca="1" si="28"/>
        <v>7.9</v>
      </c>
      <c r="AA23" s="1">
        <f t="shared" ca="1" si="29"/>
        <v>0</v>
      </c>
      <c r="AB23" s="1">
        <f t="shared" ca="1" si="30"/>
        <v>0</v>
      </c>
      <c r="AC23" s="1">
        <f t="shared" ca="1" si="31"/>
        <v>0</v>
      </c>
      <c r="AD23" s="245">
        <f t="shared" ca="1" si="32"/>
        <v>5</v>
      </c>
      <c r="AE23" s="30">
        <v>0</v>
      </c>
      <c r="AF23" s="1">
        <f t="shared" ca="1" si="33"/>
        <v>7</v>
      </c>
      <c r="AG23" s="1">
        <f t="shared" ca="1" si="34"/>
        <v>7</v>
      </c>
      <c r="AH23" s="248">
        <f t="shared" ca="1" si="35"/>
        <v>5.0707100000000001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5.0709</v>
      </c>
      <c r="Y24" s="13">
        <v>0</v>
      </c>
      <c r="Z24" s="1">
        <f t="shared" ca="1" si="28"/>
        <v>7.9</v>
      </c>
      <c r="AA24" s="1">
        <f t="shared" ca="1" si="29"/>
        <v>0</v>
      </c>
      <c r="AB24" s="1">
        <f t="shared" ca="1" si="30"/>
        <v>0</v>
      </c>
      <c r="AC24" s="1">
        <f t="shared" ca="1" si="31"/>
        <v>0</v>
      </c>
      <c r="AD24" s="245">
        <f t="shared" ca="1" si="32"/>
        <v>5</v>
      </c>
      <c r="AE24" s="30">
        <v>0</v>
      </c>
      <c r="AF24" s="1">
        <f t="shared" ca="1" si="33"/>
        <v>7</v>
      </c>
      <c r="AG24" s="1">
        <f t="shared" ca="1" si="34"/>
        <v>7</v>
      </c>
      <c r="AH24" s="248">
        <f t="shared" ca="1" si="35"/>
        <v>5.0707100000000001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5.0709</v>
      </c>
      <c r="Y25" s="13">
        <v>0</v>
      </c>
      <c r="Z25" s="1">
        <f t="shared" ca="1" si="28"/>
        <v>7.9</v>
      </c>
      <c r="AA25" s="1">
        <f t="shared" ca="1" si="29"/>
        <v>0</v>
      </c>
      <c r="AB25" s="1">
        <f t="shared" ca="1" si="30"/>
        <v>0</v>
      </c>
      <c r="AC25" s="1">
        <f t="shared" ca="1" si="31"/>
        <v>0</v>
      </c>
      <c r="AD25" s="245">
        <f t="shared" ca="1" si="32"/>
        <v>5</v>
      </c>
      <c r="AE25" s="30">
        <v>0</v>
      </c>
      <c r="AF25" s="1">
        <f t="shared" ca="1" si="33"/>
        <v>7</v>
      </c>
      <c r="AG25" s="1">
        <f t="shared" ca="1" si="34"/>
        <v>7</v>
      </c>
      <c r="AH25" s="249">
        <f t="shared" ca="1" si="35"/>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VFB Essenheim</v>
      </c>
      <c r="BT29" s="2" t="str">
        <f ca="1">$F$5</f>
        <v>FC Grönlingen</v>
      </c>
      <c r="BU29" s="2" t="str">
        <f ca="1">$F$6</f>
        <v>Kickers Rodendorf</v>
      </c>
      <c r="BV29" s="2" t="str">
        <f ca="1">$F$7</f>
        <v>SV Oberredenburg</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VFB Essenheim</v>
      </c>
      <c r="BS30" s="7"/>
      <c r="BT30" s="8">
        <f t="shared" ref="BT30:CA32" ca="1" si="37">SUMIFS($X$64:$X$135,$V$64:$V$135,$BR30,$W$64:$W$135,BT$29)+SUMIFS($Y$64:$Y$135,$W$64:$W$135,$BR30,$V$64:$V$135,BT$29)</f>
        <v>2</v>
      </c>
      <c r="BU30" s="8">
        <f t="shared" ca="1" si="37"/>
        <v>4</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FC Grönlingen</v>
      </c>
      <c r="BS31" s="9">
        <f t="shared" ref="BS31:BU38" ca="1" si="39">SUMIFS($X$64:$X$135,$V$64:$V$135,$BR31,$W$64:$W$135,BS$29)+SUMIFS($Y$64:$Y$135,$W$64:$W$135,$BR31,$V$64:$V$135,BS$29)</f>
        <v>1</v>
      </c>
      <c r="BT31" s="7"/>
      <c r="BU31" s="8">
        <f t="shared" ca="1" si="37"/>
        <v>4</v>
      </c>
      <c r="BV31" s="8">
        <f t="shared" ca="1" si="37"/>
        <v>2</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Kickers Rodendorf</v>
      </c>
      <c r="BS32" s="9">
        <f t="shared" ca="1" si="39"/>
        <v>4</v>
      </c>
      <c r="BT32" s="9">
        <f t="shared" ca="1" si="39"/>
        <v>3</v>
      </c>
      <c r="BU32" s="7"/>
      <c r="BV32" s="8">
        <f t="shared" ca="1" si="37"/>
        <v>2</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SV Oberredenburg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SV Oberredenburg</v>
      </c>
      <c r="BS33" s="9">
        <f t="shared" ca="1" si="39"/>
        <v>1</v>
      </c>
      <c r="BT33" s="9">
        <f t="shared" ca="1" si="39"/>
        <v>3</v>
      </c>
      <c r="BU33" s="9">
        <f t="shared" ca="1" si="39"/>
        <v>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FC Grönlingen</v>
      </c>
      <c r="BU40" s="2" t="str">
        <f ca="1">$F$6</f>
        <v>Kickers Rodendorf</v>
      </c>
      <c r="BV40" s="2" t="str">
        <f ca="1">$F$7</f>
        <v>SV Oberredenburg</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VFB Essenheim</v>
      </c>
      <c r="BS41" s="7"/>
      <c r="BT41" s="8">
        <f ca="1">BT30-BS31</f>
        <v>1</v>
      </c>
      <c r="BU41" s="8">
        <f ca="1">BU30-BS32</f>
        <v>0</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FC Grönlingen</v>
      </c>
      <c r="BS42" s="9">
        <f ca="1">IF(BT41="","",-1*BT41)</f>
        <v>-1</v>
      </c>
      <c r="BT42" s="7"/>
      <c r="BU42" s="8">
        <f ca="1">BU31-BT32</f>
        <v>1</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Kickers Rodendorf</v>
      </c>
      <c r="BS43" s="9">
        <f ca="1">IF(BU41="","",-1*BU41)</f>
        <v>0</v>
      </c>
      <c r="BT43" s="9">
        <f ca="1">IF(BU42="","",-1*BU42)</f>
        <v>-1</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SV Oberredenburg</v>
      </c>
      <c r="BS44" s="9">
        <f ca="1">IF(BV41="","",-1*BV41)</f>
        <v>1</v>
      </c>
      <c r="BT44" s="9">
        <f ca="1">IF(BV42="","",-1*BV42)</f>
        <v>1</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FC Grönlingen</v>
      </c>
      <c r="BU51" s="2" t="str">
        <f ca="1">$F$6</f>
        <v>Kickers Rodendorf</v>
      </c>
      <c r="BV51" s="2" t="str">
        <f ca="1">$F$7</f>
        <v>SV Oberredenburg</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VFB Essenheim</v>
      </c>
      <c r="BS52" s="7"/>
      <c r="BT52" s="8">
        <f t="shared" ref="BT52:CA58" ca="1" si="43">SUMIFS($AE$64:$AE$135,$V$64:$V$135,$BR52,$W$64:$W$135,BT$51)+SUMIFS($AF$64:$AF$135,$W$64:$W$135,$BR52,$V$64:$V$135,BT$51)</f>
        <v>3</v>
      </c>
      <c r="BU52" s="8">
        <f t="shared" ca="1" si="43"/>
        <v>1</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FC Grönlingen</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Kickers Rodendorf</v>
      </c>
      <c r="BS54" s="9">
        <f t="shared" ca="1" si="44"/>
        <v>1</v>
      </c>
      <c r="BT54" s="9">
        <f t="shared" ca="1" si="44"/>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SV Oberredenburg</v>
      </c>
      <c r="BS55" s="9">
        <f t="shared" ca="1" si="44"/>
        <v>3</v>
      </c>
      <c r="BT55" s="9">
        <f t="shared" ca="1" si="44"/>
        <v>3</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IF('Endrunde 4'!$AE26="","",'Endrunde 4'!$AE26)</f>
        <v>VFB Essenheim</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1" t="str">
        <f ca="1">IF(AA64&gt;0,X64&amp;Sprache!$E$111&amp;Y64,"")</f>
        <v/>
      </c>
      <c r="AD64" s="142"/>
      <c r="AE64" s="147" t="str">
        <f ca="1">IF($AA64=0,"",IF($X64&gt;$Y64,Einstellungen!$C$4,IF($X64=$Y64,1,0)))</f>
        <v/>
      </c>
      <c r="AF64" s="142" t="str">
        <f ca="1">IF($AA64=0,"",IF($X64&lt;$Y64,Einstellungen!$C$4,IF($X64=$Y64,1,0)))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 ca="1">IF('Endrunde 4'!$AE27="","",'Endrunde 4'!$AE27)</f>
        <v>FC Grönlingen</v>
      </c>
      <c r="U65" s="67" t="s">
        <v>8</v>
      </c>
      <c r="V65" s="41" t="str">
        <f ca="1">'Endrunde 4'!$I13</f>
        <v>Maibach 1822 eV</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5">V65&amp;W65</f>
        <v>Maibach 1822 eVSSV Wildbach</v>
      </c>
      <c r="AA65" s="13">
        <f t="shared" ref="AA65:AA128" ca="1" si="46">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IF('Endrunde 4'!$AE28="","",'Endrunde 4'!$AE28)</f>
        <v>Kickers Rodendorf</v>
      </c>
      <c r="U66" s="67" t="s">
        <v>9</v>
      </c>
      <c r="V66" s="41" t="str">
        <f ca="1">'Endrunde 4'!$I14</f>
        <v>VFB Essenheim</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5"/>
        <v>VFB EssenheimFC Grönlingen</v>
      </c>
      <c r="AA66" s="13">
        <f t="shared" ca="1" si="46"/>
        <v>1</v>
      </c>
      <c r="AB66" s="13" t="str">
        <f ca="1">IF(AA66&gt;0,X66&amp;Sprache!$E$111&amp;Y66,"")</f>
        <v>2:1</v>
      </c>
      <c r="AD66" s="143"/>
      <c r="AE66" s="148">
        <f ca="1">IF($AA66=0,"",IF($X66&gt;$Y66,Einstellungen!$C$4,IF($X66=$Y66,1,0)))</f>
        <v>3</v>
      </c>
      <c r="AF66" s="143">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4'!$AE29="","",'Endrunde 4'!$AE29)</f>
        <v>SV Oberredenburg</v>
      </c>
      <c r="U67" s="67" t="s">
        <v>10</v>
      </c>
      <c r="V67" s="41" t="str">
        <f ca="1">'Endrunde 4'!$I15</f>
        <v>1. FC Riedwald</v>
      </c>
      <c r="W67" s="13" t="str">
        <f ca="1">'Endrunde 4'!$K15</f>
        <v>Mainz 05</v>
      </c>
      <c r="X67" s="13">
        <f ca="1">IF(AND('Endrunde 4'!$L15&lt;&gt;"",'Endrunde 4'!$N15&lt;&gt;"",$V67&lt;&gt;$W67,$V67&lt;&gt;"",$W67&lt;&gt;""),'Endrunde 4'!$L15,"")</f>
        <v>0</v>
      </c>
      <c r="Y67" s="36">
        <f ca="1">IF(AND('Endrunde 4'!$L15&lt;&gt;"",'Endrunde 4'!$N15&lt;&gt;"",$V67&lt;&gt;$W67,$V67&lt;&gt;"",$W67&lt;&gt;""),'Endrunde 4'!$N15,"")</f>
        <v>0</v>
      </c>
      <c r="Z67" s="35" t="str">
        <f t="shared" ca="1" si="45"/>
        <v>1. FC RiedwaldMainz 05</v>
      </c>
      <c r="AA67" s="13">
        <f t="shared" ca="1" si="46"/>
        <v>1</v>
      </c>
      <c r="AB67" s="13" t="str">
        <f ca="1">IF(AA67&gt;0,X67&amp;Sprache!$E$111&amp;Y67,"")</f>
        <v>0:0</v>
      </c>
      <c r="AD67" s="143"/>
      <c r="AE67" s="148">
        <f ca="1">IF($AA67=0,"",IF($X67&gt;$Y67,Einstellungen!$C$4,IF($X67=$Y67,1,0)))</f>
        <v>1</v>
      </c>
      <c r="AF67" s="143">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Eintracht Frankfurt</v>
      </c>
      <c r="W68" s="13" t="str">
        <f ca="1">'Endrunde 4'!$K16</f>
        <v>Inter Mailand</v>
      </c>
      <c r="X68" s="13">
        <f ca="1">IF(AND('Endrunde 4'!$L16&lt;&gt;"",'Endrunde 4'!$N16&lt;&gt;"",$V68&lt;&gt;$W68,$V68&lt;&gt;"",$W68&lt;&gt;""),'Endrunde 4'!$L16,"")</f>
        <v>5</v>
      </c>
      <c r="Y68" s="36">
        <f ca="1">IF(AND('Endrunde 4'!$L16&lt;&gt;"",'Endrunde 4'!$N16&lt;&gt;"",$V68&lt;&gt;$W68,$V68&lt;&gt;"",$W68&lt;&gt;""),'Endrunde 4'!$N16,"")</f>
        <v>1</v>
      </c>
      <c r="Z68" s="35" t="str">
        <f t="shared" ca="1" si="45"/>
        <v>Eintracht FrankfurtInter Mailand</v>
      </c>
      <c r="AA68" s="13">
        <f t="shared" ca="1" si="46"/>
        <v>1</v>
      </c>
      <c r="AB68" s="13" t="str">
        <f ca="1">IF(AA68&gt;0,X68&amp;Sprache!$E$111&amp;Y68,"")</f>
        <v>5:1</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FC Barcelona</v>
      </c>
      <c r="W69" s="13" t="str">
        <f ca="1">'Endrunde 4'!$K17</f>
        <v>Manchester City</v>
      </c>
      <c r="X69" s="13">
        <f ca="1">IF(AND('Endrunde 4'!$L17&lt;&gt;"",'Endrunde 4'!$N17&lt;&gt;"",$V69&lt;&gt;$W69,$V69&lt;&gt;"",$W69&lt;&gt;""),'Endrunde 4'!$L17,"")</f>
        <v>2</v>
      </c>
      <c r="Y69" s="36">
        <f ca="1">IF(AND('Endrunde 4'!$L17&lt;&gt;"",'Endrunde 4'!$N17&lt;&gt;"",$V69&lt;&gt;$W69,$V69&lt;&gt;"",$W69&lt;&gt;""),'Endrunde 4'!$N17,"")</f>
        <v>3</v>
      </c>
      <c r="Z69" s="35" t="str">
        <f t="shared" ca="1" si="45"/>
        <v>FC BarcelonaManchester City</v>
      </c>
      <c r="AA69" s="13">
        <f t="shared" ca="1" si="46"/>
        <v>1</v>
      </c>
      <c r="AB69" s="13" t="str">
        <f ca="1">IF(AA69&gt;0,X69&amp;Sprache!$E$111&amp;Y69,"")</f>
        <v>2:3</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'Endrunde 4'!$I18</f>
        <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5"/>
        <v/>
      </c>
      <c r="AA70" s="13">
        <f t="shared" ca="1" si="46"/>
        <v>0</v>
      </c>
      <c r="AB70" s="13" t="str">
        <f ca="1">IF(AA70&gt;0,X70&amp;Sprache!$E$111&amp;Y70,"")</f>
        <v/>
      </c>
      <c r="AD70" s="143"/>
      <c r="AE70" s="148" t="str">
        <f ca="1">IF($AA70=0,"",IF($X70&gt;$Y70,Einstellungen!$C$4,IF($X70=$Y70,1,0)))</f>
        <v/>
      </c>
      <c r="AF70" s="143"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FSV Rauen</v>
      </c>
      <c r="W71" s="13" t="str">
        <f ca="1">'Endrunde 4'!$K19</f>
        <v>TSG Saalberg eV</v>
      </c>
      <c r="X71" s="13">
        <f ca="1">IF(AND('Endrunde 4'!$L19&lt;&gt;"",'Endrunde 4'!$N19&lt;&gt;"",$V71&lt;&gt;$W71,$V71&lt;&gt;"",$W71&lt;&gt;""),'Endrunde 4'!$L19,"")</f>
        <v>5</v>
      </c>
      <c r="Y71" s="36">
        <f ca="1">IF(AND('Endrunde 4'!$L19&lt;&gt;"",'Endrunde 4'!$N19&lt;&gt;"",$V71&lt;&gt;$W71,$V71&lt;&gt;"",$W71&lt;&gt;""),'Endrunde 4'!$N19,"")</f>
        <v>3</v>
      </c>
      <c r="Z71" s="35" t="str">
        <f t="shared" ca="1" si="45"/>
        <v>FSV RauenTSG Saalberg eV</v>
      </c>
      <c r="AA71" s="13">
        <f t="shared" ca="1" si="46"/>
        <v>1</v>
      </c>
      <c r="AB71" s="13" t="str">
        <f ca="1">IF(AA71&gt;0,X71&amp;Sprache!$E$111&amp;Y71,"")</f>
        <v>5:3</v>
      </c>
      <c r="AD71" s="143"/>
      <c r="AE71" s="148">
        <f ca="1">IF($AA71=0,"",IF($X71&gt;$Y71,Einstellungen!$C$4,IF($X71=$Y71,1,0)))</f>
        <v>3</v>
      </c>
      <c r="AF71" s="143">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Kickers Rodendorf</v>
      </c>
      <c r="W72" s="13" t="str">
        <f ca="1">'Endrunde 4'!$K20</f>
        <v>SV Oberredenburg</v>
      </c>
      <c r="X72" s="13">
        <f ca="1">IF(AND('Endrunde 4'!$L20&lt;&gt;"",'Endrunde 4'!$N20&lt;&gt;"",$V72&lt;&gt;$W72,$V72&lt;&gt;"",$W72&lt;&gt;""),'Endrunde 4'!$L20,"")</f>
        <v>2</v>
      </c>
      <c r="Y72" s="36">
        <f ca="1">IF(AND('Endrunde 4'!$L20&lt;&gt;"",'Endrunde 4'!$N20&lt;&gt;"",$V72&lt;&gt;$W72,$V72&lt;&gt;"",$W72&lt;&gt;""),'Endrunde 4'!$N20,"")</f>
        <v>1</v>
      </c>
      <c r="Z72" s="35" t="str">
        <f t="shared" ca="1" si="45"/>
        <v>Kickers RodendorfSV Oberredenburg</v>
      </c>
      <c r="AA72" s="13">
        <f t="shared" ca="1" si="46"/>
        <v>1</v>
      </c>
      <c r="AB72" s="13" t="str">
        <f ca="1">IF(AA72&gt;0,X72&amp;Sprache!$E$111&amp;Y72,"")</f>
        <v>2:1</v>
      </c>
      <c r="AD72" s="143"/>
      <c r="AE72" s="148">
        <f ca="1">IF($AA72=0,"",IF($X72&gt;$Y72,Einstellungen!$C$4,IF($X72=$Y72,1,0)))</f>
        <v>3</v>
      </c>
      <c r="AF72" s="143">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1. FC Nürnberg</v>
      </c>
      <c r="W73" s="13" t="str">
        <f ca="1">'Endrunde 4'!$K21</f>
        <v>HSV</v>
      </c>
      <c r="X73" s="13">
        <f ca="1">IF(AND('Endrunde 4'!$L21&lt;&gt;"",'Endrunde 4'!$N21&lt;&gt;"",$V73&lt;&gt;$W73,$V73&lt;&gt;"",$W73&lt;&gt;""),'Endrunde 4'!$L21,"")</f>
        <v>3</v>
      </c>
      <c r="Y73" s="36">
        <f ca="1">IF(AND('Endrunde 4'!$L21&lt;&gt;"",'Endrunde 4'!$N21&lt;&gt;"",$V73&lt;&gt;$W73,$V73&lt;&gt;"",$W73&lt;&gt;""),'Endrunde 4'!$N21,"")</f>
        <v>1</v>
      </c>
      <c r="Z73" s="35" t="str">
        <f t="shared" ca="1" si="45"/>
        <v>1. FC NürnbergHSV</v>
      </c>
      <c r="AA73" s="13">
        <f t="shared" ca="1" si="46"/>
        <v>1</v>
      </c>
      <c r="AB73" s="13" t="str">
        <f ca="1">IF(AA73&gt;0,X73&amp;Sprache!$E$111&amp;Y73,"")</f>
        <v>3:1</v>
      </c>
      <c r="AD73" s="143"/>
      <c r="AE73" s="148">
        <f ca="1">IF($AA73=0,"",IF($X73&gt;$Y73,Einstellungen!$C$4,IF($X73=$Y73,1,0)))</f>
        <v>3</v>
      </c>
      <c r="AF73" s="143">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Real Madrid</v>
      </c>
      <c r="W74" s="13" t="str">
        <f ca="1">'Endrunde 4'!$K22</f>
        <v>RB Leipzig</v>
      </c>
      <c r="X74" s="13">
        <f ca="1">IF(AND('Endrunde 4'!$L22&lt;&gt;"",'Endrunde 4'!$N22&lt;&gt;"",$V74&lt;&gt;$W74,$V74&lt;&gt;"",$W74&lt;&gt;""),'Endrunde 4'!$L22,"")</f>
        <v>4</v>
      </c>
      <c r="Y74" s="36">
        <f ca="1">IF(AND('Endrunde 4'!$L22&lt;&gt;"",'Endrunde 4'!$N22&lt;&gt;"",$V74&lt;&gt;$W74,$V74&lt;&gt;"",$W74&lt;&gt;""),'Endrunde 4'!$N22,"")</f>
        <v>2</v>
      </c>
      <c r="Z74" s="35" t="str">
        <f ca="1">V74&amp;W74</f>
        <v>Real MadridRB Leipzig</v>
      </c>
      <c r="AA74" s="13">
        <f t="shared" ca="1" si="46"/>
        <v>1</v>
      </c>
      <c r="AB74" s="13" t="str">
        <f ca="1">IF(AA74&gt;0,X74&amp;Sprache!$E$111&amp;Y74,"")</f>
        <v>4:2</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Borussia Dortmund</v>
      </c>
      <c r="W75" s="13" t="str">
        <f ca="1">'Endrunde 4'!$K23</f>
        <v>Paris St. Germain</v>
      </c>
      <c r="X75" s="13">
        <f ca="1">IF(AND('Endrunde 4'!$L23&lt;&gt;"",'Endrunde 4'!$N23&lt;&gt;"",$V75&lt;&gt;$W75,$V75&lt;&gt;"",$W75&lt;&gt;""),'Endrunde 4'!$L23,"")</f>
        <v>1</v>
      </c>
      <c r="Y75" s="36">
        <f ca="1">IF(AND('Endrunde 4'!$L23&lt;&gt;"",'Endrunde 4'!$N23&lt;&gt;"",$V75&lt;&gt;$W75,$V75&lt;&gt;"",$W75&lt;&gt;""),'Endrunde 4'!$N23,"")</f>
        <v>3</v>
      </c>
      <c r="Z75" s="35" t="str">
        <f t="shared" ref="Z75:Z108" ca="1" si="47">V75&amp;W75</f>
        <v>Borussia DortmundParis St. Germain</v>
      </c>
      <c r="AA75" s="13">
        <f t="shared" ca="1" si="46"/>
        <v>1</v>
      </c>
      <c r="AB75" s="13" t="str">
        <f ca="1">IF(AA75&gt;0,X75&amp;Sprache!$E$111&amp;Y75,"")</f>
        <v>1:3</v>
      </c>
      <c r="AD75" s="143"/>
      <c r="AE75" s="148">
        <f ca="1">IF($AA75=0,"",IF($X75&gt;$Y75,Einstellungen!$C$4,IF($X75=$Y75,1,0)))</f>
        <v>0</v>
      </c>
      <c r="AF75" s="143">
        <f ca="1">IF($AA75=0,"",IF($X75&lt;$Y75,Einstellungen!$C$4,IF($X75=$Y75,1,0)))</f>
        <v>3</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7"/>
        <v/>
      </c>
      <c r="AA76" s="13">
        <f t="shared" ca="1" si="46"/>
        <v>0</v>
      </c>
      <c r="AB76" s="13" t="str">
        <f ca="1">IF(AA76&gt;0,X76&amp;Sprache!$E$111&amp;Y76,"")</f>
        <v/>
      </c>
      <c r="AD76" s="143"/>
      <c r="AE76" s="148" t="str">
        <f ca="1">IF($AA76=0,"",IF($X76&gt;$Y76,Einstellungen!$C$4,IF($X76=$Y76,1,0)))</f>
        <v/>
      </c>
      <c r="AF76" s="143"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Maibach 1822 eV</v>
      </c>
      <c r="W77" s="13" t="str">
        <f ca="1">'Endrunde 4'!$K25</f>
        <v>FSV Rauen</v>
      </c>
      <c r="X77" s="13">
        <f ca="1">IF(AND('Endrunde 4'!$L25&lt;&gt;"",'Endrunde 4'!$N25&lt;&gt;"",$V77&lt;&gt;$W77,$V77&lt;&gt;"",$W77&lt;&gt;""),'Endrunde 4'!$L25,"")</f>
        <v>1</v>
      </c>
      <c r="Y77" s="36">
        <f ca="1">IF(AND('Endrunde 4'!$L25&lt;&gt;"",'Endrunde 4'!$N25&lt;&gt;"",$V77&lt;&gt;$W77,$V77&lt;&gt;"",$W77&lt;&gt;""),'Endrunde 4'!$N25,"")</f>
        <v>5</v>
      </c>
      <c r="Z77" s="35" t="str">
        <f t="shared" ca="1" si="47"/>
        <v>Maibach 1822 eVFSV Rauen</v>
      </c>
      <c r="AA77" s="13">
        <f t="shared" ca="1" si="46"/>
        <v>1</v>
      </c>
      <c r="AB77" s="13" t="str">
        <f ca="1">IF(AA77&gt;0,X77&amp;Sprache!$E$111&amp;Y77,"")</f>
        <v>1:5</v>
      </c>
      <c r="AD77" s="143"/>
      <c r="AE77" s="148">
        <f ca="1">IF($AA77=0,"",IF($X77&gt;$Y77,Einstellungen!$C$4,IF($X77=$Y77,1,0)))</f>
        <v>0</v>
      </c>
      <c r="AF77" s="143">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VFB Essenheim</v>
      </c>
      <c r="W78" s="13" t="str">
        <f ca="1">'Endrunde 4'!$K26</f>
        <v>Kickers Rodendorf</v>
      </c>
      <c r="X78" s="13">
        <f ca="1">IF(AND('Endrunde 4'!$L26&lt;&gt;"",'Endrunde 4'!$N26&lt;&gt;"",$V78&lt;&gt;$W78,$V78&lt;&gt;"",$W78&lt;&gt;""),'Endrunde 4'!$L26,"")</f>
        <v>4</v>
      </c>
      <c r="Y78" s="36">
        <f ca="1">IF(AND('Endrunde 4'!$L26&lt;&gt;"",'Endrunde 4'!$N26&lt;&gt;"",$V78&lt;&gt;$W78,$V78&lt;&gt;"",$W78&lt;&gt;""),'Endrunde 4'!$N26,"")</f>
        <v>4</v>
      </c>
      <c r="Z78" s="35" t="str">
        <f t="shared" ca="1" si="47"/>
        <v>VFB EssenheimKickers Rodendorf</v>
      </c>
      <c r="AA78" s="13">
        <f t="shared" ca="1" si="46"/>
        <v>1</v>
      </c>
      <c r="AB78" s="13" t="str">
        <f ca="1">IF(AA78&gt;0,X78&amp;Sprache!$E$111&amp;Y78,"")</f>
        <v>4:4</v>
      </c>
      <c r="AD78" s="143"/>
      <c r="AE78" s="148">
        <f ca="1">IF($AA78=0,"",IF($X78&gt;$Y78,Einstellungen!$C$4,IF($X78=$Y78,1,0)))</f>
        <v>1</v>
      </c>
      <c r="AF78" s="143">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1. FC Riedwald</v>
      </c>
      <c r="W79" s="13" t="str">
        <f ca="1">'Endrunde 4'!$K27</f>
        <v>1. FC Nürnberg</v>
      </c>
      <c r="X79" s="13">
        <f ca="1">IF(AND('Endrunde 4'!$L27&lt;&gt;"",'Endrunde 4'!$N27&lt;&gt;"",$V79&lt;&gt;$W79,$V79&lt;&gt;"",$W79&lt;&gt;""),'Endrunde 4'!$L27,"")</f>
        <v>0</v>
      </c>
      <c r="Y79" s="36">
        <f ca="1">IF(AND('Endrunde 4'!$L27&lt;&gt;"",'Endrunde 4'!$N27&lt;&gt;"",$V79&lt;&gt;$W79,$V79&lt;&gt;"",$W79&lt;&gt;""),'Endrunde 4'!$N27,"")</f>
        <v>7</v>
      </c>
      <c r="Z79" s="35" t="str">
        <f t="shared" ca="1" si="47"/>
        <v>1. FC Riedwald1. FC Nürnberg</v>
      </c>
      <c r="AA79" s="13">
        <f t="shared" ca="1" si="46"/>
        <v>1</v>
      </c>
      <c r="AB79" s="13" t="str">
        <f ca="1">IF(AA79&gt;0,X79&amp;Sprache!$E$111&amp;Y79,"")</f>
        <v>0:7</v>
      </c>
      <c r="AD79" s="143"/>
      <c r="AE79" s="148">
        <f ca="1">IF($AA79=0,"",IF($X79&gt;$Y79,Einstellungen!$C$4,IF($X79=$Y79,1,0)))</f>
        <v>0</v>
      </c>
      <c r="AF79" s="143">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Eintracht Frankfurt</v>
      </c>
      <c r="W80" s="13" t="str">
        <f ca="1">'Endrunde 4'!$K28</f>
        <v>Real Madrid</v>
      </c>
      <c r="X80" s="13">
        <f ca="1">IF(AND('Endrunde 4'!$L28&lt;&gt;"",'Endrunde 4'!$N28&lt;&gt;"",$V80&lt;&gt;$W80,$V80&lt;&gt;"",$W80&lt;&gt;""),'Endrunde 4'!$L28,"")</f>
        <v>2</v>
      </c>
      <c r="Y80" s="36">
        <f ca="1">IF(AND('Endrunde 4'!$L28&lt;&gt;"",'Endrunde 4'!$N28&lt;&gt;"",$V80&lt;&gt;$W80,$V80&lt;&gt;"",$W80&lt;&gt;""),'Endrunde 4'!$N28,"")</f>
        <v>8</v>
      </c>
      <c r="Z80" s="35" t="str">
        <f t="shared" ca="1" si="47"/>
        <v>Eintracht FrankfurtReal Madrid</v>
      </c>
      <c r="AA80" s="13">
        <f t="shared" ca="1" si="46"/>
        <v>1</v>
      </c>
      <c r="AB80" s="13" t="str">
        <f ca="1">IF(AA80&gt;0,X80&amp;Sprache!$E$111&amp;Y80,"")</f>
        <v>2:8</v>
      </c>
      <c r="AD80" s="143"/>
      <c r="AE80" s="148">
        <f ca="1">IF($AA80=0,"",IF($X80&gt;$Y80,Einstellungen!$C$4,IF($X80=$Y80,1,0)))</f>
        <v>0</v>
      </c>
      <c r="AF80" s="143">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FC Barcelona</v>
      </c>
      <c r="W81" s="13" t="str">
        <f ca="1">'Endrunde 4'!$K29</f>
        <v>Borussia Dortmund</v>
      </c>
      <c r="X81" s="13">
        <f ca="1">IF(AND('Endrunde 4'!$L29&lt;&gt;"",'Endrunde 4'!$N29&lt;&gt;"",$V81&lt;&gt;$W81,$V81&lt;&gt;"",$W81&lt;&gt;""),'Endrunde 4'!$L29,"")</f>
        <v>4</v>
      </c>
      <c r="Y81" s="36">
        <f ca="1">IF(AND('Endrunde 4'!$L29&lt;&gt;"",'Endrunde 4'!$N29&lt;&gt;"",$V81&lt;&gt;$W81,$V81&lt;&gt;"",$W81&lt;&gt;""),'Endrunde 4'!$N29,"")</f>
        <v>0</v>
      </c>
      <c r="Z81" s="35" t="str">
        <f t="shared" ca="1" si="47"/>
        <v>FC BarcelonaBorussia Dortmund</v>
      </c>
      <c r="AA81" s="13">
        <f t="shared" ca="1" si="46"/>
        <v>1</v>
      </c>
      <c r="AB81" s="13" t="str">
        <f ca="1">IF(AA81&gt;0,X81&amp;Sprache!$E$111&amp;Y81,"")</f>
        <v>4:0</v>
      </c>
      <c r="AD81" s="143"/>
      <c r="AE81" s="148">
        <f ca="1">IF($AA81=0,"",IF($X81&gt;$Y81,Einstellungen!$C$4,IF($X81=$Y81,1,0)))</f>
        <v>3</v>
      </c>
      <c r="AF81" s="143">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'Endrunde 4'!$I30</f>
        <v/>
      </c>
      <c r="W82" s="13" t="str">
        <f ca="1">'Endrunde 4'!$K30</f>
        <v/>
      </c>
      <c r="X82" s="13" t="str">
        <f ca="1">IF(AND('Endrunde 4'!$L30&lt;&gt;"",'Endrunde 4'!$N30&lt;&gt;"",$V82&lt;&gt;$W82,$V82&lt;&gt;"",$W82&lt;&gt;""),'Endrunde 4'!$L30,"")</f>
        <v/>
      </c>
      <c r="Y82" s="36" t="str">
        <f ca="1">IF(AND('Endrunde 4'!$L30&lt;&gt;"",'Endrunde 4'!$N30&lt;&gt;"",$V82&lt;&gt;$W82,$V82&lt;&gt;"",$W82&lt;&gt;""),'Endrunde 4'!$N30,"")</f>
        <v/>
      </c>
      <c r="Z82" s="35" t="str">
        <f t="shared" ca="1" si="47"/>
        <v/>
      </c>
      <c r="AA82" s="13">
        <f t="shared" ca="1" si="46"/>
        <v>0</v>
      </c>
      <c r="AB82" s="13" t="str">
        <f ca="1">IF(AA82&gt;0,X82&amp;Sprache!$E$111&amp;Y82,"")</f>
        <v/>
      </c>
      <c r="AD82" s="143"/>
      <c r="AE82" s="148" t="str">
        <f ca="1">IF($AA82=0,"",IF($X82&gt;$Y82,Einstellungen!$C$4,IF($X82=$Y82,1,0)))</f>
        <v/>
      </c>
      <c r="AF82" s="143" t="str">
        <f ca="1">IF($AA82=0,"",IF($X82&lt;$Y82,Einstellungen!$C$4,IF($X82=$Y82,1,0)))</f>
        <v/>
      </c>
    </row>
    <row r="83" spans="2:32" s="2" customFormat="1" x14ac:dyDescent="0.2">
      <c r="B83" s="4"/>
      <c r="C83" s="4"/>
      <c r="D83" s="4"/>
      <c r="E83" s="4"/>
      <c r="F83" s="13"/>
      <c r="G83" s="13"/>
      <c r="H83" s="13"/>
      <c r="I83" s="13"/>
      <c r="J83" s="13"/>
      <c r="K83" s="13"/>
      <c r="L83" s="13"/>
      <c r="M83" s="13"/>
      <c r="U83" s="67" t="s">
        <v>35</v>
      </c>
      <c r="V83" s="41" t="str">
        <f ca="1">'Endrunde 4'!$I31</f>
        <v>TSG Saalberg eV</v>
      </c>
      <c r="W83" s="13" t="str">
        <f ca="1">'Endrunde 4'!$K31</f>
        <v>SSV Wildbach</v>
      </c>
      <c r="X83" s="13">
        <f ca="1">IF(AND('Endrunde 4'!$L31&lt;&gt;"",'Endrunde 4'!$N31&lt;&gt;"",$V83&lt;&gt;$W83,$V83&lt;&gt;"",$W83&lt;&gt;""),'Endrunde 4'!$L31,"")</f>
        <v>4</v>
      </c>
      <c r="Y83" s="36">
        <f ca="1">IF(AND('Endrunde 4'!$L31&lt;&gt;"",'Endrunde 4'!$N31&lt;&gt;"",$V83&lt;&gt;$W83,$V83&lt;&gt;"",$W83&lt;&gt;""),'Endrunde 4'!$N31,"")</f>
        <v>1</v>
      </c>
      <c r="Z83" s="35" t="str">
        <f t="shared" ca="1" si="47"/>
        <v>TSG Saalberg eVSSV Wildbach</v>
      </c>
      <c r="AA83" s="13">
        <f t="shared" ca="1" si="46"/>
        <v>1</v>
      </c>
      <c r="AB83" s="13" t="str">
        <f ca="1">IF(AA83&gt;0,X83&amp;Sprache!$E$111&amp;Y83,"")</f>
        <v>4:1</v>
      </c>
      <c r="AD83" s="143"/>
      <c r="AE83" s="148">
        <f ca="1">IF($AA83=0,"",IF($X83&gt;$Y83,Einstellungen!$C$4,IF($X83=$Y83,1,0)))</f>
        <v>3</v>
      </c>
      <c r="AF83" s="143">
        <f ca="1">IF($AA83=0,"",IF($X83&lt;$Y83,Einstellungen!$C$4,IF($X83=$Y83,1,0)))</f>
        <v>0</v>
      </c>
    </row>
    <row r="84" spans="2:32" s="2" customFormat="1" x14ac:dyDescent="0.2">
      <c r="B84" s="4"/>
      <c r="C84" s="4"/>
      <c r="D84" s="4"/>
      <c r="E84" s="4"/>
      <c r="F84" s="13"/>
      <c r="G84" s="13"/>
      <c r="H84" s="13"/>
      <c r="I84" s="13"/>
      <c r="J84" s="13"/>
      <c r="K84" s="13"/>
      <c r="L84" s="13"/>
      <c r="M84" s="13"/>
      <c r="U84" s="67" t="s">
        <v>36</v>
      </c>
      <c r="V84" s="41" t="str">
        <f ca="1">'Endrunde 4'!$I32</f>
        <v>SV Oberredenburg</v>
      </c>
      <c r="W84" s="13" t="str">
        <f ca="1">'Endrunde 4'!$K32</f>
        <v>FC Grönlingen</v>
      </c>
      <c r="X84" s="13">
        <f ca="1">IF(AND('Endrunde 4'!$L32&lt;&gt;"",'Endrunde 4'!$N32&lt;&gt;"",$V84&lt;&gt;$W84,$V84&lt;&gt;"",$W84&lt;&gt;""),'Endrunde 4'!$L32,"")</f>
        <v>3</v>
      </c>
      <c r="Y84" s="36">
        <f ca="1">IF(AND('Endrunde 4'!$L32&lt;&gt;"",'Endrunde 4'!$N32&lt;&gt;"",$V84&lt;&gt;$W84,$V84&lt;&gt;"",$W84&lt;&gt;""),'Endrunde 4'!$N32,"")</f>
        <v>2</v>
      </c>
      <c r="Z84" s="35" t="str">
        <f t="shared" ca="1" si="47"/>
        <v>SV OberredenburgFC Grönlingen</v>
      </c>
      <c r="AA84" s="13">
        <f t="shared" ca="1" si="46"/>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'Endrunde 4'!$I33</f>
        <v>HSV</v>
      </c>
      <c r="W85" s="13" t="str">
        <f ca="1">'Endrunde 4'!$K33</f>
        <v>Mainz 05</v>
      </c>
      <c r="X85" s="13">
        <f ca="1">IF(AND('Endrunde 4'!$L33&lt;&gt;"",'Endrunde 4'!$N33&lt;&gt;"",$V85&lt;&gt;$W85,$V85&lt;&gt;"",$W85&lt;&gt;""),'Endrunde 4'!$L33,"")</f>
        <v>0</v>
      </c>
      <c r="Y85" s="36">
        <f ca="1">IF(AND('Endrunde 4'!$L33&lt;&gt;"",'Endrunde 4'!$N33&lt;&gt;"",$V85&lt;&gt;$W85,$V85&lt;&gt;"",$W85&lt;&gt;""),'Endrunde 4'!$N33,"")</f>
        <v>3</v>
      </c>
      <c r="Z85" s="35" t="str">
        <f t="shared" ca="1" si="47"/>
        <v>HSVMainz 05</v>
      </c>
      <c r="AA85" s="13">
        <f t="shared" ca="1" si="46"/>
        <v>1</v>
      </c>
      <c r="AB85" s="13" t="str">
        <f ca="1">IF(AA85&gt;0,X85&amp;Sprache!$E$111&amp;Y85,"")</f>
        <v>0:3</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RB Leipzig</v>
      </c>
      <c r="W86" s="13" t="str">
        <f ca="1">'Endrunde 4'!$K34</f>
        <v>Inter Mailand</v>
      </c>
      <c r="X86" s="13">
        <f ca="1">IF(AND('Endrunde 4'!$L34&lt;&gt;"",'Endrunde 4'!$N34&lt;&gt;"",$V86&lt;&gt;$W86,$V86&lt;&gt;"",$W86&lt;&gt;""),'Endrunde 4'!$L34,"")</f>
        <v>1</v>
      </c>
      <c r="Y86" s="36">
        <f ca="1">IF(AND('Endrunde 4'!$L34&lt;&gt;"",'Endrunde 4'!$N34&lt;&gt;"",$V86&lt;&gt;$W86,$V86&lt;&gt;"",$W86&lt;&gt;""),'Endrunde 4'!$N34,"")</f>
        <v>1</v>
      </c>
      <c r="Z86" s="35" t="str">
        <f t="shared" ca="1" si="47"/>
        <v>RB LeipzigInter Mailand</v>
      </c>
      <c r="AA86" s="13">
        <f t="shared" ca="1" si="46"/>
        <v>1</v>
      </c>
      <c r="AB86" s="13" t="str">
        <f ca="1">IF(AA86&gt;0,X86&amp;Sprache!$E$111&amp;Y86,"")</f>
        <v>1:1</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'Endrunde 4'!$I35</f>
        <v>Paris St. Germain</v>
      </c>
      <c r="W87" s="13" t="str">
        <f ca="1">'Endrunde 4'!$K35</f>
        <v>Manchester City</v>
      </c>
      <c r="X87" s="13">
        <f ca="1">IF(AND('Endrunde 4'!$L35&lt;&gt;"",'Endrunde 4'!$N35&lt;&gt;"",$V87&lt;&gt;$W87,$V87&lt;&gt;"",$W87&lt;&gt;""),'Endrunde 4'!$L35,"")</f>
        <v>3</v>
      </c>
      <c r="Y87" s="36">
        <f ca="1">IF(AND('Endrunde 4'!$L35&lt;&gt;"",'Endrunde 4'!$N35&lt;&gt;"",$V87&lt;&gt;$W87,$V87&lt;&gt;"",$W87&lt;&gt;""),'Endrunde 4'!$N35,"")</f>
        <v>2</v>
      </c>
      <c r="Z87" s="35" t="str">
        <f t="shared" ca="1" si="47"/>
        <v>Paris St. GermainManchester City</v>
      </c>
      <c r="AA87" s="13">
        <f t="shared" ca="1" si="46"/>
        <v>1</v>
      </c>
      <c r="AB87" s="13" t="str">
        <f ca="1">IF(AA87&gt;0,X87&amp;Sprache!$E$111&amp;Y87,"")</f>
        <v>3:2</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'Endrunde 4'!$I36</f>
        <v/>
      </c>
      <c r="W88" s="13" t="str">
        <f ca="1">'Endrunde 4'!$K36</f>
        <v/>
      </c>
      <c r="X88" s="13" t="str">
        <f ca="1">IF(AND('Endrunde 4'!$L36&lt;&gt;"",'Endrunde 4'!$N36&lt;&gt;"",$V88&lt;&gt;$W88,$V88&lt;&gt;"",$W88&lt;&gt;""),'Endrunde 4'!$L36,"")</f>
        <v/>
      </c>
      <c r="Y88" s="36" t="str">
        <f ca="1">IF(AND('Endrunde 4'!$L36&lt;&gt;"",'Endrunde 4'!$N36&lt;&gt;"",$V88&lt;&gt;$W88,$V88&lt;&gt;"",$W88&lt;&gt;""),'Endrunde 4'!$N36,"")</f>
        <v/>
      </c>
      <c r="Z88" s="35" t="str">
        <f t="shared" ca="1" si="47"/>
        <v/>
      </c>
      <c r="AA88" s="13">
        <f t="shared" ca="1" si="46"/>
        <v>0</v>
      </c>
      <c r="AB88" s="13" t="str">
        <f ca="1">IF(AA88&gt;0,X88&amp;Sprache!$E$111&amp;Y88,"")</f>
        <v/>
      </c>
      <c r="AD88" s="143"/>
      <c r="AE88" s="148" t="str">
        <f ca="1">IF($AA88=0,"",IF($X88&gt;$Y88,Einstellungen!$C$4,IF($X88=$Y88,1,0)))</f>
        <v/>
      </c>
      <c r="AF88" s="143"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'Endrunde 4'!$I37</f>
        <v>TSG Saalberg eV</v>
      </c>
      <c r="W89" s="13" t="str">
        <f ca="1">'Endrunde 4'!$K37</f>
        <v>Maibach 1822 eV</v>
      </c>
      <c r="X89" s="13">
        <f ca="1">IF(AND('Endrunde 4'!$L37&lt;&gt;"",'Endrunde 4'!$N37&lt;&gt;"",$V89&lt;&gt;$W89,$V89&lt;&gt;"",$W89&lt;&gt;""),'Endrunde 4'!$L37,"")</f>
        <v>2</v>
      </c>
      <c r="Y89" s="36">
        <f ca="1">IF(AND('Endrunde 4'!$L37&lt;&gt;"",'Endrunde 4'!$N37&lt;&gt;"",$V89&lt;&gt;$W89,$V89&lt;&gt;"",$W89&lt;&gt;""),'Endrunde 4'!$N37,"")</f>
        <v>0</v>
      </c>
      <c r="Z89" s="35" t="str">
        <f t="shared" ca="1" si="47"/>
        <v>TSG Saalberg eVMaibach 1822 eV</v>
      </c>
      <c r="AA89" s="13">
        <f t="shared" ca="1" si="46"/>
        <v>1</v>
      </c>
      <c r="AB89" s="13" t="str">
        <f ca="1">IF(AA89&gt;0,X89&amp;Sprache!$E$111&amp;Y89,"")</f>
        <v>2:0</v>
      </c>
      <c r="AD89" s="143"/>
      <c r="AE89" s="148">
        <f ca="1">IF($AA89=0,"",IF($X89&gt;$Y89,Einstellungen!$C$4,IF($X89=$Y89,1,0)))</f>
        <v>3</v>
      </c>
      <c r="AF89" s="143">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'Endrunde 4'!$I38</f>
        <v>SV Oberredenburg</v>
      </c>
      <c r="W90" s="13" t="str">
        <f ca="1">'Endrunde 4'!$K38</f>
        <v>VFB Essenheim</v>
      </c>
      <c r="X90" s="13">
        <f ca="1">IF(AND('Endrunde 4'!$L38&lt;&gt;"",'Endrunde 4'!$N38&lt;&gt;"",$V90&lt;&gt;$W90,$V90&lt;&gt;"",$W90&lt;&gt;""),'Endrunde 4'!$L38,"")</f>
        <v>1</v>
      </c>
      <c r="Y90" s="36">
        <f ca="1">IF(AND('Endrunde 4'!$L38&lt;&gt;"",'Endrunde 4'!$N38&lt;&gt;"",$V90&lt;&gt;$W90,$V90&lt;&gt;"",$W90&lt;&gt;""),'Endrunde 4'!$N38,"")</f>
        <v>0</v>
      </c>
      <c r="Z90" s="35" t="str">
        <f t="shared" ca="1" si="47"/>
        <v>SV OberredenburgVFB Essenheim</v>
      </c>
      <c r="AA90" s="13">
        <f t="shared" ca="1" si="46"/>
        <v>1</v>
      </c>
      <c r="AB90" s="13" t="str">
        <f ca="1">IF(AA90&gt;0,X90&amp;Sprache!$E$111&amp;Y90,"")</f>
        <v>1:0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'Endrunde 4'!$I39</f>
        <v>HSV</v>
      </c>
      <c r="W91" s="13" t="str">
        <f ca="1">'Endrunde 4'!$K39</f>
        <v>1. FC Riedwald</v>
      </c>
      <c r="X91" s="13">
        <f ca="1">IF(AND('Endrunde 4'!$L39&lt;&gt;"",'Endrunde 4'!$N39&lt;&gt;"",$V91&lt;&gt;$W91,$V91&lt;&gt;"",$W91&lt;&gt;""),'Endrunde 4'!$L39,"")</f>
        <v>2</v>
      </c>
      <c r="Y91" s="36">
        <f ca="1">IF(AND('Endrunde 4'!$L39&lt;&gt;"",'Endrunde 4'!$N39&lt;&gt;"",$V91&lt;&gt;$W91,$V91&lt;&gt;"",$W91&lt;&gt;""),'Endrunde 4'!$N39,"")</f>
        <v>0</v>
      </c>
      <c r="Z91" s="35" t="str">
        <f t="shared" ca="1" si="47"/>
        <v>HSV1. FC Riedwald</v>
      </c>
      <c r="AA91" s="13">
        <f t="shared" ca="1" si="46"/>
        <v>1</v>
      </c>
      <c r="AB91" s="13" t="str">
        <f ca="1">IF(AA91&gt;0,X91&amp;Sprache!$E$111&amp;Y91,"")</f>
        <v>2:0</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'Endrunde 4'!$I40</f>
        <v>RB Leipzig</v>
      </c>
      <c r="W92" s="13" t="str">
        <f ca="1">'Endrunde 4'!$K40</f>
        <v>Eintracht Frankfurt</v>
      </c>
      <c r="X92" s="13">
        <f ca="1">IF(AND('Endrunde 4'!$L40&lt;&gt;"",'Endrunde 4'!$N40&lt;&gt;"",$V92&lt;&gt;$W92,$V92&lt;&gt;"",$W92&lt;&gt;""),'Endrunde 4'!$L40,"")</f>
        <v>1</v>
      </c>
      <c r="Y92" s="36">
        <f ca="1">IF(AND('Endrunde 4'!$L40&lt;&gt;"",'Endrunde 4'!$N40&lt;&gt;"",$V92&lt;&gt;$W92,$V92&lt;&gt;"",$W92&lt;&gt;""),'Endrunde 4'!$N40,"")</f>
        <v>1</v>
      </c>
      <c r="Z92" s="35" t="str">
        <f t="shared" ca="1" si="47"/>
        <v>RB LeipzigEintracht Frankfurt</v>
      </c>
      <c r="AA92" s="13">
        <f t="shared" ca="1" si="46"/>
        <v>1</v>
      </c>
      <c r="AB92" s="13" t="str">
        <f ca="1">IF(AA92&gt;0,X92&amp;Sprache!$E$111&amp;Y92,"")</f>
        <v>1:1</v>
      </c>
      <c r="AD92" s="143"/>
      <c r="AE92" s="148">
        <f ca="1">IF($AA92=0,"",IF($X92&gt;$Y92,Einstellungen!$C$4,IF($X92=$Y92,1,0)))</f>
        <v>1</v>
      </c>
      <c r="AF92" s="143">
        <f ca="1">IF($AA92=0,"",IF($X92&lt;$Y92,Einstellungen!$C$4,IF($X92=$Y92,1,0)))</f>
        <v>1</v>
      </c>
    </row>
    <row r="93" spans="2:32" s="2" customFormat="1" x14ac:dyDescent="0.2">
      <c r="B93" s="4"/>
      <c r="C93" s="4"/>
      <c r="D93" s="4"/>
      <c r="E93" s="4"/>
      <c r="F93" s="13"/>
      <c r="G93" s="13"/>
      <c r="H93" s="13"/>
      <c r="I93" s="13"/>
      <c r="J93" s="13"/>
      <c r="K93" s="13"/>
      <c r="L93" s="13"/>
      <c r="M93" s="13"/>
      <c r="U93" s="67" t="s">
        <v>45</v>
      </c>
      <c r="V93" s="41" t="str">
        <f ca="1">'Endrunde 4'!$I41</f>
        <v>Paris St. Germain</v>
      </c>
      <c r="W93" s="13" t="str">
        <f ca="1">'Endrunde 4'!$K41</f>
        <v>FC Barcelona</v>
      </c>
      <c r="X93" s="13">
        <f ca="1">IF(AND('Endrunde 4'!$L41&lt;&gt;"",'Endrunde 4'!$N41&lt;&gt;"",$V93&lt;&gt;$W93,$V93&lt;&gt;"",$W93&lt;&gt;""),'Endrunde 4'!$L41,"")</f>
        <v>1</v>
      </c>
      <c r="Y93" s="36">
        <f ca="1">IF(AND('Endrunde 4'!$L41&lt;&gt;"",'Endrunde 4'!$N41&lt;&gt;"",$V93&lt;&gt;$W93,$V93&lt;&gt;"",$W93&lt;&gt;""),'Endrunde 4'!$N41,"")</f>
        <v>2</v>
      </c>
      <c r="Z93" s="35" t="str">
        <f t="shared" ca="1" si="47"/>
        <v>Paris St. GermainFC Barcelona</v>
      </c>
      <c r="AA93" s="13">
        <f t="shared" ca="1" si="46"/>
        <v>1</v>
      </c>
      <c r="AB93" s="13" t="str">
        <f ca="1">IF(AA93&gt;0,X93&amp;Sprache!$E$111&amp;Y93,"")</f>
        <v>1:2</v>
      </c>
      <c r="AD93" s="143"/>
      <c r="AE93" s="148">
        <f ca="1">IF($AA93=0,"",IF($X93&gt;$Y93,Einstellungen!$C$4,IF($X93=$Y93,1,0)))</f>
        <v>0</v>
      </c>
      <c r="AF93" s="143">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'Endrunde 4'!$I42</f>
        <v/>
      </c>
      <c r="W94" s="13" t="str">
        <f ca="1">'Endrunde 4'!$K42</f>
        <v/>
      </c>
      <c r="X94" s="13" t="str">
        <f ca="1">IF(AND('Endrunde 4'!$L42&lt;&gt;"",'Endrunde 4'!$N42&lt;&gt;"",$V94&lt;&gt;$W94,$V94&lt;&gt;"",$W94&lt;&gt;""),'Endrunde 4'!$L42,"")</f>
        <v/>
      </c>
      <c r="Y94" s="36" t="str">
        <f ca="1">IF(AND('Endrunde 4'!$L42&lt;&gt;"",'Endrunde 4'!$N42&lt;&gt;"",$V94&lt;&gt;$W94,$V94&lt;&gt;"",$W94&lt;&gt;""),'Endrunde 4'!$N42,"")</f>
        <v/>
      </c>
      <c r="Z94" s="35" t="str">
        <f t="shared" ca="1" si="47"/>
        <v/>
      </c>
      <c r="AA94" s="13">
        <f t="shared" ca="1" si="46"/>
        <v>0</v>
      </c>
      <c r="AB94" s="13" t="str">
        <f ca="1">IF(AA94&gt;0,X94&amp;Sprache!$E$111&amp;Y94,"")</f>
        <v/>
      </c>
      <c r="AD94" s="143"/>
      <c r="AE94" s="148" t="str">
        <f ca="1">IF($AA94=0,"",IF($X94&gt;$Y94,Einstellungen!$C$4,IF($X94=$Y94,1,0)))</f>
        <v/>
      </c>
      <c r="AF94" s="143"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'Endrunde 4'!$I43</f>
        <v>SSV Wildbach</v>
      </c>
      <c r="W95" s="13" t="str">
        <f ca="1">'Endrunde 4'!$K43</f>
        <v>FSV Rauen</v>
      </c>
      <c r="X95" s="13">
        <f ca="1">IF(AND('Endrunde 4'!$L43&lt;&gt;"",'Endrunde 4'!$N43&lt;&gt;"",$V95&lt;&gt;$W95,$V95&lt;&gt;"",$W95&lt;&gt;""),'Endrunde 4'!$L43,"")</f>
        <v>3</v>
      </c>
      <c r="Y95" s="36">
        <f ca="1">IF(AND('Endrunde 4'!$L43&lt;&gt;"",'Endrunde 4'!$N43&lt;&gt;"",$V95&lt;&gt;$W95,$V95&lt;&gt;"",$W95&lt;&gt;""),'Endrunde 4'!$N43,"")</f>
        <v>1</v>
      </c>
      <c r="Z95" s="35" t="str">
        <f t="shared" ca="1" si="47"/>
        <v>SSV WildbachFSV Rauen</v>
      </c>
      <c r="AA95" s="13">
        <f t="shared" ca="1" si="46"/>
        <v>1</v>
      </c>
      <c r="AB95" s="13" t="str">
        <f ca="1">IF(AA95&gt;0,X95&amp;Sprache!$E$111&amp;Y95,"")</f>
        <v>3:1</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'Endrunde 4'!$I44</f>
        <v>FC Grönlingen</v>
      </c>
      <c r="W96" s="13" t="str">
        <f ca="1">'Endrunde 4'!$K44</f>
        <v>Kickers Rodendorf</v>
      </c>
      <c r="X96" s="13">
        <f ca="1">IF(AND('Endrunde 4'!$L44&lt;&gt;"",'Endrunde 4'!$N44&lt;&gt;"",$V96&lt;&gt;$W96,$V96&lt;&gt;"",$W96&lt;&gt;""),'Endrunde 4'!$L44,"")</f>
        <v>4</v>
      </c>
      <c r="Y96" s="36">
        <f ca="1">IF(AND('Endrunde 4'!$L44&lt;&gt;"",'Endrunde 4'!$N44&lt;&gt;"",$V96&lt;&gt;$W96,$V96&lt;&gt;"",$W96&lt;&gt;""),'Endrunde 4'!$N44,"")</f>
        <v>3</v>
      </c>
      <c r="Z96" s="35" t="str">
        <f t="shared" ca="1" si="47"/>
        <v>FC GrönlingenKickers Rodendorf</v>
      </c>
      <c r="AA96" s="13">
        <f t="shared" ca="1" si="46"/>
        <v>1</v>
      </c>
      <c r="AB96" s="13" t="str">
        <f ca="1">IF(AA96&gt;0,X96&amp;Sprache!$E$111&amp;Y96,"")</f>
        <v>4:3</v>
      </c>
      <c r="AD96" s="143"/>
      <c r="AE96" s="148">
        <f ca="1">IF($AA96=0,"",IF($X96&gt;$Y96,Einstellungen!$C$4,IF($X96=$Y96,1,0)))</f>
        <v>3</v>
      </c>
      <c r="AF96" s="143">
        <f ca="1">IF($AA96=0,"",IF($X96&lt;$Y96,Einstellungen!$C$4,IF($X96=$Y96,1,0)))</f>
        <v>0</v>
      </c>
    </row>
    <row r="97" spans="2:32" s="2" customFormat="1" x14ac:dyDescent="0.2">
      <c r="B97" s="4"/>
      <c r="C97" s="4"/>
      <c r="D97" s="4"/>
      <c r="E97" s="4"/>
      <c r="F97" s="13"/>
      <c r="G97" s="13"/>
      <c r="H97" s="13"/>
      <c r="I97" s="13"/>
      <c r="J97" s="13"/>
      <c r="K97" s="13"/>
      <c r="L97" s="13"/>
      <c r="M97" s="13"/>
      <c r="U97" s="67" t="s">
        <v>49</v>
      </c>
      <c r="V97" s="41" t="str">
        <f ca="1">'Endrunde 4'!$I45</f>
        <v>Mainz 05</v>
      </c>
      <c r="W97" s="13" t="str">
        <f ca="1">'Endrunde 4'!$K45</f>
        <v>1. FC Nürnberg</v>
      </c>
      <c r="X97" s="13">
        <f ca="1">IF(AND('Endrunde 4'!$L45&lt;&gt;"",'Endrunde 4'!$N45&lt;&gt;"",$V97&lt;&gt;$W97,$V97&lt;&gt;"",$W97&lt;&gt;""),'Endrunde 4'!$L45,"")</f>
        <v>1</v>
      </c>
      <c r="Y97" s="36">
        <f ca="1">IF(AND('Endrunde 4'!$L45&lt;&gt;"",'Endrunde 4'!$N45&lt;&gt;"",$V97&lt;&gt;$W97,$V97&lt;&gt;"",$W97&lt;&gt;""),'Endrunde 4'!$N45,"")</f>
        <v>1</v>
      </c>
      <c r="Z97" s="35" t="str">
        <f t="shared" ca="1" si="47"/>
        <v>Mainz 051. FC Nürnberg</v>
      </c>
      <c r="AA97" s="13">
        <f t="shared" ca="1" si="46"/>
        <v>1</v>
      </c>
      <c r="AB97" s="13" t="str">
        <f ca="1">IF(AA97&gt;0,X97&amp;Sprache!$E$111&amp;Y97,"")</f>
        <v>1:1</v>
      </c>
      <c r="AD97" s="143"/>
      <c r="AE97" s="148">
        <f ca="1">IF($AA97=0,"",IF($X97&gt;$Y97,Einstellungen!$C$4,IF($X97=$Y97,1,0)))</f>
        <v>1</v>
      </c>
      <c r="AF97" s="143">
        <f ca="1">IF($AA97=0,"",IF($X97&lt;$Y97,Einstellungen!$C$4,IF($X97=$Y97,1,0)))</f>
        <v>1</v>
      </c>
    </row>
    <row r="98" spans="2:32" s="2" customFormat="1" x14ac:dyDescent="0.2">
      <c r="B98" s="4"/>
      <c r="C98" s="4"/>
      <c r="D98" s="4"/>
      <c r="E98" s="4"/>
      <c r="F98" s="13"/>
      <c r="G98" s="13"/>
      <c r="H98" s="13"/>
      <c r="I98" s="13"/>
      <c r="J98" s="13"/>
      <c r="K98" s="13"/>
      <c r="L98" s="13"/>
      <c r="M98" s="13"/>
      <c r="U98" s="67" t="s">
        <v>50</v>
      </c>
      <c r="V98" s="41" t="str">
        <f ca="1">'Endrunde 4'!$I46</f>
        <v>Inter Mailand</v>
      </c>
      <c r="W98" s="13" t="str">
        <f ca="1">'Endrunde 4'!$K46</f>
        <v>Real Madrid</v>
      </c>
      <c r="X98" s="13">
        <f ca="1">IF(AND('Endrunde 4'!$L46&lt;&gt;"",'Endrunde 4'!$N46&lt;&gt;"",$V98&lt;&gt;$W98,$V98&lt;&gt;"",$W98&lt;&gt;""),'Endrunde 4'!$L46,"")</f>
        <v>1</v>
      </c>
      <c r="Y98" s="36">
        <f ca="1">IF(AND('Endrunde 4'!$L46&lt;&gt;"",'Endrunde 4'!$N46&lt;&gt;"",$V98&lt;&gt;$W98,$V98&lt;&gt;"",$W98&lt;&gt;""),'Endrunde 4'!$N46,"")</f>
        <v>4</v>
      </c>
      <c r="Z98" s="35" t="str">
        <f t="shared" ca="1" si="47"/>
        <v>Inter MailandReal Madrid</v>
      </c>
      <c r="AA98" s="13">
        <f t="shared" ca="1" si="46"/>
        <v>1</v>
      </c>
      <c r="AB98" s="13" t="str">
        <f ca="1">IF(AA98&gt;0,X98&amp;Sprache!$E$111&amp;Y98,"")</f>
        <v>1:4</v>
      </c>
      <c r="AD98" s="143"/>
      <c r="AE98" s="148">
        <f ca="1">IF($AA98=0,"",IF($X98&gt;$Y98,Einstellungen!$C$4,IF($X98=$Y98,1,0)))</f>
        <v>0</v>
      </c>
      <c r="AF98" s="143">
        <f ca="1">IF($AA98=0,"",IF($X98&lt;$Y98,Einstellungen!$C$4,IF($X98=$Y98,1,0)))</f>
        <v>3</v>
      </c>
    </row>
    <row r="99" spans="2:32" s="2" customFormat="1" ht="12.75" thickBot="1" x14ac:dyDescent="0.25">
      <c r="B99" s="4"/>
      <c r="C99" s="4"/>
      <c r="D99" s="4"/>
      <c r="E99" s="4"/>
      <c r="F99" s="13"/>
      <c r="G99" s="13"/>
      <c r="H99" s="13"/>
      <c r="I99" s="13"/>
      <c r="J99" s="13"/>
      <c r="K99" s="13"/>
      <c r="L99" s="13"/>
      <c r="M99" s="13"/>
      <c r="U99" s="67" t="s">
        <v>51</v>
      </c>
      <c r="V99" s="41" t="str">
        <f ca="1">'Endrunde 4'!$I47</f>
        <v>Manchester City</v>
      </c>
      <c r="W99" s="13" t="str">
        <f ca="1">'Endrunde 4'!$K47</f>
        <v>Borussia Dortmund</v>
      </c>
      <c r="X99" s="13">
        <f ca="1">IF(AND('Endrunde 4'!$L47&lt;&gt;"",'Endrunde 4'!$N47&lt;&gt;"",$V99&lt;&gt;$W99,$V99&lt;&gt;"",$W99&lt;&gt;""),'Endrunde 4'!$L47,"")</f>
        <v>2</v>
      </c>
      <c r="Y99" s="36">
        <f ca="1">IF(AND('Endrunde 4'!$L47&lt;&gt;"",'Endrunde 4'!$N47&lt;&gt;"",$V99&lt;&gt;$W99,$V99&lt;&gt;"",$W99&lt;&gt;""),'Endrunde 4'!$N47,"")</f>
        <v>2</v>
      </c>
      <c r="Z99" s="35" t="str">
        <f t="shared" ca="1" si="47"/>
        <v>Manchester CityBorussia Dortmund</v>
      </c>
      <c r="AA99" s="13">
        <f t="shared" ca="1" si="46"/>
        <v>1</v>
      </c>
      <c r="AB99" s="13" t="str">
        <f ca="1">IF(AA99&gt;0,X99&amp;Sprache!$E$111&amp;Y99,"")</f>
        <v>2:2</v>
      </c>
      <c r="AD99" s="143"/>
      <c r="AE99" s="148">
        <f ca="1">IF($AA99=0,"",IF($X99&gt;$Y99,Einstellungen!$C$4,IF($X99=$Y99,1,0)))</f>
        <v>1</v>
      </c>
      <c r="AF99" s="143">
        <f ca="1">IF($AA99=0,"",IF($X99&lt;$Y99,Einstellungen!$C$4,IF($X99=$Y99,1,0)))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IF(AA100&gt;0,X100&amp;Sprache!$E$111&amp;Y100,"")</f>
        <v/>
      </c>
      <c r="AC100" s="296"/>
      <c r="AD100" s="297"/>
      <c r="AE100" s="298" t="str">
        <f>IF($AA100=0,"",IF($X100&gt;$Y100,Einstellungen!$C$4,IF($X100=$Y100,1,0)))</f>
        <v/>
      </c>
      <c r="AF100" s="297"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IF(AA101&gt;0,X101&amp;Sprache!$E$111&amp;Y101,"")</f>
        <v/>
      </c>
      <c r="AD101" s="143"/>
      <c r="AE101" s="148" t="str">
        <f>IF($AA101=0,"",IF($X101&gt;$Y101,Einstellungen!$C$4,IF($X101=$Y101,1,0)))</f>
        <v/>
      </c>
      <c r="AF101" s="143"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IF(AA102&gt;0,X102&amp;Sprache!$E$111&amp;Y102,"")</f>
        <v/>
      </c>
      <c r="AD102" s="143"/>
      <c r="AE102" s="148" t="str">
        <f>IF($AA102=0,"",IF($X102&gt;$Y102,Einstellungen!$C$4,IF($X102=$Y102,1,0)))</f>
        <v/>
      </c>
      <c r="AF102" s="143"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IF(AA103&gt;0,X103&amp;Sprache!$E$111&amp;Y103,"")</f>
        <v/>
      </c>
      <c r="AD103" s="143"/>
      <c r="AE103" s="148" t="str">
        <f>IF($AA103=0,"",IF($X103&gt;$Y103,Einstellungen!$C$4,IF($X103=$Y103,1,0)))</f>
        <v/>
      </c>
      <c r="AF103" s="143"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IF(AA104&gt;0,X104&amp;Sprache!$E$111&amp;Y104,"")</f>
        <v/>
      </c>
      <c r="AD104" s="143"/>
      <c r="AE104" s="148" t="str">
        <f>IF($AA104=0,"",IF($X104&gt;$Y104,Einstellungen!$C$4,IF($X104=$Y104,1,0)))</f>
        <v/>
      </c>
      <c r="AF104" s="143"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IF(AA105&gt;0,X105&amp;Sprache!$E$111&amp;Y105,"")</f>
        <v/>
      </c>
      <c r="AD105" s="143"/>
      <c r="AE105" s="148" t="str">
        <f>IF($AA105=0,"",IF($X105&gt;$Y105,Einstellungen!$C$4,IF($X105=$Y105,1,0)))</f>
        <v/>
      </c>
      <c r="AF105" s="143"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IF(AA106&gt;0,X106&amp;Sprache!$E$111&amp;Y106,"")</f>
        <v/>
      </c>
      <c r="AD106" s="143"/>
      <c r="AE106" s="148" t="str">
        <f>IF($AA106=0,"",IF($X106&gt;$Y106,Einstellungen!$C$4,IF($X106=$Y106,1,0)))</f>
        <v/>
      </c>
      <c r="AF106" s="143"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IF(AA107&gt;0,X107&amp;Sprache!$E$111&amp;Y107,"")</f>
        <v/>
      </c>
      <c r="AD107" s="143"/>
      <c r="AE107" s="148" t="str">
        <f>IF($AA107=0,"",IF($X107&gt;$Y107,Einstellungen!$C$4,IF($X107=$Y107,1,0)))</f>
        <v/>
      </c>
      <c r="AF107" s="143"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IF(AA108&gt;0,X108&amp;Sprache!$E$111&amp;Y108,"")</f>
        <v/>
      </c>
      <c r="AD108" s="143"/>
      <c r="AE108" s="148" t="str">
        <f>IF($AA108=0,"",IF($X108&gt;$Y108,Einstellungen!$C$4,IF($X108=$Y108,1,0)))</f>
        <v/>
      </c>
      <c r="AF108" s="143"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IF($AA109=0,"",IF($X109&gt;$Y109,Einstellungen!$C$4,IF($X109=$Y109,1,0)))</f>
        <v/>
      </c>
      <c r="AF109" s="143"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IF($AA110=0,"",IF($X110&gt;$Y110,Einstellungen!$C$4,IF($X110=$Y110,1,0)))</f>
        <v/>
      </c>
      <c r="AF110" s="143"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IF($AA111=0,"",IF($X111&gt;$Y111,Einstellungen!$C$4,IF($X111=$Y111,1,0)))</f>
        <v/>
      </c>
      <c r="AF111" s="143"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IF($AA112=0,"",IF($X112&gt;$Y112,Einstellungen!$C$4,IF($X112=$Y112,1,0)))</f>
        <v/>
      </c>
      <c r="AF112" s="143"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IF($AA113=0,"",IF($X113&gt;$Y113,Einstellungen!$C$4,IF($X113=$Y113,1,0)))</f>
        <v/>
      </c>
      <c r="AF113" s="143"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IF($AA114=0,"",IF($X114&gt;$Y114,Einstellungen!$C$4,IF($X114=$Y114,1,0)))</f>
        <v/>
      </c>
      <c r="AF114" s="143"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IF($AA115=0,"",IF($X115&gt;$Y115,Einstellungen!$C$4,IF($X115=$Y115,1,0)))</f>
        <v/>
      </c>
      <c r="AF115" s="143"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IF($AA116=0,"",IF($X116&gt;$Y116,Einstellungen!$C$4,IF($X116=$Y116,1,0)))</f>
        <v/>
      </c>
      <c r="AF116" s="143"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IF($AA117=0,"",IF($X117&gt;$Y117,Einstellungen!$C$4,IF($X117=$Y117,1,0)))</f>
        <v/>
      </c>
      <c r="AF117" s="143"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IF($AA118=0,"",IF($X118&gt;$Y118,Einstellungen!$C$4,IF($X118=$Y118,1,0)))</f>
        <v/>
      </c>
      <c r="AF118" s="143"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IF($AA119=0,"",IF($X119&gt;$Y119,Einstellungen!$C$4,IF($X119=$Y119,1,0)))</f>
        <v/>
      </c>
      <c r="AF119" s="143"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IF($AA120=0,"",IF($X120&gt;$Y120,Einstellungen!$C$4,IF($X120=$Y120,1,0)))</f>
        <v/>
      </c>
      <c r="AF120" s="143"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IF($AA121=0,"",IF($X121&gt;$Y121,Einstellungen!$C$4,IF($X121=$Y121,1,0)))</f>
        <v/>
      </c>
      <c r="AF121" s="143"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IF($AA122=0,"",IF($X122&gt;$Y122,Einstellungen!$C$4,IF($X122=$Y122,1,0)))</f>
        <v/>
      </c>
      <c r="AF122" s="143"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IF($AA123=0,"",IF($X123&gt;$Y123,Einstellungen!$C$4,IF($X123=$Y123,1,0)))</f>
        <v/>
      </c>
      <c r="AF123" s="143"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IF($AA124=0,"",IF($X124&gt;$Y124,Einstellungen!$C$4,IF($X124=$Y124,1,0)))</f>
        <v/>
      </c>
      <c r="AF124" s="143"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IF(AA136&gt;0,Y64&amp;Sprache!$E$111&amp;X64,"")</f>
        <v/>
      </c>
      <c r="AD136" s="143"/>
    </row>
    <row r="137" spans="2:32" x14ac:dyDescent="0.2">
      <c r="Y137" s="67" t="s">
        <v>8</v>
      </c>
      <c r="Z137" s="35" t="str">
        <f ca="1">W65&amp;V65</f>
        <v>SSV WildbachMaibach 1822 eV</v>
      </c>
      <c r="AA137" s="13">
        <f t="shared" ref="AA137:AA200" ca="1" si="49">AA65</f>
        <v>1</v>
      </c>
      <c r="AB137" s="13" t="str">
        <f ca="1">IF(AA137&gt;0,Y65&amp;Sprache!$E$111&amp;X65,"")</f>
        <v>4:2</v>
      </c>
      <c r="AC137" s="2"/>
      <c r="AD137" s="143"/>
    </row>
    <row r="138" spans="2:32" x14ac:dyDescent="0.2">
      <c r="Y138" s="67" t="s">
        <v>9</v>
      </c>
      <c r="Z138" s="35" t="str">
        <f t="shared" ref="Z138:Z201" ca="1" si="50">W66&amp;V66</f>
        <v>FC GrönlingenVFB Essenheim</v>
      </c>
      <c r="AA138" s="13">
        <f t="shared" ca="1" si="49"/>
        <v>1</v>
      </c>
      <c r="AB138" s="13" t="str">
        <f ca="1">IF(AA138&gt;0,Y66&amp;Sprache!$E$111&amp;X66,"")</f>
        <v>1:2</v>
      </c>
      <c r="AC138" s="2"/>
      <c r="AD138" s="143"/>
    </row>
    <row r="139" spans="2:32" x14ac:dyDescent="0.2">
      <c r="Y139" s="67" t="s">
        <v>10</v>
      </c>
      <c r="Z139" s="35" t="str">
        <f t="shared" ca="1" si="50"/>
        <v>Mainz 051. FC Riedwald</v>
      </c>
      <c r="AA139" s="13">
        <f t="shared" ca="1" si="49"/>
        <v>1</v>
      </c>
      <c r="AB139" s="13" t="str">
        <f ca="1">IF(AA139&gt;0,Y67&amp;Sprache!$E$111&amp;X67,"")</f>
        <v>0:0</v>
      </c>
      <c r="AC139" s="2"/>
      <c r="AD139" s="143"/>
    </row>
    <row r="140" spans="2:32" x14ac:dyDescent="0.2">
      <c r="Y140" s="67" t="s">
        <v>11</v>
      </c>
      <c r="Z140" s="35" t="str">
        <f t="shared" ca="1" si="50"/>
        <v>Inter MailandEintracht Frankfurt</v>
      </c>
      <c r="AA140" s="13">
        <f t="shared" ca="1" si="49"/>
        <v>1</v>
      </c>
      <c r="AB140" s="13" t="str">
        <f ca="1">IF(AA140&gt;0,Y68&amp;Sprache!$E$111&amp;X68,"")</f>
        <v>1:5</v>
      </c>
      <c r="AC140" s="2"/>
      <c r="AD140" s="143"/>
    </row>
    <row r="141" spans="2:32" x14ac:dyDescent="0.2">
      <c r="Y141" s="67" t="s">
        <v>12</v>
      </c>
      <c r="Z141" s="35" t="str">
        <f t="shared" ca="1" si="50"/>
        <v>Manchester CityFC Barcelona</v>
      </c>
      <c r="AA141" s="13">
        <f t="shared" ca="1" si="49"/>
        <v>1</v>
      </c>
      <c r="AB141" s="13" t="str">
        <f ca="1">IF(AA141&gt;0,Y69&amp;Sprache!$E$111&amp;X69,"")</f>
        <v>3:2</v>
      </c>
      <c r="AC141" s="2"/>
      <c r="AD141" s="143"/>
    </row>
    <row r="142" spans="2:32" x14ac:dyDescent="0.2">
      <c r="Y142" s="67" t="s">
        <v>17</v>
      </c>
      <c r="Z142" s="35" t="str">
        <f t="shared" ca="1" si="50"/>
        <v/>
      </c>
      <c r="AA142" s="13">
        <f t="shared" ca="1" si="49"/>
        <v>0</v>
      </c>
      <c r="AB142" s="13" t="str">
        <f ca="1">IF(AA142&gt;0,Y70&amp;Sprache!$E$111&amp;X70,"")</f>
        <v/>
      </c>
      <c r="AC142" s="2"/>
      <c r="AD142" s="143"/>
    </row>
    <row r="143" spans="2:32" x14ac:dyDescent="0.2">
      <c r="Y143" s="67" t="s">
        <v>18</v>
      </c>
      <c r="Z143" s="35" t="str">
        <f t="shared" ca="1" si="50"/>
        <v>TSG Saalberg eVFSV Rauen</v>
      </c>
      <c r="AA143" s="13">
        <f t="shared" ca="1" si="49"/>
        <v>1</v>
      </c>
      <c r="AB143" s="13" t="str">
        <f ca="1">IF(AA143&gt;0,Y71&amp;Sprache!$E$111&amp;X71,"")</f>
        <v>3:5</v>
      </c>
      <c r="AC143" s="2"/>
      <c r="AD143" s="143"/>
    </row>
    <row r="144" spans="2:32" x14ac:dyDescent="0.2">
      <c r="Y144" s="67" t="s">
        <v>19</v>
      </c>
      <c r="Z144" s="35" t="str">
        <f t="shared" ca="1" si="50"/>
        <v>SV OberredenburgKickers Rodendorf</v>
      </c>
      <c r="AA144" s="13">
        <f t="shared" ca="1" si="49"/>
        <v>1</v>
      </c>
      <c r="AB144" s="13" t="str">
        <f ca="1">IF(AA144&gt;0,Y72&amp;Sprache!$E$111&amp;X72,"")</f>
        <v>1:2</v>
      </c>
      <c r="AC144" s="2"/>
      <c r="AD144" s="143"/>
    </row>
    <row r="145" spans="25:30" x14ac:dyDescent="0.2">
      <c r="Y145" s="67" t="s">
        <v>25</v>
      </c>
      <c r="Z145" s="35" t="str">
        <f t="shared" ca="1" si="50"/>
        <v>HSV1. FC Nürnberg</v>
      </c>
      <c r="AA145" s="13">
        <f t="shared" ca="1" si="49"/>
        <v>1</v>
      </c>
      <c r="AB145" s="13" t="str">
        <f ca="1">IF(AA145&gt;0,Y73&amp;Sprache!$E$111&amp;X73,"")</f>
        <v>1:3</v>
      </c>
      <c r="AC145" s="2"/>
      <c r="AD145" s="143"/>
    </row>
    <row r="146" spans="25:30" x14ac:dyDescent="0.2">
      <c r="Y146" s="67" t="s">
        <v>26</v>
      </c>
      <c r="Z146" s="35" t="str">
        <f t="shared" ca="1" si="50"/>
        <v>RB LeipzigReal Madrid</v>
      </c>
      <c r="AA146" s="13">
        <f t="shared" ca="1" si="49"/>
        <v>1</v>
      </c>
      <c r="AB146" s="13" t="str">
        <f ca="1">IF(AA146&gt;0,Y74&amp;Sprache!$E$111&amp;X74,"")</f>
        <v>2:4</v>
      </c>
      <c r="AC146" s="2"/>
      <c r="AD146" s="143"/>
    </row>
    <row r="147" spans="25:30" x14ac:dyDescent="0.2">
      <c r="Y147" s="67" t="s">
        <v>27</v>
      </c>
      <c r="Z147" s="35" t="str">
        <f t="shared" ca="1" si="50"/>
        <v>Paris St. GermainBorussia Dortmund</v>
      </c>
      <c r="AA147" s="13">
        <f t="shared" ca="1" si="49"/>
        <v>1</v>
      </c>
      <c r="AB147" s="13" t="str">
        <f ca="1">IF(AA147&gt;0,Y75&amp;Sprache!$E$111&amp;X75,"")</f>
        <v>3:1</v>
      </c>
      <c r="AC147" s="2"/>
      <c r="AD147" s="143"/>
    </row>
    <row r="148" spans="25:30" x14ac:dyDescent="0.2">
      <c r="Y148" s="67" t="s">
        <v>28</v>
      </c>
      <c r="Z148" s="35" t="str">
        <f t="shared" ca="1" si="50"/>
        <v/>
      </c>
      <c r="AA148" s="13">
        <f t="shared" ca="1" si="49"/>
        <v>0</v>
      </c>
      <c r="AB148" s="13" t="str">
        <f ca="1">IF(AA148&gt;0,Y76&amp;Sprache!$E$111&amp;X76,"")</f>
        <v/>
      </c>
      <c r="AC148" s="2"/>
      <c r="AD148" s="143"/>
    </row>
    <row r="149" spans="25:30" x14ac:dyDescent="0.2">
      <c r="Y149" s="67" t="s">
        <v>29</v>
      </c>
      <c r="Z149" s="35" t="str">
        <f t="shared" ca="1" si="50"/>
        <v>FSV RauenMaibach 1822 eV</v>
      </c>
      <c r="AA149" s="13">
        <f t="shared" ca="1" si="49"/>
        <v>1</v>
      </c>
      <c r="AB149" s="13" t="str">
        <f ca="1">IF(AA149&gt;0,Y77&amp;Sprache!$E$111&amp;X77,"")</f>
        <v>5:1</v>
      </c>
      <c r="AC149" s="2"/>
      <c r="AD149" s="143"/>
    </row>
    <row r="150" spans="25:30" x14ac:dyDescent="0.2">
      <c r="Y150" s="67" t="s">
        <v>30</v>
      </c>
      <c r="Z150" s="35" t="str">
        <f t="shared" ca="1" si="50"/>
        <v>Kickers RodendorfVFB Essenheim</v>
      </c>
      <c r="AA150" s="13">
        <f t="shared" ca="1" si="49"/>
        <v>1</v>
      </c>
      <c r="AB150" s="13" t="str">
        <f ca="1">IF(AA150&gt;0,Y78&amp;Sprache!$E$111&amp;X78,"")</f>
        <v>4:4</v>
      </c>
      <c r="AC150" s="2"/>
      <c r="AD150" s="143"/>
    </row>
    <row r="151" spans="25:30" x14ac:dyDescent="0.2">
      <c r="Y151" s="67" t="s">
        <v>31</v>
      </c>
      <c r="Z151" s="35" t="str">
        <f t="shared" ca="1" si="50"/>
        <v>1. FC Nürnberg1. FC Riedwald</v>
      </c>
      <c r="AA151" s="13">
        <f t="shared" ca="1" si="49"/>
        <v>1</v>
      </c>
      <c r="AB151" s="13" t="str">
        <f ca="1">IF(AA151&gt;0,Y79&amp;Sprache!$E$111&amp;X79,"")</f>
        <v>7:0</v>
      </c>
      <c r="AC151" s="2"/>
      <c r="AD151" s="143"/>
    </row>
    <row r="152" spans="25:30" x14ac:dyDescent="0.2">
      <c r="Y152" s="67" t="s">
        <v>32</v>
      </c>
      <c r="Z152" s="35" t="str">
        <f t="shared" ca="1" si="50"/>
        <v>Real MadridEintracht Frankfurt</v>
      </c>
      <c r="AA152" s="13">
        <f t="shared" ca="1" si="49"/>
        <v>1</v>
      </c>
      <c r="AB152" s="13" t="str">
        <f ca="1">IF(AA152&gt;0,Y80&amp;Sprache!$E$111&amp;X80,"")</f>
        <v>8:2</v>
      </c>
      <c r="AC152" s="2"/>
      <c r="AD152" s="143"/>
    </row>
    <row r="153" spans="25:30" x14ac:dyDescent="0.2">
      <c r="Y153" s="67" t="s">
        <v>33</v>
      </c>
      <c r="Z153" s="35" t="str">
        <f t="shared" ca="1" si="50"/>
        <v>Borussia DortmundFC Barcelona</v>
      </c>
      <c r="AA153" s="13">
        <f t="shared" ca="1" si="49"/>
        <v>1</v>
      </c>
      <c r="AB153" s="13" t="str">
        <f ca="1">IF(AA153&gt;0,Y81&amp;Sprache!$E$111&amp;X81,"")</f>
        <v>0:4</v>
      </c>
      <c r="AC153" s="2"/>
      <c r="AD153" s="143"/>
    </row>
    <row r="154" spans="25:30" x14ac:dyDescent="0.2">
      <c r="Y154" s="67" t="s">
        <v>34</v>
      </c>
      <c r="Z154" s="35" t="str">
        <f t="shared" ca="1" si="50"/>
        <v/>
      </c>
      <c r="AA154" s="13">
        <f t="shared" ca="1" si="49"/>
        <v>0</v>
      </c>
      <c r="AB154" s="13" t="str">
        <f ca="1">IF(AA154&gt;0,Y82&amp;Sprache!$E$111&amp;X82,"")</f>
        <v/>
      </c>
      <c r="AC154" s="2"/>
      <c r="AD154" s="143"/>
    </row>
    <row r="155" spans="25:30" x14ac:dyDescent="0.2">
      <c r="Y155" s="67" t="s">
        <v>35</v>
      </c>
      <c r="Z155" s="35" t="str">
        <f t="shared" ca="1" si="50"/>
        <v>SSV WildbachTSG Saalberg eV</v>
      </c>
      <c r="AA155" s="13">
        <f t="shared" ca="1" si="49"/>
        <v>1</v>
      </c>
      <c r="AB155" s="13" t="str">
        <f ca="1">IF(AA155&gt;0,Y83&amp;Sprache!$E$111&amp;X83,"")</f>
        <v>1:4</v>
      </c>
      <c r="AC155" s="2"/>
      <c r="AD155" s="143"/>
    </row>
    <row r="156" spans="25:30" x14ac:dyDescent="0.2">
      <c r="Y156" s="67" t="s">
        <v>36</v>
      </c>
      <c r="Z156" s="35" t="str">
        <f t="shared" ca="1" si="50"/>
        <v>FC GrönlingenSV Oberredenburg</v>
      </c>
      <c r="AA156" s="13">
        <f t="shared" ca="1" si="49"/>
        <v>1</v>
      </c>
      <c r="AB156" s="13" t="str">
        <f ca="1">IF(AA156&gt;0,Y84&amp;Sprache!$E$111&amp;X84,"")</f>
        <v>2:3</v>
      </c>
      <c r="AC156" s="2"/>
      <c r="AD156" s="143"/>
    </row>
    <row r="157" spans="25:30" x14ac:dyDescent="0.2">
      <c r="Y157" s="67" t="s">
        <v>37</v>
      </c>
      <c r="Z157" s="35" t="str">
        <f t="shared" ca="1" si="50"/>
        <v>Mainz 05HSV</v>
      </c>
      <c r="AA157" s="13">
        <f t="shared" ca="1" si="49"/>
        <v>1</v>
      </c>
      <c r="AB157" s="13" t="str">
        <f ca="1">IF(AA157&gt;0,Y85&amp;Sprache!$E$111&amp;X85,"")</f>
        <v>3:0</v>
      </c>
      <c r="AC157" s="2"/>
      <c r="AD157" s="143"/>
    </row>
    <row r="158" spans="25:30" x14ac:dyDescent="0.2">
      <c r="Y158" s="67" t="s">
        <v>38</v>
      </c>
      <c r="Z158" s="35" t="str">
        <f t="shared" ca="1" si="50"/>
        <v>Inter MailandRB Leipzig</v>
      </c>
      <c r="AA158" s="13">
        <f t="shared" ca="1" si="49"/>
        <v>1</v>
      </c>
      <c r="AB158" s="13" t="str">
        <f ca="1">IF(AA158&gt;0,Y86&amp;Sprache!$E$111&amp;X86,"")</f>
        <v>1:1</v>
      </c>
      <c r="AC158" s="2"/>
      <c r="AD158" s="143"/>
    </row>
    <row r="159" spans="25:30" x14ac:dyDescent="0.2">
      <c r="Y159" s="67" t="s">
        <v>39</v>
      </c>
      <c r="Z159" s="35" t="str">
        <f t="shared" ca="1" si="50"/>
        <v>Manchester CityParis St. Germain</v>
      </c>
      <c r="AA159" s="13">
        <f t="shared" ca="1" si="49"/>
        <v>1</v>
      </c>
      <c r="AB159" s="13" t="str">
        <f ca="1">IF(AA159&gt;0,Y87&amp;Sprache!$E$111&amp;X87,"")</f>
        <v>2:3</v>
      </c>
      <c r="AC159" s="2"/>
      <c r="AD159" s="143"/>
    </row>
    <row r="160" spans="25:30" x14ac:dyDescent="0.2">
      <c r="Y160" s="67" t="s">
        <v>40</v>
      </c>
      <c r="Z160" s="35" t="str">
        <f t="shared" ca="1" si="50"/>
        <v/>
      </c>
      <c r="AA160" s="13">
        <f t="shared" ca="1" si="49"/>
        <v>0</v>
      </c>
      <c r="AB160" s="13" t="str">
        <f ca="1">IF(AA160&gt;0,Y88&amp;Sprache!$E$111&amp;X88,"")</f>
        <v/>
      </c>
      <c r="AC160" s="2"/>
      <c r="AD160" s="143"/>
    </row>
    <row r="161" spans="25:30" x14ac:dyDescent="0.2">
      <c r="Y161" s="67" t="s">
        <v>41</v>
      </c>
      <c r="Z161" s="35" t="str">
        <f t="shared" ca="1" si="50"/>
        <v>Maibach 1822 eVTSG Saalberg eV</v>
      </c>
      <c r="AA161" s="13">
        <f t="shared" ca="1" si="49"/>
        <v>1</v>
      </c>
      <c r="AB161" s="13" t="str">
        <f ca="1">IF(AA161&gt;0,Y89&amp;Sprache!$E$111&amp;X89,"")</f>
        <v>0:2</v>
      </c>
      <c r="AC161" s="2"/>
      <c r="AD161" s="143"/>
    </row>
    <row r="162" spans="25:30" x14ac:dyDescent="0.2">
      <c r="Y162" s="67" t="s">
        <v>42</v>
      </c>
      <c r="Z162" s="35" t="str">
        <f t="shared" ca="1" si="50"/>
        <v>VFB EssenheimSV Oberredenburg</v>
      </c>
      <c r="AA162" s="13">
        <f t="shared" ca="1" si="49"/>
        <v>1</v>
      </c>
      <c r="AB162" s="13" t="str">
        <f ca="1">IF(AA162&gt;0,Y90&amp;Sprache!$E$111&amp;X90,"")</f>
        <v>0:1</v>
      </c>
      <c r="AC162" s="2"/>
      <c r="AD162" s="143"/>
    </row>
    <row r="163" spans="25:30" x14ac:dyDescent="0.2">
      <c r="Y163" s="67" t="s">
        <v>43</v>
      </c>
      <c r="Z163" s="35" t="str">
        <f t="shared" ca="1" si="50"/>
        <v>1. FC RiedwaldHSV</v>
      </c>
      <c r="AA163" s="13">
        <f t="shared" ca="1" si="49"/>
        <v>1</v>
      </c>
      <c r="AB163" s="13" t="str">
        <f ca="1">IF(AA163&gt;0,Y91&amp;Sprache!$E$111&amp;X91,"")</f>
        <v>0:2</v>
      </c>
      <c r="AC163" s="2"/>
      <c r="AD163" s="143"/>
    </row>
    <row r="164" spans="25:30" x14ac:dyDescent="0.2">
      <c r="Y164" s="67" t="s">
        <v>44</v>
      </c>
      <c r="Z164" s="35" t="str">
        <f t="shared" ca="1" si="50"/>
        <v>Eintracht FrankfurtRB Leipzig</v>
      </c>
      <c r="AA164" s="13">
        <f t="shared" ca="1" si="49"/>
        <v>1</v>
      </c>
      <c r="AB164" s="13" t="str">
        <f ca="1">IF(AA164&gt;0,Y92&amp;Sprache!$E$111&amp;X92,"")</f>
        <v>1:1</v>
      </c>
      <c r="AC164" s="2"/>
      <c r="AD164" s="143"/>
    </row>
    <row r="165" spans="25:30" x14ac:dyDescent="0.2">
      <c r="Y165" s="67" t="s">
        <v>45</v>
      </c>
      <c r="Z165" s="35" t="str">
        <f t="shared" ca="1" si="50"/>
        <v>FC BarcelonaParis St. Germain</v>
      </c>
      <c r="AA165" s="13">
        <f t="shared" ca="1" si="49"/>
        <v>1</v>
      </c>
      <c r="AB165" s="13" t="str">
        <f ca="1">IF(AA165&gt;0,Y93&amp;Sprache!$E$111&amp;X93,"")</f>
        <v>2:1</v>
      </c>
      <c r="AC165" s="2"/>
      <c r="AD165" s="143"/>
    </row>
    <row r="166" spans="25:30" x14ac:dyDescent="0.2">
      <c r="Y166" s="67" t="s">
        <v>46</v>
      </c>
      <c r="Z166" s="35" t="str">
        <f t="shared" ca="1" si="50"/>
        <v/>
      </c>
      <c r="AA166" s="13">
        <f t="shared" ca="1" si="49"/>
        <v>0</v>
      </c>
      <c r="AB166" s="13" t="str">
        <f ca="1">IF(AA166&gt;0,Y94&amp;Sprache!$E$111&amp;X94,"")</f>
        <v/>
      </c>
      <c r="AC166" s="2"/>
      <c r="AD166" s="143"/>
    </row>
    <row r="167" spans="25:30" x14ac:dyDescent="0.2">
      <c r="Y167" s="67" t="s">
        <v>47</v>
      </c>
      <c r="Z167" s="35" t="str">
        <f t="shared" ca="1" si="50"/>
        <v>FSV RauenSSV Wildbach</v>
      </c>
      <c r="AA167" s="13">
        <f t="shared" ca="1" si="49"/>
        <v>1</v>
      </c>
      <c r="AB167" s="13" t="str">
        <f ca="1">IF(AA167&gt;0,Y95&amp;Sprache!$E$111&amp;X95,"")</f>
        <v>1:3</v>
      </c>
      <c r="AC167" s="2"/>
      <c r="AD167" s="143"/>
    </row>
    <row r="168" spans="25:30" x14ac:dyDescent="0.2">
      <c r="Y168" s="67" t="s">
        <v>48</v>
      </c>
      <c r="Z168" s="35" t="str">
        <f t="shared" ca="1" si="50"/>
        <v>Kickers RodendorfFC Grönlingen</v>
      </c>
      <c r="AA168" s="13">
        <f t="shared" ca="1" si="49"/>
        <v>1</v>
      </c>
      <c r="AB168" s="13" t="str">
        <f ca="1">IF(AA168&gt;0,Y96&amp;Sprache!$E$111&amp;X96,"")</f>
        <v>3:4</v>
      </c>
      <c r="AC168" s="2"/>
      <c r="AD168" s="143"/>
    </row>
    <row r="169" spans="25:30" x14ac:dyDescent="0.2">
      <c r="Y169" s="67" t="s">
        <v>49</v>
      </c>
      <c r="Z169" s="35" t="str">
        <f t="shared" ca="1" si="50"/>
        <v>1. FC NürnbergMainz 05</v>
      </c>
      <c r="AA169" s="13">
        <f t="shared" ca="1" si="49"/>
        <v>1</v>
      </c>
      <c r="AB169" s="13" t="str">
        <f ca="1">IF(AA169&gt;0,Y97&amp;Sprache!$E$111&amp;X97,"")</f>
        <v>1:1</v>
      </c>
      <c r="AC169" s="2"/>
      <c r="AD169" s="143"/>
    </row>
    <row r="170" spans="25:30" x14ac:dyDescent="0.2">
      <c r="Y170" s="67" t="s">
        <v>50</v>
      </c>
      <c r="Z170" s="35" t="str">
        <f t="shared" ca="1" si="50"/>
        <v>Real MadridInter Mailand</v>
      </c>
      <c r="AA170" s="13">
        <f t="shared" ca="1" si="49"/>
        <v>1</v>
      </c>
      <c r="AB170" s="13" t="str">
        <f ca="1">IF(AA170&gt;0,Y98&amp;Sprache!$E$111&amp;X98,"")</f>
        <v>4:1</v>
      </c>
      <c r="AC170" s="2"/>
      <c r="AD170" s="143"/>
    </row>
    <row r="171" spans="25:30" x14ac:dyDescent="0.2">
      <c r="Y171" s="67" t="s">
        <v>51</v>
      </c>
      <c r="Z171" s="35" t="str">
        <f t="shared" ca="1" si="50"/>
        <v>Borussia DortmundManchester City</v>
      </c>
      <c r="AA171" s="13">
        <f t="shared" ca="1" si="49"/>
        <v>1</v>
      </c>
      <c r="AB171" s="13" t="str">
        <f ca="1">IF(AA171&gt;0,Y99&amp;Sprache!$E$111&amp;X99,"")</f>
        <v>2:2</v>
      </c>
      <c r="AC171" s="2"/>
      <c r="AD171" s="143"/>
    </row>
    <row r="172" spans="25:30" x14ac:dyDescent="0.2">
      <c r="Y172" s="67" t="s">
        <v>60</v>
      </c>
      <c r="Z172" s="35" t="str">
        <f t="shared" si="50"/>
        <v/>
      </c>
      <c r="AA172" s="13">
        <f t="shared" si="49"/>
        <v>0</v>
      </c>
      <c r="AB172" s="13" t="str">
        <f>IF(AA172&gt;0,Y100&amp;Sprache!$E$111&amp;X100,"")</f>
        <v/>
      </c>
      <c r="AC172" s="2"/>
      <c r="AD172" s="143"/>
    </row>
    <row r="173" spans="25:30" x14ac:dyDescent="0.2">
      <c r="Y173" s="67" t="s">
        <v>61</v>
      </c>
      <c r="Z173" s="35" t="str">
        <f t="shared" si="50"/>
        <v/>
      </c>
      <c r="AA173" s="13">
        <f t="shared" si="49"/>
        <v>0</v>
      </c>
      <c r="AB173" s="13" t="str">
        <f>IF(AA173&gt;0,Y101&amp;Sprache!$E$111&amp;X101,"")</f>
        <v/>
      </c>
      <c r="AC173" s="2"/>
      <c r="AD173" s="143"/>
    </row>
    <row r="174" spans="25:30" x14ac:dyDescent="0.2">
      <c r="Y174" s="67" t="s">
        <v>62</v>
      </c>
      <c r="Z174" s="35" t="str">
        <f t="shared" si="50"/>
        <v/>
      </c>
      <c r="AA174" s="13">
        <f t="shared" si="49"/>
        <v>0</v>
      </c>
      <c r="AB174" s="13" t="str">
        <f>IF(AA174&gt;0,Y102&amp;Sprache!$E$111&amp;X102,"")</f>
        <v/>
      </c>
      <c r="AC174" s="2"/>
      <c r="AD174" s="143"/>
    </row>
    <row r="175" spans="25:30" x14ac:dyDescent="0.2">
      <c r="Y175" s="67" t="s">
        <v>63</v>
      </c>
      <c r="Z175" s="35" t="str">
        <f t="shared" si="50"/>
        <v/>
      </c>
      <c r="AA175" s="13">
        <f t="shared" si="49"/>
        <v>0</v>
      </c>
      <c r="AB175" s="13" t="str">
        <f>IF(AA175&gt;0,Y103&amp;Sprache!$E$111&amp;X103,"")</f>
        <v/>
      </c>
      <c r="AC175" s="2"/>
      <c r="AD175" s="143"/>
    </row>
    <row r="176" spans="25:30" x14ac:dyDescent="0.2">
      <c r="Y176" s="67" t="s">
        <v>64</v>
      </c>
      <c r="Z176" s="35" t="str">
        <f t="shared" si="50"/>
        <v/>
      </c>
      <c r="AA176" s="13">
        <f t="shared" si="49"/>
        <v>0</v>
      </c>
      <c r="AB176" s="13" t="str">
        <f>IF(AA176&gt;0,Y104&amp;Sprache!$E$111&amp;X104,"")</f>
        <v/>
      </c>
      <c r="AC176" s="2"/>
      <c r="AD176" s="143"/>
    </row>
    <row r="177" spans="25:30" x14ac:dyDescent="0.2">
      <c r="Y177" s="67" t="s">
        <v>65</v>
      </c>
      <c r="Z177" s="35" t="str">
        <f t="shared" si="50"/>
        <v/>
      </c>
      <c r="AA177" s="13">
        <f t="shared" si="49"/>
        <v>0</v>
      </c>
      <c r="AB177" s="13" t="str">
        <f>IF(AA177&gt;0,Y105&amp;Sprache!$E$111&amp;X105,"")</f>
        <v/>
      </c>
      <c r="AC177" s="2"/>
      <c r="AD177" s="143"/>
    </row>
    <row r="178" spans="25:30" x14ac:dyDescent="0.2">
      <c r="Y178" s="67" t="s">
        <v>66</v>
      </c>
      <c r="Z178" s="35" t="str">
        <f t="shared" si="50"/>
        <v/>
      </c>
      <c r="AA178" s="13">
        <f t="shared" si="49"/>
        <v>0</v>
      </c>
      <c r="AB178" s="13" t="str">
        <f>IF(AA178&gt;0,Y106&amp;Sprache!$E$111&amp;X106,"")</f>
        <v/>
      </c>
      <c r="AC178" s="2"/>
      <c r="AD178" s="143"/>
    </row>
    <row r="179" spans="25:30" x14ac:dyDescent="0.2">
      <c r="Y179" s="67" t="s">
        <v>67</v>
      </c>
      <c r="Z179" s="35" t="str">
        <f t="shared" si="50"/>
        <v/>
      </c>
      <c r="AA179" s="13">
        <f t="shared" si="49"/>
        <v>0</v>
      </c>
      <c r="AB179" s="13" t="str">
        <f>IF(AA179&gt;0,Y107&amp;Sprache!$E$111&amp;X107,"")</f>
        <v/>
      </c>
      <c r="AC179" s="2"/>
      <c r="AD179" s="143"/>
    </row>
    <row r="180" spans="25:30" x14ac:dyDescent="0.2">
      <c r="Y180" s="67" t="s">
        <v>68</v>
      </c>
      <c r="Z180" s="35" t="str">
        <f t="shared" si="50"/>
        <v/>
      </c>
      <c r="AA180" s="13">
        <f t="shared" si="49"/>
        <v>0</v>
      </c>
      <c r="AB180" s="13" t="str">
        <f>IF(AA180&gt;0,Y108&amp;Sprache!$E$111&amp;X108,"")</f>
        <v/>
      </c>
      <c r="AC180" s="2"/>
      <c r="AD180" s="143"/>
    </row>
    <row r="181" spans="25:30" x14ac:dyDescent="0.2">
      <c r="Y181" s="67" t="s">
        <v>69</v>
      </c>
      <c r="Z181" s="35" t="str">
        <f t="shared" si="50"/>
        <v/>
      </c>
      <c r="AA181" s="13">
        <f t="shared" si="49"/>
        <v>0</v>
      </c>
      <c r="AB181" s="13" t="str">
        <f>IF(AA181&gt;0,Y109&amp;Sprache!$E$111&amp;X109,"")</f>
        <v/>
      </c>
      <c r="AC181" s="2"/>
      <c r="AD181" s="143"/>
    </row>
    <row r="182" spans="25:30" x14ac:dyDescent="0.2">
      <c r="Y182" s="67" t="s">
        <v>70</v>
      </c>
      <c r="Z182" s="35" t="str">
        <f t="shared" si="50"/>
        <v/>
      </c>
      <c r="AA182" s="13">
        <f t="shared" si="49"/>
        <v>0</v>
      </c>
      <c r="AB182" s="13" t="str">
        <f>IF(AA182&gt;0,Y110&amp;Sprache!$E$111&amp;X110,"")</f>
        <v/>
      </c>
      <c r="AC182" s="2"/>
      <c r="AD182" s="143"/>
    </row>
    <row r="183" spans="25:30" x14ac:dyDescent="0.2">
      <c r="Y183" s="67" t="s">
        <v>71</v>
      </c>
      <c r="Z183" s="35" t="str">
        <f t="shared" si="50"/>
        <v/>
      </c>
      <c r="AA183" s="13">
        <f t="shared" si="49"/>
        <v>0</v>
      </c>
      <c r="AB183" s="13" t="str">
        <f>IF(AA183&gt;0,Y111&amp;Sprache!$E$111&amp;X111,"")</f>
        <v/>
      </c>
      <c r="AC183" s="2"/>
      <c r="AD183" s="143"/>
    </row>
    <row r="184" spans="25:30" x14ac:dyDescent="0.2">
      <c r="Y184" s="67" t="s">
        <v>72</v>
      </c>
      <c r="Z184" s="35" t="str">
        <f t="shared" si="50"/>
        <v/>
      </c>
      <c r="AA184" s="13">
        <f t="shared" si="49"/>
        <v>0</v>
      </c>
      <c r="AB184" s="13" t="str">
        <f>IF(AA184&gt;0,Y112&amp;Sprache!$E$111&amp;X112,"")</f>
        <v/>
      </c>
      <c r="AC184" s="2"/>
      <c r="AD184" s="143"/>
    </row>
    <row r="185" spans="25:30" x14ac:dyDescent="0.2">
      <c r="Y185" s="67" t="s">
        <v>73</v>
      </c>
      <c r="Z185" s="35" t="str">
        <f t="shared" si="50"/>
        <v/>
      </c>
      <c r="AA185" s="13">
        <f t="shared" si="49"/>
        <v>0</v>
      </c>
      <c r="AB185" s="13" t="str">
        <f>IF(AA185&gt;0,Y113&amp;Sprache!$E$111&amp;X113,"")</f>
        <v/>
      </c>
      <c r="AC185" s="2"/>
      <c r="AD185" s="143"/>
    </row>
    <row r="186" spans="25:30" x14ac:dyDescent="0.2">
      <c r="Y186" s="67" t="s">
        <v>74</v>
      </c>
      <c r="Z186" s="35" t="str">
        <f t="shared" si="50"/>
        <v/>
      </c>
      <c r="AA186" s="13">
        <f t="shared" si="49"/>
        <v>0</v>
      </c>
      <c r="AB186" s="13" t="str">
        <f>IF(AA186&gt;0,Y114&amp;Sprache!$E$111&amp;X114,"")</f>
        <v/>
      </c>
      <c r="AC186" s="2"/>
      <c r="AD186" s="143"/>
    </row>
    <row r="187" spans="25:30" x14ac:dyDescent="0.2">
      <c r="Y187" s="67" t="s">
        <v>75</v>
      </c>
      <c r="Z187" s="35" t="str">
        <f t="shared" si="50"/>
        <v/>
      </c>
      <c r="AA187" s="13">
        <f t="shared" si="49"/>
        <v>0</v>
      </c>
      <c r="AB187" s="13" t="str">
        <f>IF(AA187&gt;0,Y115&amp;Sprache!$E$111&amp;X115,"")</f>
        <v/>
      </c>
      <c r="AC187" s="2"/>
      <c r="AD187" s="143"/>
    </row>
    <row r="188" spans="25:30" x14ac:dyDescent="0.2">
      <c r="Y188" s="67" t="s">
        <v>76</v>
      </c>
      <c r="Z188" s="35" t="str">
        <f t="shared" si="50"/>
        <v/>
      </c>
      <c r="AA188" s="13">
        <f t="shared" si="49"/>
        <v>0</v>
      </c>
      <c r="AB188" s="13" t="str">
        <f>IF(AA188&gt;0,Y116&amp;Sprache!$E$111&amp;X116,"")</f>
        <v/>
      </c>
      <c r="AC188" s="2"/>
      <c r="AD188" s="143"/>
    </row>
    <row r="189" spans="25:30" x14ac:dyDescent="0.2">
      <c r="Y189" s="67" t="s">
        <v>77</v>
      </c>
      <c r="Z189" s="35" t="str">
        <f t="shared" si="50"/>
        <v/>
      </c>
      <c r="AA189" s="13">
        <f t="shared" si="49"/>
        <v>0</v>
      </c>
      <c r="AB189" s="13" t="str">
        <f>IF(AA189&gt;0,Y117&amp;Sprache!$E$111&amp;X117,"")</f>
        <v/>
      </c>
      <c r="AC189" s="2"/>
      <c r="AD189" s="143"/>
    </row>
    <row r="190" spans="25:30" x14ac:dyDescent="0.2">
      <c r="Y190" s="67" t="s">
        <v>78</v>
      </c>
      <c r="Z190" s="35" t="str">
        <f t="shared" si="50"/>
        <v/>
      </c>
      <c r="AA190" s="13">
        <f t="shared" si="49"/>
        <v>0</v>
      </c>
      <c r="AB190" s="13" t="str">
        <f>IF(AA190&gt;0,Y118&amp;Sprache!$E$111&amp;X118,"")</f>
        <v/>
      </c>
      <c r="AC190" s="2"/>
      <c r="AD190" s="143"/>
    </row>
    <row r="191" spans="25:30" x14ac:dyDescent="0.2">
      <c r="Y191" s="67" t="s">
        <v>79</v>
      </c>
      <c r="Z191" s="35" t="str">
        <f t="shared" si="50"/>
        <v/>
      </c>
      <c r="AA191" s="13">
        <f t="shared" si="49"/>
        <v>0</v>
      </c>
      <c r="AB191" s="13" t="str">
        <f>IF(AA191&gt;0,Y119&amp;Sprache!$E$111&amp;X119,"")</f>
        <v/>
      </c>
      <c r="AC191" s="2"/>
      <c r="AD191" s="143"/>
    </row>
    <row r="192" spans="25:30" x14ac:dyDescent="0.2">
      <c r="Y192" s="67" t="s">
        <v>80</v>
      </c>
      <c r="Z192" s="35" t="str">
        <f t="shared" si="50"/>
        <v/>
      </c>
      <c r="AA192" s="13">
        <f t="shared" si="49"/>
        <v>0</v>
      </c>
      <c r="AB192" s="13" t="str">
        <f>IF(AA192&gt;0,Y120&amp;Sprache!$E$111&amp;X120,"")</f>
        <v/>
      </c>
      <c r="AC192" s="2"/>
      <c r="AD192" s="143"/>
    </row>
    <row r="193" spans="25:30" x14ac:dyDescent="0.2">
      <c r="Y193" s="67" t="s">
        <v>81</v>
      </c>
      <c r="Z193" s="35" t="str">
        <f t="shared" si="50"/>
        <v/>
      </c>
      <c r="AA193" s="13">
        <f t="shared" si="49"/>
        <v>0</v>
      </c>
      <c r="AB193" s="13" t="str">
        <f>IF(AA193&gt;0,Y121&amp;Sprache!$E$111&amp;X121,"")</f>
        <v/>
      </c>
      <c r="AC193" s="2"/>
      <c r="AD193" s="143"/>
    </row>
    <row r="194" spans="25:30" x14ac:dyDescent="0.2">
      <c r="Y194" s="67" t="s">
        <v>82</v>
      </c>
      <c r="Z194" s="35" t="str">
        <f t="shared" si="50"/>
        <v/>
      </c>
      <c r="AA194" s="13">
        <f t="shared" si="49"/>
        <v>0</v>
      </c>
      <c r="AB194" s="13" t="str">
        <f>IF(AA194&gt;0,Y122&amp;Sprache!$E$111&amp;X122,"")</f>
        <v/>
      </c>
      <c r="AC194" s="2"/>
      <c r="AD194" s="143"/>
    </row>
    <row r="195" spans="25:30" x14ac:dyDescent="0.2">
      <c r="Y195" s="67" t="s">
        <v>83</v>
      </c>
      <c r="Z195" s="35" t="str">
        <f t="shared" si="50"/>
        <v/>
      </c>
      <c r="AA195" s="13">
        <f t="shared" si="49"/>
        <v>0</v>
      </c>
      <c r="AB195" s="13" t="str">
        <f>IF(AA195&gt;0,Y123&amp;Sprache!$E$111&amp;X123,"")</f>
        <v/>
      </c>
      <c r="AC195" s="2"/>
      <c r="AD195" s="143"/>
    </row>
    <row r="196" spans="25:30" x14ac:dyDescent="0.2">
      <c r="Y196" s="67" t="s">
        <v>84</v>
      </c>
      <c r="Z196" s="35" t="str">
        <f t="shared" si="50"/>
        <v/>
      </c>
      <c r="AA196" s="13">
        <f t="shared" si="49"/>
        <v>0</v>
      </c>
      <c r="AB196" s="13" t="str">
        <f>IF(AA196&gt;0,Y124&amp;Sprache!$E$111&amp;X124,"")</f>
        <v/>
      </c>
      <c r="AC196" s="2"/>
      <c r="AD196" s="143"/>
    </row>
    <row r="197" spans="25:30" x14ac:dyDescent="0.2">
      <c r="Y197" s="67" t="s">
        <v>85</v>
      </c>
      <c r="Z197" s="35" t="str">
        <f t="shared" si="50"/>
        <v/>
      </c>
      <c r="AA197" s="13">
        <f t="shared" si="49"/>
        <v>0</v>
      </c>
      <c r="AB197" s="13" t="str">
        <f>IF(AA197&gt;0,Y125&amp;Sprache!$E$111&amp;X125,"")</f>
        <v/>
      </c>
      <c r="AC197" s="2"/>
      <c r="AD197" s="143"/>
    </row>
    <row r="198" spans="25:30" x14ac:dyDescent="0.2">
      <c r="Y198" s="67" t="s">
        <v>86</v>
      </c>
      <c r="Z198" s="35" t="str">
        <f t="shared" si="50"/>
        <v/>
      </c>
      <c r="AA198" s="13">
        <f t="shared" si="49"/>
        <v>0</v>
      </c>
      <c r="AB198" s="13" t="str">
        <f>IF(AA198&gt;0,Y126&amp;Sprache!$E$111&amp;X126,"")</f>
        <v/>
      </c>
      <c r="AC198" s="2"/>
      <c r="AD198" s="143"/>
    </row>
    <row r="199" spans="25:30" x14ac:dyDescent="0.2">
      <c r="Y199" s="67" t="s">
        <v>87</v>
      </c>
      <c r="Z199" s="35" t="str">
        <f t="shared" si="50"/>
        <v/>
      </c>
      <c r="AA199" s="13">
        <f t="shared" si="49"/>
        <v>0</v>
      </c>
      <c r="AB199" s="13" t="str">
        <f>IF(AA199&gt;0,Y127&amp;Sprache!$E$111&amp;X127,"")</f>
        <v/>
      </c>
      <c r="AC199" s="2"/>
      <c r="AD199" s="143"/>
    </row>
    <row r="200" spans="25:30" x14ac:dyDescent="0.2">
      <c r="Y200" s="67" t="s">
        <v>88</v>
      </c>
      <c r="Z200" s="35" t="str">
        <f t="shared" si="50"/>
        <v/>
      </c>
      <c r="AA200" s="13">
        <f t="shared" si="49"/>
        <v>0</v>
      </c>
      <c r="AB200" s="13" t="str">
        <f>IF(AA200&gt;0,Y128&amp;Sprache!$E$111&amp;X128,"")</f>
        <v/>
      </c>
      <c r="AC200" s="2"/>
      <c r="AD200" s="143"/>
    </row>
    <row r="201" spans="25:30" x14ac:dyDescent="0.2">
      <c r="Y201" s="67" t="s">
        <v>89</v>
      </c>
      <c r="Z201" s="35" t="str">
        <f t="shared" si="50"/>
        <v/>
      </c>
      <c r="AA201" s="13">
        <f t="shared" ref="AA201:AA207" si="51">AA129</f>
        <v>0</v>
      </c>
      <c r="AB201" s="13" t="str">
        <f>IF(AA201&gt;0,Y129&amp;Sprache!$E$111&amp;X129,"")</f>
        <v/>
      </c>
      <c r="AC201" s="2"/>
      <c r="AD201" s="143"/>
    </row>
    <row r="202" spans="25:30" x14ac:dyDescent="0.2">
      <c r="Y202" s="67" t="s">
        <v>90</v>
      </c>
      <c r="Z202" s="35" t="str">
        <f t="shared" ref="Z202:Z206" si="52">W130&amp;V130</f>
        <v/>
      </c>
      <c r="AA202" s="13">
        <f t="shared" si="51"/>
        <v>0</v>
      </c>
      <c r="AB202" s="13" t="str">
        <f>IF(AA202&gt;0,Y130&amp;Sprache!$E$111&amp;X130,"")</f>
        <v/>
      </c>
      <c r="AC202" s="2"/>
      <c r="AD202" s="143"/>
    </row>
    <row r="203" spans="25:30" x14ac:dyDescent="0.2">
      <c r="Y203" s="67" t="s">
        <v>91</v>
      </c>
      <c r="Z203" s="35" t="str">
        <f t="shared" si="52"/>
        <v/>
      </c>
      <c r="AA203" s="13">
        <f t="shared" si="51"/>
        <v>0</v>
      </c>
      <c r="AB203" s="13" t="str">
        <f>IF(AA203&gt;0,Y131&amp;Sprache!$E$111&amp;X131,"")</f>
        <v/>
      </c>
      <c r="AC203" s="2"/>
      <c r="AD203" s="143"/>
    </row>
    <row r="204" spans="25:30" x14ac:dyDescent="0.2">
      <c r="Y204" s="67" t="s">
        <v>92</v>
      </c>
      <c r="Z204" s="35" t="str">
        <f t="shared" si="52"/>
        <v/>
      </c>
      <c r="AA204" s="13">
        <f t="shared" si="51"/>
        <v>0</v>
      </c>
      <c r="AB204" s="13" t="str">
        <f>IF(AA204&gt;0,Y132&amp;Sprache!$E$111&amp;X132,"")</f>
        <v/>
      </c>
      <c r="AC204" s="2"/>
      <c r="AD204" s="143"/>
    </row>
    <row r="205" spans="25:30" x14ac:dyDescent="0.2">
      <c r="Y205" s="67" t="s">
        <v>93</v>
      </c>
      <c r="Z205" s="35" t="str">
        <f t="shared" si="52"/>
        <v/>
      </c>
      <c r="AA205" s="13">
        <f t="shared" si="51"/>
        <v>0</v>
      </c>
      <c r="AB205" s="13" t="str">
        <f>IF(AA205&gt;0,Y133&amp;Sprache!$E$111&amp;X133,"")</f>
        <v/>
      </c>
      <c r="AC205" s="2"/>
      <c r="AD205" s="143"/>
    </row>
    <row r="206" spans="25:30" x14ac:dyDescent="0.2">
      <c r="Y206" s="67" t="s">
        <v>94</v>
      </c>
      <c r="Z206" s="35" t="str">
        <f t="shared" si="52"/>
        <v/>
      </c>
      <c r="AA206" s="13">
        <f t="shared" si="51"/>
        <v>0</v>
      </c>
      <c r="AB206" s="13" t="str">
        <f>IF(AA206&gt;0,Y134&amp;Sprache!$E$111&amp;X134,"")</f>
        <v/>
      </c>
      <c r="AC206" s="2"/>
      <c r="AD206" s="143"/>
    </row>
    <row r="207" spans="25:30" ht="12.75" thickBot="1" x14ac:dyDescent="0.25">
      <c r="Y207" s="68" t="s">
        <v>95</v>
      </c>
      <c r="Z207" s="37" t="str">
        <f>W135&amp;V135</f>
        <v/>
      </c>
      <c r="AA207" s="38">
        <f t="shared" si="51"/>
        <v>0</v>
      </c>
      <c r="AB207" s="144" t="str">
        <f>IF(AA207&gt;0,Y135&amp;Sprache!$E$111&amp;X135,"")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4</v>
      </c>
      <c r="D4" s="13">
        <f ca="1">E4+ROW()/1000+(F4="")*10</f>
        <v>9.0039999999999996</v>
      </c>
      <c r="E4" s="251">
        <f ca="1">IF($AI$15,RANK(AH17,AH$17:AH$25,1),RANK(X17,X$17:X$25,1))</f>
        <v>9</v>
      </c>
      <c r="F4" s="1" t="str">
        <f ca="1">$Q64</f>
        <v>Maibach 1822 eV</v>
      </c>
      <c r="G4" s="1">
        <f t="shared" ref="G4:G12" ca="1" si="0">SUMIFS($X$64:$X$135,$V$64:$V$135,$F4)+SUMIFS($Y$64:$Y$135,$W$64:$W$135,$F4)</f>
        <v>3</v>
      </c>
      <c r="H4" s="1">
        <f t="shared" ref="H4:H12" ca="1" si="1">SUMIFS($Y$64:$Y$135,$V$64:$V$135,$F4)+SUMIFS($X$64:$X$135,$W$64:$W$135,$F4)</f>
        <v>11</v>
      </c>
      <c r="I4" s="13">
        <f t="shared" ref="I4:I12" ca="1" si="2">G4-H4</f>
        <v>-8</v>
      </c>
      <c r="J4" s="1">
        <f ca="1">SUMIF($V$64:$V$135,F4,$AE$64:$AE$135)+SUMIF($W$64:$W$135,F4,$AF$64:$AF$135)</f>
        <v>0</v>
      </c>
      <c r="K4" s="1">
        <f t="shared" ref="K4:K12" ca="1" si="3">SUMPRODUCT(($V$64:$V$135=F4)*($X$64:$X$135&lt;&gt;""))+SUMPRODUCT(($W$64:$W$135=F4)*($Y$64:$Y$135&lt;&gt;""))</f>
        <v>3</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3</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3</v>
      </c>
      <c r="D5" s="13">
        <f t="shared" ref="D5:D12" ca="1" si="8">E5+ROW()/1000+(F5="")*10</f>
        <v>3.0049999999999999</v>
      </c>
      <c r="E5" s="251">
        <f t="shared" ref="E5:E12" ca="1" si="9">IF($AI$15,RANK(AH18,AH$17:AH$25,1),RANK(X18,X$17:X$25,1))</f>
        <v>3</v>
      </c>
      <c r="F5" s="1" t="str">
        <f t="shared" ref="F5:F12" ca="1" si="10">$Q65</f>
        <v>SSV Wildbach</v>
      </c>
      <c r="G5" s="1">
        <f t="shared" ca="1" si="0"/>
        <v>8</v>
      </c>
      <c r="H5" s="1">
        <f t="shared" ca="1" si="1"/>
        <v>7</v>
      </c>
      <c r="I5" s="13">
        <f t="shared" ca="1" si="2"/>
        <v>1</v>
      </c>
      <c r="J5" s="1">
        <f t="shared" ref="J5:J12" ca="1" si="11">SUMIF($V$64:$V$135,F5,$AE$64:$AE$135)+SUMIF($W$64:$W$135,F5,$AF$64:$AF$135)</f>
        <v>6</v>
      </c>
      <c r="K5" s="1">
        <f t="shared" ca="1" si="3"/>
        <v>3</v>
      </c>
      <c r="L5" s="1">
        <f t="shared" ca="1" si="4"/>
        <v>2</v>
      </c>
      <c r="M5" s="1">
        <f t="shared" ca="1" si="5"/>
        <v>0</v>
      </c>
      <c r="N5" s="1">
        <f t="shared" ca="1" si="6"/>
        <v>1</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1</v>
      </c>
      <c r="D6" s="13">
        <f t="shared" ca="1" si="8"/>
        <v>1.006</v>
      </c>
      <c r="E6" s="251">
        <f t="shared" ca="1" si="9"/>
        <v>1</v>
      </c>
      <c r="F6" s="1" t="str">
        <f t="shared" ca="1" si="10"/>
        <v>FSV Rauen</v>
      </c>
      <c r="G6" s="1">
        <f t="shared" ca="1" si="0"/>
        <v>11</v>
      </c>
      <c r="H6" s="1">
        <f t="shared" ca="1" si="1"/>
        <v>7</v>
      </c>
      <c r="I6" s="13">
        <f t="shared" ca="1" si="2"/>
        <v>4</v>
      </c>
      <c r="J6" s="1">
        <f t="shared" ca="1" si="11"/>
        <v>6</v>
      </c>
      <c r="K6" s="1">
        <f t="shared" ca="1" si="3"/>
        <v>3</v>
      </c>
      <c r="L6" s="1">
        <f t="shared" ca="1" si="4"/>
        <v>2</v>
      </c>
      <c r="M6" s="1">
        <f t="shared" ca="1" si="5"/>
        <v>0</v>
      </c>
      <c r="N6" s="1">
        <f t="shared" ca="1" si="6"/>
        <v>1</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2</v>
      </c>
      <c r="D7" s="13">
        <f t="shared" ca="1" si="8"/>
        <v>2.0070000000000001</v>
      </c>
      <c r="E7" s="251">
        <f t="shared" ca="1" si="9"/>
        <v>2</v>
      </c>
      <c r="F7" s="1" t="str">
        <f t="shared" ca="1" si="10"/>
        <v>TSG Saalberg eV</v>
      </c>
      <c r="G7" s="1">
        <f t="shared" ca="1" si="0"/>
        <v>9</v>
      </c>
      <c r="H7" s="1">
        <f t="shared" ca="1" si="1"/>
        <v>6</v>
      </c>
      <c r="I7" s="13">
        <f t="shared" ca="1" si="2"/>
        <v>3</v>
      </c>
      <c r="J7" s="1">
        <f t="shared" ca="1" si="11"/>
        <v>6</v>
      </c>
      <c r="K7" s="1">
        <f t="shared" ca="1" si="3"/>
        <v>3</v>
      </c>
      <c r="L7" s="1">
        <f t="shared" ca="1" si="4"/>
        <v>2</v>
      </c>
      <c r="M7" s="1">
        <f t="shared" ca="1" si="5"/>
        <v>0</v>
      </c>
      <c r="N7" s="1">
        <f t="shared" ca="1" si="6"/>
        <v>1</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14.007999999999999</v>
      </c>
      <c r="E8" s="251">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14.009</v>
      </c>
      <c r="E9" s="251">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16.009999999999998</v>
      </c>
      <c r="E10" s="251">
        <f t="shared" ca="1" si="9"/>
        <v>6</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16.010999999999999</v>
      </c>
      <c r="E11" s="251">
        <f t="shared" ca="1" si="9"/>
        <v>6</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16.012</v>
      </c>
      <c r="E12" s="251">
        <f t="shared" ca="1" si="9"/>
        <v>6</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Maibach 1822 eV</v>
      </c>
      <c r="D17" s="1">
        <f t="shared" ref="D17:G25" ca="1" si="12">K4</f>
        <v>3</v>
      </c>
      <c r="E17" s="1">
        <f t="shared" ca="1" si="12"/>
        <v>0</v>
      </c>
      <c r="F17" s="1">
        <f t="shared" ca="1" si="12"/>
        <v>0</v>
      </c>
      <c r="G17" s="1">
        <f t="shared" ca="1" si="12"/>
        <v>3</v>
      </c>
      <c r="H17" s="1">
        <f t="shared" ref="H17:K25" ca="1" si="13">G4</f>
        <v>3</v>
      </c>
      <c r="I17" s="1">
        <f t="shared" ca="1" si="13"/>
        <v>11</v>
      </c>
      <c r="J17" s="13">
        <f t="shared" ca="1" si="13"/>
        <v>-8</v>
      </c>
      <c r="K17" s="1">
        <f t="shared" ca="1" si="13"/>
        <v>0</v>
      </c>
      <c r="L17" s="30">
        <f t="shared" ref="L17:L25" ca="1" si="14">K17*$F$64+(J17+$H$65)*$F$65+H17*$F$66</f>
        <v>492003</v>
      </c>
      <c r="M17" s="14">
        <f ca="1">IF($AI$15,COUNTIF($K$17:$K$25,K17),COUNTIF($L$17:$L$25,L17))</f>
        <v>1</v>
      </c>
      <c r="N17" s="14">
        <f t="array" aca="1" ref="N17" ca="1">IF($AI$15,SUM(($K$17:$K$25&gt;=K17)/COUNTIF($K$17:$K$25,$K$17:$K$25)),SUM(($L$17:$L$25&gt;=L17)/COUNTIF($L$17:$L$25,$L$17:$L$25)))</f>
        <v>5.0000000000000009</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9.0108999999999995</v>
      </c>
      <c r="Y17" s="13">
        <f>'Endrunde 4'!$AF19</f>
        <v>0</v>
      </c>
      <c r="Z17" s="1">
        <f ca="1">RANK($W17,$W$17:$W$25)+(9-$Y17)/10</f>
        <v>1.9</v>
      </c>
      <c r="AA17" s="1">
        <f ca="1">SUM(E30:BP30)</f>
        <v>0</v>
      </c>
      <c r="AB17" s="1">
        <f ca="1">SUM(E41:BP41)</f>
        <v>0</v>
      </c>
      <c r="AC17" s="1">
        <f ca="1">SUM(E52:BP52)</f>
        <v>0</v>
      </c>
      <c r="AD17" s="245">
        <f ca="1">RANK($K17,$K$17:$K$25)</f>
        <v>4</v>
      </c>
      <c r="AE17" s="30">
        <f t="shared" ref="AE17:AE22" ca="1" si="24">(J17+$H$65)*$F$65+H17*$F$66</f>
        <v>492003</v>
      </c>
      <c r="AF17" s="1">
        <f ca="1">RANK($AE17,$AE$17:$AE$25)</f>
        <v>6</v>
      </c>
      <c r="AG17" s="1">
        <f ca="1">RANK($W17,$W$17:$W$25)</f>
        <v>1</v>
      </c>
      <c r="AH17" s="247">
        <f ca="1">AD17+AG17/100+AF17/10000+(10-Y17)/1000000</f>
        <v>4.0106099999999998</v>
      </c>
      <c r="AI17" s="1"/>
    </row>
    <row r="18" spans="2:80" s="2" customFormat="1" x14ac:dyDescent="0.2">
      <c r="C18" s="2" t="str">
        <f t="shared" ref="C18:C25" ca="1" si="25">$Q65</f>
        <v>SSV Wildbach</v>
      </c>
      <c r="D18" s="1">
        <f t="shared" ca="1" si="12"/>
        <v>3</v>
      </c>
      <c r="E18" s="1">
        <f t="shared" ca="1" si="12"/>
        <v>2</v>
      </c>
      <c r="F18" s="1">
        <f t="shared" ca="1" si="12"/>
        <v>0</v>
      </c>
      <c r="G18" s="1">
        <f t="shared" ca="1" si="12"/>
        <v>1</v>
      </c>
      <c r="H18" s="1">
        <f t="shared" ca="1" si="13"/>
        <v>8</v>
      </c>
      <c r="I18" s="1">
        <f t="shared" ca="1" si="13"/>
        <v>7</v>
      </c>
      <c r="J18" s="13">
        <f t="shared" ca="1" si="13"/>
        <v>1</v>
      </c>
      <c r="K18" s="1">
        <f t="shared" ca="1" si="13"/>
        <v>6</v>
      </c>
      <c r="L18" s="30">
        <f t="shared" ca="1" si="14"/>
        <v>6501008</v>
      </c>
      <c r="M18" s="14">
        <f t="shared" ref="M18:M25" ca="1" si="26">IF($AI$15,COUNTIF($K$17:$K$25,K18),COUNTIF($L$17:$L$25,L18))</f>
        <v>1</v>
      </c>
      <c r="N18" s="14">
        <f t="array" aca="1" ref="N18" ca="1">IF($AI$15,SUM(($K$17:$K$25&gt;=K18)/COUNTIF($K$17:$K$25,$K$17:$K$25)),SUM(($L$17:$L$25&gt;=L18)/COUNTIF($L$17:$L$25,$L$17:$L$25)))</f>
        <v>3</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3.0108999999999999</v>
      </c>
      <c r="Y18" s="13">
        <f>'Endrunde 4'!$AF20</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1</v>
      </c>
      <c r="AE18" s="30">
        <f t="shared" ca="1" si="24"/>
        <v>501008</v>
      </c>
      <c r="AF18" s="1">
        <f t="shared" ref="AF18:AF25" ca="1" si="33">RANK($AE18,$AE$17:$AE$25)</f>
        <v>3</v>
      </c>
      <c r="AG18" s="1">
        <f t="shared" ref="AG18:AG25" ca="1" si="34">RANK($W18,$W$17:$W$25)</f>
        <v>1</v>
      </c>
      <c r="AH18" s="248">
        <f t="shared" ref="AH18:AH25" ca="1" si="35">AD18+AG18/100+AF18/10000+(10-Y18)/1000000</f>
        <v>1.01031</v>
      </c>
      <c r="AI18" s="1"/>
    </row>
    <row r="19" spans="2:80" s="2" customFormat="1" x14ac:dyDescent="0.2">
      <c r="C19" s="2" t="str">
        <f t="shared" ca="1" si="25"/>
        <v>FSV Rauen</v>
      </c>
      <c r="D19" s="1">
        <f t="shared" ca="1" si="12"/>
        <v>3</v>
      </c>
      <c r="E19" s="1">
        <f t="shared" ca="1" si="12"/>
        <v>2</v>
      </c>
      <c r="F19" s="1">
        <f t="shared" ca="1" si="12"/>
        <v>0</v>
      </c>
      <c r="G19" s="1">
        <f t="shared" ca="1" si="12"/>
        <v>1</v>
      </c>
      <c r="H19" s="1">
        <f t="shared" ca="1" si="13"/>
        <v>11</v>
      </c>
      <c r="I19" s="1">
        <f t="shared" ca="1" si="13"/>
        <v>7</v>
      </c>
      <c r="J19" s="13">
        <f t="shared" ca="1" si="13"/>
        <v>4</v>
      </c>
      <c r="K19" s="1">
        <f t="shared" ca="1" si="13"/>
        <v>6</v>
      </c>
      <c r="L19" s="30">
        <f t="shared" ca="1" si="14"/>
        <v>6504011</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4'!$AF21</f>
        <v>0</v>
      </c>
      <c r="Z19" s="1">
        <f t="shared" ca="1" si="28"/>
        <v>1.9</v>
      </c>
      <c r="AA19" s="1">
        <f t="shared" ca="1" si="29"/>
        <v>0</v>
      </c>
      <c r="AB19" s="1">
        <f t="shared" ca="1" si="30"/>
        <v>0</v>
      </c>
      <c r="AC19" s="1">
        <f t="shared" ca="1" si="31"/>
        <v>0</v>
      </c>
      <c r="AD19" s="245">
        <f t="shared" ca="1" si="32"/>
        <v>1</v>
      </c>
      <c r="AE19" s="30">
        <f t="shared" ca="1" si="24"/>
        <v>504011</v>
      </c>
      <c r="AF19" s="1">
        <f t="shared" ca="1" si="33"/>
        <v>1</v>
      </c>
      <c r="AG19" s="1">
        <f t="shared" ca="1" si="34"/>
        <v>1</v>
      </c>
      <c r="AH19" s="248">
        <f t="shared" ca="1" si="35"/>
        <v>1.0101100000000001</v>
      </c>
      <c r="AI19" s="1"/>
    </row>
    <row r="20" spans="2:80" s="2" customFormat="1" x14ac:dyDescent="0.2">
      <c r="C20" s="2" t="str">
        <f t="shared" ca="1" si="25"/>
        <v>TSG Saalberg eV</v>
      </c>
      <c r="D20" s="1">
        <f t="shared" ca="1" si="12"/>
        <v>3</v>
      </c>
      <c r="E20" s="1">
        <f t="shared" ca="1" si="12"/>
        <v>2</v>
      </c>
      <c r="F20" s="1">
        <f t="shared" ca="1" si="12"/>
        <v>0</v>
      </c>
      <c r="G20" s="1">
        <f t="shared" ca="1" si="12"/>
        <v>1</v>
      </c>
      <c r="H20" s="1">
        <f t="shared" ca="1" si="13"/>
        <v>9</v>
      </c>
      <c r="I20" s="1">
        <f t="shared" ca="1" si="13"/>
        <v>6</v>
      </c>
      <c r="J20" s="13">
        <f t="shared" ca="1" si="13"/>
        <v>3</v>
      </c>
      <c r="K20" s="1">
        <f t="shared" ca="1" si="13"/>
        <v>6</v>
      </c>
      <c r="L20" s="30">
        <f t="shared" ca="1" si="14"/>
        <v>6503009</v>
      </c>
      <c r="M20" s="14">
        <f t="shared" ca="1" si="26"/>
        <v>1</v>
      </c>
      <c r="N20" s="14">
        <f t="array" aca="1" ref="N20" ca="1">IF($AI$15,SUM(($K$17:$K$25&gt;=K20)/COUNTIF($K$17:$K$25,$K$17:$K$25)),SUM(($L$17:$L$25&gt;=L20)/COUNTIF($L$17:$L$25,$L$17:$L$25)))</f>
        <v>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2.0108999999999999</v>
      </c>
      <c r="Y20" s="13">
        <f>'Endrunde 4'!$AF22</f>
        <v>0</v>
      </c>
      <c r="Z20" s="1">
        <f t="shared" ca="1" si="28"/>
        <v>1.9</v>
      </c>
      <c r="AA20" s="1">
        <f t="shared" ca="1" si="29"/>
        <v>0</v>
      </c>
      <c r="AB20" s="1">
        <f t="shared" ca="1" si="30"/>
        <v>0</v>
      </c>
      <c r="AC20" s="1">
        <f t="shared" ca="1" si="31"/>
        <v>0</v>
      </c>
      <c r="AD20" s="245">
        <f t="shared" ca="1" si="32"/>
        <v>1</v>
      </c>
      <c r="AE20" s="30">
        <f t="shared" ca="1" si="24"/>
        <v>503009</v>
      </c>
      <c r="AF20" s="1">
        <f t="shared" ca="1" si="33"/>
        <v>2</v>
      </c>
      <c r="AG20" s="1">
        <f t="shared" ca="1" si="34"/>
        <v>1</v>
      </c>
      <c r="AH20" s="248">
        <f t="shared" ca="1" si="35"/>
        <v>1.0102100000000001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5</v>
      </c>
      <c r="N21" s="14">
        <f t="array" aca="1" ref="N21" ca="1">IF($AI$15,SUM(($K$17:$K$25&gt;=K21)/COUNTIF($K$17:$K$25,$K$17:$K$25)),SUM(($L$17:$L$25&gt;=L21)/COUNTIF($L$17:$L$25,$L$17:$L$25)))</f>
        <v>4.0000000000000009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5">
        <f t="shared" ca="1" si="32"/>
        <v>4</v>
      </c>
      <c r="AE21" s="30">
        <f t="shared" ca="1" si="24"/>
        <v>500000</v>
      </c>
      <c r="AF21" s="1">
        <f t="shared" ca="1" si="33"/>
        <v>4</v>
      </c>
      <c r="AG21" s="1">
        <f t="shared" ca="1" si="34"/>
        <v>1</v>
      </c>
      <c r="AH21" s="248">
        <f t="shared" ca="1" si="35"/>
        <v>4.0104099999999994</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5</v>
      </c>
      <c r="N22" s="14">
        <f t="array" aca="1" ref="N22" ca="1">IF($AI$15,SUM(($K$17:$K$25&gt;=K22)/COUNTIF($K$17:$K$25,$K$17:$K$25)),SUM(($L$17:$L$25&gt;=L22)/COUNTIF($L$17:$L$25,$L$17:$L$25)))</f>
        <v>4.0000000000000009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5">
        <f t="shared" ca="1" si="32"/>
        <v>4</v>
      </c>
      <c r="AE22" s="30">
        <f t="shared" ca="1" si="24"/>
        <v>500000</v>
      </c>
      <c r="AF22" s="1">
        <f t="shared" ca="1" si="33"/>
        <v>4</v>
      </c>
      <c r="AG22" s="1">
        <f t="shared" ca="1" si="34"/>
        <v>1</v>
      </c>
      <c r="AH22" s="248">
        <f t="shared" ca="1" si="35"/>
        <v>4.0104099999999994</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5</v>
      </c>
      <c r="N23" s="14">
        <f t="array" aca="1" ref="N23" ca="1">IF($AI$15,SUM(($K$17:$K$25&gt;=K23)/COUNTIF($K$17:$K$25,$K$17:$K$25)),SUM(($L$17:$L$25&gt;=L23)/COUNTIF($L$17:$L$25,$L$17:$L$25)))</f>
        <v>4.0000000000000009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5">
        <f t="shared" ca="1" si="32"/>
        <v>4</v>
      </c>
      <c r="AE23" s="30">
        <v>0</v>
      </c>
      <c r="AF23" s="1">
        <f t="shared" ca="1" si="33"/>
        <v>7</v>
      </c>
      <c r="AG23" s="1">
        <f t="shared" ca="1" si="34"/>
        <v>7</v>
      </c>
      <c r="AH23" s="248">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5</v>
      </c>
      <c r="N24" s="14">
        <f t="array" aca="1" ref="N24" ca="1">IF($AI$15,SUM(($K$17:$K$25&gt;=K24)/COUNTIF($K$17:$K$25,$K$17:$K$25)),SUM(($L$17:$L$25&gt;=L24)/COUNTIF($L$17:$L$25,$L$17:$L$25)))</f>
        <v>4.0000000000000009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5">
        <f t="shared" ca="1" si="32"/>
        <v>4</v>
      </c>
      <c r="AE24" s="30">
        <v>0</v>
      </c>
      <c r="AF24" s="1">
        <f t="shared" ca="1" si="33"/>
        <v>7</v>
      </c>
      <c r="AG24" s="1">
        <f t="shared" ca="1" si="34"/>
        <v>7</v>
      </c>
      <c r="AH24" s="248">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5</v>
      </c>
      <c r="N25" s="14">
        <f t="array" aca="1" ref="N25" ca="1">IF($AI$15,SUM(($K$17:$K$25&gt;=K25)/COUNTIF($K$17:$K$25,$K$17:$K$25)),SUM(($L$17:$L$25&gt;=L25)/COUNTIF($L$17:$L$25,$L$17:$L$25)))</f>
        <v>4.0000000000000009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5">
        <f t="shared" ca="1" si="32"/>
        <v>4</v>
      </c>
      <c r="AE25" s="30">
        <v>0</v>
      </c>
      <c r="AF25" s="1">
        <f t="shared" ca="1" si="33"/>
        <v>7</v>
      </c>
      <c r="AG25" s="1">
        <f t="shared" ca="1" si="34"/>
        <v>7</v>
      </c>
      <c r="AH25" s="249">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Maibach 1822 eV</v>
      </c>
      <c r="BT29" s="2" t="str">
        <f ca="1">$F$5</f>
        <v>SSV Wildbach</v>
      </c>
      <c r="BU29" s="2" t="str">
        <f ca="1">$F$6</f>
        <v>FSV Rauen</v>
      </c>
      <c r="BV29" s="2" t="str">
        <f ca="1">$F$7</f>
        <v>TSG Saalberg eV</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Maibach 1822 eV</v>
      </c>
      <c r="BS30" s="7"/>
      <c r="BT30" s="8">
        <f t="shared" ref="BT30:CA32" ca="1" si="37">SUMIFS($X$64:$X$135,$V$64:$V$135,$BR30,$W$64:$W$135,BT$29)+SUMIFS($Y$64:$Y$135,$W$64:$W$135,$BR30,$V$64:$V$135,BT$29)</f>
        <v>2</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SSV Wildbach</v>
      </c>
      <c r="BS31" s="9">
        <f t="shared" ref="BS31:BU38" ca="1" si="39">SUMIFS($X$64:$X$135,$V$64:$V$135,$BR31,$W$64:$W$135,BS$29)+SUMIFS($Y$64:$Y$135,$W$64:$W$135,$BR31,$V$64:$V$135,BS$29)</f>
        <v>4</v>
      </c>
      <c r="BT31" s="7"/>
      <c r="BU31" s="8">
        <f t="shared" ca="1" si="37"/>
        <v>3</v>
      </c>
      <c r="BV31" s="8">
        <f t="shared" ca="1" si="37"/>
        <v>1</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FSV Rauen</v>
      </c>
      <c r="BS32" s="9">
        <f t="shared" ca="1" si="39"/>
        <v>5</v>
      </c>
      <c r="BT32" s="9">
        <f t="shared" ca="1" si="39"/>
        <v>1</v>
      </c>
      <c r="BU32" s="7"/>
      <c r="BV32" s="8">
        <f t="shared" ca="1" si="37"/>
        <v>5</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TSG Saalberg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TSG Saalberg eV</v>
      </c>
      <c r="BS33" s="9">
        <f t="shared" ca="1" si="39"/>
        <v>2</v>
      </c>
      <c r="BT33" s="9">
        <f t="shared" ca="1" si="39"/>
        <v>4</v>
      </c>
      <c r="BU33" s="9">
        <f t="shared" ca="1" si="39"/>
        <v>3</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SSV Wildbach</v>
      </c>
      <c r="BU40" s="2" t="str">
        <f ca="1">$F$6</f>
        <v>FSV Rauen</v>
      </c>
      <c r="BV40" s="2" t="str">
        <f ca="1">$F$7</f>
        <v>TSG Saalberg eV</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Maibach 1822 eV</v>
      </c>
      <c r="BS41" s="7"/>
      <c r="BT41" s="8">
        <f ca="1">BT30-BS31</f>
        <v>-2</v>
      </c>
      <c r="BU41" s="8">
        <f ca="1">BU30-BS32</f>
        <v>-4</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SSV Wildbach</v>
      </c>
      <c r="BS42" s="9">
        <f ca="1">IF(BT41="","",-1*BT41)</f>
        <v>2</v>
      </c>
      <c r="BT42" s="7"/>
      <c r="BU42" s="8">
        <f ca="1">BU31-BT32</f>
        <v>2</v>
      </c>
      <c r="BV42" s="8">
        <f ca="1">BV31-BT33</f>
        <v>-3</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FSV Rauen</v>
      </c>
      <c r="BS43" s="9">
        <f ca="1">IF(BU41="","",-1*BU41)</f>
        <v>4</v>
      </c>
      <c r="BT43" s="9">
        <f ca="1">IF(BU42="","",-1*BU42)</f>
        <v>-2</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TSG Saalberg eV</v>
      </c>
      <c r="BS44" s="9">
        <f ca="1">IF(BV41="","",-1*BV41)</f>
        <v>2</v>
      </c>
      <c r="BT44" s="9">
        <f ca="1">IF(BV42="","",-1*BV42)</f>
        <v>3</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SSV Wildbach</v>
      </c>
      <c r="BU51" s="2" t="str">
        <f ca="1">$F$6</f>
        <v>FSV Rauen</v>
      </c>
      <c r="BV51" s="2" t="str">
        <f ca="1">$F$7</f>
        <v>TSG Saalberg eV</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Maibach 1822 eV</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SSV Wildbach</v>
      </c>
      <c r="BS53" s="9">
        <f t="shared" ref="BS53:BU60" ca="1" si="44">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FSV Rauen</v>
      </c>
      <c r="BS54" s="9">
        <f t="shared" ca="1" si="44"/>
        <v>3</v>
      </c>
      <c r="BT54" s="9">
        <f t="shared" ca="1" si="44"/>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TSG Saalberg eV</v>
      </c>
      <c r="BS55" s="9">
        <f t="shared" ca="1" si="44"/>
        <v>3</v>
      </c>
      <c r="BT55" s="9">
        <f t="shared" ca="1" si="44"/>
        <v>3</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IF('Endrunde 4'!$AE19="","",'Endrunde 4'!$AE19)</f>
        <v>Maibach 1822 eV</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1" t="str">
        <f ca="1">IF(AA64&gt;0,X64&amp;Sprache!$E$111&amp;Y64,"")</f>
        <v/>
      </c>
      <c r="AD64" s="142"/>
      <c r="AE64" s="147" t="str">
        <f ca="1">IF($AA64=0,"",IF($X64&gt;$Y64,Einstellungen!$C$4,IF($X64=$Y64,1,0)))</f>
        <v/>
      </c>
      <c r="AF64" s="142" t="str">
        <f ca="1">IF($AA64=0,"",IF($X64&lt;$Y64,Einstellungen!$C$4,IF($X64=$Y64,1,0)))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 ca="1">IF('Endrunde 4'!$AE20="","",'Endrunde 4'!$AE20)</f>
        <v>SSV Wildbach</v>
      </c>
      <c r="U65" s="67" t="s">
        <v>8</v>
      </c>
      <c r="V65" s="41" t="str">
        <f ca="1">'Endrunde 4'!$I13</f>
        <v>Maibach 1822 eV</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5">V65&amp;W65</f>
        <v>Maibach 1822 eVSSV Wildbach</v>
      </c>
      <c r="AA65" s="13">
        <f t="shared" ref="AA65:AA128" ca="1" si="46">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IF('Endrunde 4'!$AE21="","",'Endrunde 4'!$AE21)</f>
        <v>FSV Rauen</v>
      </c>
      <c r="U66" s="67" t="s">
        <v>9</v>
      </c>
      <c r="V66" s="41" t="str">
        <f ca="1">'Endrunde 4'!$I14</f>
        <v>VFB Essenheim</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5"/>
        <v>VFB EssenheimFC Grönlingen</v>
      </c>
      <c r="AA66" s="13">
        <f t="shared" ca="1" si="46"/>
        <v>1</v>
      </c>
      <c r="AB66" s="13" t="str">
        <f ca="1">IF(AA66&gt;0,X66&amp;Sprache!$E$111&amp;Y66,"")</f>
        <v>2:1</v>
      </c>
      <c r="AD66" s="143"/>
      <c r="AE66" s="148">
        <f ca="1">IF($AA66=0,"",IF($X66&gt;$Y66,Einstellungen!$C$4,IF($X66=$Y66,1,0)))</f>
        <v>3</v>
      </c>
      <c r="AF66" s="143">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4'!$AE22="","",'Endrunde 4'!$AE22)</f>
        <v>TSG Saalberg eV</v>
      </c>
      <c r="U67" s="67" t="s">
        <v>10</v>
      </c>
      <c r="V67" s="41" t="str">
        <f ca="1">'Endrunde 4'!$I15</f>
        <v>1. FC Riedwald</v>
      </c>
      <c r="W67" s="13" t="str">
        <f ca="1">'Endrunde 4'!$K15</f>
        <v>Mainz 05</v>
      </c>
      <c r="X67" s="13">
        <f ca="1">IF(AND('Endrunde 4'!$L15&lt;&gt;"",'Endrunde 4'!$N15&lt;&gt;"",$V67&lt;&gt;$W67,$V67&lt;&gt;"",$W67&lt;&gt;""),'Endrunde 4'!$L15,"")</f>
        <v>0</v>
      </c>
      <c r="Y67" s="36">
        <f ca="1">IF(AND('Endrunde 4'!$L15&lt;&gt;"",'Endrunde 4'!$N15&lt;&gt;"",$V67&lt;&gt;$W67,$V67&lt;&gt;"",$W67&lt;&gt;""),'Endrunde 4'!$N15,"")</f>
        <v>0</v>
      </c>
      <c r="Z67" s="35" t="str">
        <f t="shared" ca="1" si="45"/>
        <v>1. FC RiedwaldMainz 05</v>
      </c>
      <c r="AA67" s="13">
        <f t="shared" ca="1" si="46"/>
        <v>1</v>
      </c>
      <c r="AB67" s="13" t="str">
        <f ca="1">IF(AA67&gt;0,X67&amp;Sprache!$E$111&amp;Y67,"")</f>
        <v>0:0</v>
      </c>
      <c r="AD67" s="143"/>
      <c r="AE67" s="148">
        <f ca="1">IF($AA67=0,"",IF($X67&gt;$Y67,Einstellungen!$C$4,IF($X67=$Y67,1,0)))</f>
        <v>1</v>
      </c>
      <c r="AF67" s="143">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Eintracht Frankfurt</v>
      </c>
      <c r="W68" s="13" t="str">
        <f ca="1">'Endrunde 4'!$K16</f>
        <v>Inter Mailand</v>
      </c>
      <c r="X68" s="13">
        <f ca="1">IF(AND('Endrunde 4'!$L16&lt;&gt;"",'Endrunde 4'!$N16&lt;&gt;"",$V68&lt;&gt;$W68,$V68&lt;&gt;"",$W68&lt;&gt;""),'Endrunde 4'!$L16,"")</f>
        <v>5</v>
      </c>
      <c r="Y68" s="36">
        <f ca="1">IF(AND('Endrunde 4'!$L16&lt;&gt;"",'Endrunde 4'!$N16&lt;&gt;"",$V68&lt;&gt;$W68,$V68&lt;&gt;"",$W68&lt;&gt;""),'Endrunde 4'!$N16,"")</f>
        <v>1</v>
      </c>
      <c r="Z68" s="35" t="str">
        <f t="shared" ca="1" si="45"/>
        <v>Eintracht FrankfurtInter Mailand</v>
      </c>
      <c r="AA68" s="13">
        <f t="shared" ca="1" si="46"/>
        <v>1</v>
      </c>
      <c r="AB68" s="13" t="str">
        <f ca="1">IF(AA68&gt;0,X68&amp;Sprache!$E$111&amp;Y68,"")</f>
        <v>5:1</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FC Barcelona</v>
      </c>
      <c r="W69" s="13" t="str">
        <f ca="1">'Endrunde 4'!$K17</f>
        <v>Manchester City</v>
      </c>
      <c r="X69" s="13">
        <f ca="1">IF(AND('Endrunde 4'!$L17&lt;&gt;"",'Endrunde 4'!$N17&lt;&gt;"",$V69&lt;&gt;$W69,$V69&lt;&gt;"",$W69&lt;&gt;""),'Endrunde 4'!$L17,"")</f>
        <v>2</v>
      </c>
      <c r="Y69" s="36">
        <f ca="1">IF(AND('Endrunde 4'!$L17&lt;&gt;"",'Endrunde 4'!$N17&lt;&gt;"",$V69&lt;&gt;$W69,$V69&lt;&gt;"",$W69&lt;&gt;""),'Endrunde 4'!$N17,"")</f>
        <v>3</v>
      </c>
      <c r="Z69" s="35" t="str">
        <f t="shared" ca="1" si="45"/>
        <v>FC BarcelonaManchester City</v>
      </c>
      <c r="AA69" s="13">
        <f t="shared" ca="1" si="46"/>
        <v>1</v>
      </c>
      <c r="AB69" s="13" t="str">
        <f ca="1">IF(AA69&gt;0,X69&amp;Sprache!$E$111&amp;Y69,"")</f>
        <v>2:3</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'Endrunde 4'!$I18</f>
        <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5"/>
        <v/>
      </c>
      <c r="AA70" s="13">
        <f t="shared" ca="1" si="46"/>
        <v>0</v>
      </c>
      <c r="AB70" s="13" t="str">
        <f ca="1">IF(AA70&gt;0,X70&amp;Sprache!$E$111&amp;Y70,"")</f>
        <v/>
      </c>
      <c r="AD70" s="143"/>
      <c r="AE70" s="148" t="str">
        <f ca="1">IF($AA70=0,"",IF($X70&gt;$Y70,Einstellungen!$C$4,IF($X70=$Y70,1,0)))</f>
        <v/>
      </c>
      <c r="AF70" s="143"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FSV Rauen</v>
      </c>
      <c r="W71" s="13" t="str">
        <f ca="1">'Endrunde 4'!$K19</f>
        <v>TSG Saalberg eV</v>
      </c>
      <c r="X71" s="13">
        <f ca="1">IF(AND('Endrunde 4'!$L19&lt;&gt;"",'Endrunde 4'!$N19&lt;&gt;"",$V71&lt;&gt;$W71,$V71&lt;&gt;"",$W71&lt;&gt;""),'Endrunde 4'!$L19,"")</f>
        <v>5</v>
      </c>
      <c r="Y71" s="36">
        <f ca="1">IF(AND('Endrunde 4'!$L19&lt;&gt;"",'Endrunde 4'!$N19&lt;&gt;"",$V71&lt;&gt;$W71,$V71&lt;&gt;"",$W71&lt;&gt;""),'Endrunde 4'!$N19,"")</f>
        <v>3</v>
      </c>
      <c r="Z71" s="35" t="str">
        <f t="shared" ca="1" si="45"/>
        <v>FSV RauenTSG Saalberg eV</v>
      </c>
      <c r="AA71" s="13">
        <f t="shared" ca="1" si="46"/>
        <v>1</v>
      </c>
      <c r="AB71" s="13" t="str">
        <f ca="1">IF(AA71&gt;0,X71&amp;Sprache!$E$111&amp;Y71,"")</f>
        <v>5:3</v>
      </c>
      <c r="AD71" s="143"/>
      <c r="AE71" s="148">
        <f ca="1">IF($AA71=0,"",IF($X71&gt;$Y71,Einstellungen!$C$4,IF($X71=$Y71,1,0)))</f>
        <v>3</v>
      </c>
      <c r="AF71" s="143">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Kickers Rodendorf</v>
      </c>
      <c r="W72" s="13" t="str">
        <f ca="1">'Endrunde 4'!$K20</f>
        <v>SV Oberredenburg</v>
      </c>
      <c r="X72" s="13">
        <f ca="1">IF(AND('Endrunde 4'!$L20&lt;&gt;"",'Endrunde 4'!$N20&lt;&gt;"",$V72&lt;&gt;$W72,$V72&lt;&gt;"",$W72&lt;&gt;""),'Endrunde 4'!$L20,"")</f>
        <v>2</v>
      </c>
      <c r="Y72" s="36">
        <f ca="1">IF(AND('Endrunde 4'!$L20&lt;&gt;"",'Endrunde 4'!$N20&lt;&gt;"",$V72&lt;&gt;$W72,$V72&lt;&gt;"",$W72&lt;&gt;""),'Endrunde 4'!$N20,"")</f>
        <v>1</v>
      </c>
      <c r="Z72" s="35" t="str">
        <f t="shared" ca="1" si="45"/>
        <v>Kickers RodendorfSV Oberredenburg</v>
      </c>
      <c r="AA72" s="13">
        <f t="shared" ca="1" si="46"/>
        <v>1</v>
      </c>
      <c r="AB72" s="13" t="str">
        <f ca="1">IF(AA72&gt;0,X72&amp;Sprache!$E$111&amp;Y72,"")</f>
        <v>2:1</v>
      </c>
      <c r="AD72" s="143"/>
      <c r="AE72" s="148">
        <f ca="1">IF($AA72=0,"",IF($X72&gt;$Y72,Einstellungen!$C$4,IF($X72=$Y72,1,0)))</f>
        <v>3</v>
      </c>
      <c r="AF72" s="143">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1. FC Nürnberg</v>
      </c>
      <c r="W73" s="13" t="str">
        <f ca="1">'Endrunde 4'!$K21</f>
        <v>HSV</v>
      </c>
      <c r="X73" s="13">
        <f ca="1">IF(AND('Endrunde 4'!$L21&lt;&gt;"",'Endrunde 4'!$N21&lt;&gt;"",$V73&lt;&gt;$W73,$V73&lt;&gt;"",$W73&lt;&gt;""),'Endrunde 4'!$L21,"")</f>
        <v>3</v>
      </c>
      <c r="Y73" s="36">
        <f ca="1">IF(AND('Endrunde 4'!$L21&lt;&gt;"",'Endrunde 4'!$N21&lt;&gt;"",$V73&lt;&gt;$W73,$V73&lt;&gt;"",$W73&lt;&gt;""),'Endrunde 4'!$N21,"")</f>
        <v>1</v>
      </c>
      <c r="Z73" s="35" t="str">
        <f t="shared" ca="1" si="45"/>
        <v>1. FC NürnbergHSV</v>
      </c>
      <c r="AA73" s="13">
        <f t="shared" ca="1" si="46"/>
        <v>1</v>
      </c>
      <c r="AB73" s="13" t="str">
        <f ca="1">IF(AA73&gt;0,X73&amp;Sprache!$E$111&amp;Y73,"")</f>
        <v>3:1</v>
      </c>
      <c r="AD73" s="143"/>
      <c r="AE73" s="148">
        <f ca="1">IF($AA73=0,"",IF($X73&gt;$Y73,Einstellungen!$C$4,IF($X73=$Y73,1,0)))</f>
        <v>3</v>
      </c>
      <c r="AF73" s="143">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Real Madrid</v>
      </c>
      <c r="W74" s="13" t="str">
        <f ca="1">'Endrunde 4'!$K22</f>
        <v>RB Leipzig</v>
      </c>
      <c r="X74" s="13">
        <f ca="1">IF(AND('Endrunde 4'!$L22&lt;&gt;"",'Endrunde 4'!$N22&lt;&gt;"",$V74&lt;&gt;$W74,$V74&lt;&gt;"",$W74&lt;&gt;""),'Endrunde 4'!$L22,"")</f>
        <v>4</v>
      </c>
      <c r="Y74" s="36">
        <f ca="1">IF(AND('Endrunde 4'!$L22&lt;&gt;"",'Endrunde 4'!$N22&lt;&gt;"",$V74&lt;&gt;$W74,$V74&lt;&gt;"",$W74&lt;&gt;""),'Endrunde 4'!$N22,"")</f>
        <v>2</v>
      </c>
      <c r="Z74" s="35" t="str">
        <f ca="1">V74&amp;W74</f>
        <v>Real MadridRB Leipzig</v>
      </c>
      <c r="AA74" s="13">
        <f t="shared" ca="1" si="46"/>
        <v>1</v>
      </c>
      <c r="AB74" s="13" t="str">
        <f ca="1">IF(AA74&gt;0,X74&amp;Sprache!$E$111&amp;Y74,"")</f>
        <v>4:2</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Borussia Dortmund</v>
      </c>
      <c r="W75" s="13" t="str">
        <f ca="1">'Endrunde 4'!$K23</f>
        <v>Paris St. Germain</v>
      </c>
      <c r="X75" s="13">
        <f ca="1">IF(AND('Endrunde 4'!$L23&lt;&gt;"",'Endrunde 4'!$N23&lt;&gt;"",$V75&lt;&gt;$W75,$V75&lt;&gt;"",$W75&lt;&gt;""),'Endrunde 4'!$L23,"")</f>
        <v>1</v>
      </c>
      <c r="Y75" s="36">
        <f ca="1">IF(AND('Endrunde 4'!$L23&lt;&gt;"",'Endrunde 4'!$N23&lt;&gt;"",$V75&lt;&gt;$W75,$V75&lt;&gt;"",$W75&lt;&gt;""),'Endrunde 4'!$N23,"")</f>
        <v>3</v>
      </c>
      <c r="Z75" s="35" t="str">
        <f t="shared" ref="Z75:Z108" ca="1" si="47">V75&amp;W75</f>
        <v>Borussia DortmundParis St. Germain</v>
      </c>
      <c r="AA75" s="13">
        <f t="shared" ca="1" si="46"/>
        <v>1</v>
      </c>
      <c r="AB75" s="13" t="str">
        <f ca="1">IF(AA75&gt;0,X75&amp;Sprache!$E$111&amp;Y75,"")</f>
        <v>1:3</v>
      </c>
      <c r="AD75" s="143"/>
      <c r="AE75" s="148">
        <f ca="1">IF($AA75=0,"",IF($X75&gt;$Y75,Einstellungen!$C$4,IF($X75=$Y75,1,0)))</f>
        <v>0</v>
      </c>
      <c r="AF75" s="143">
        <f ca="1">IF($AA75=0,"",IF($X75&lt;$Y75,Einstellungen!$C$4,IF($X75=$Y75,1,0)))</f>
        <v>3</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7"/>
        <v/>
      </c>
      <c r="AA76" s="13">
        <f t="shared" ca="1" si="46"/>
        <v>0</v>
      </c>
      <c r="AB76" s="13" t="str">
        <f ca="1">IF(AA76&gt;0,X76&amp;Sprache!$E$111&amp;Y76,"")</f>
        <v/>
      </c>
      <c r="AD76" s="143"/>
      <c r="AE76" s="148" t="str">
        <f ca="1">IF($AA76=0,"",IF($X76&gt;$Y76,Einstellungen!$C$4,IF($X76=$Y76,1,0)))</f>
        <v/>
      </c>
      <c r="AF76" s="143"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Maibach 1822 eV</v>
      </c>
      <c r="W77" s="13" t="str">
        <f ca="1">'Endrunde 4'!$K25</f>
        <v>FSV Rauen</v>
      </c>
      <c r="X77" s="13">
        <f ca="1">IF(AND('Endrunde 4'!$L25&lt;&gt;"",'Endrunde 4'!$N25&lt;&gt;"",$V77&lt;&gt;$W77,$V77&lt;&gt;"",$W77&lt;&gt;""),'Endrunde 4'!$L25,"")</f>
        <v>1</v>
      </c>
      <c r="Y77" s="36">
        <f ca="1">IF(AND('Endrunde 4'!$L25&lt;&gt;"",'Endrunde 4'!$N25&lt;&gt;"",$V77&lt;&gt;$W77,$V77&lt;&gt;"",$W77&lt;&gt;""),'Endrunde 4'!$N25,"")</f>
        <v>5</v>
      </c>
      <c r="Z77" s="35" t="str">
        <f t="shared" ca="1" si="47"/>
        <v>Maibach 1822 eVFSV Rauen</v>
      </c>
      <c r="AA77" s="13">
        <f t="shared" ca="1" si="46"/>
        <v>1</v>
      </c>
      <c r="AB77" s="13" t="str">
        <f ca="1">IF(AA77&gt;0,X77&amp;Sprache!$E$111&amp;Y77,"")</f>
        <v>1:5</v>
      </c>
      <c r="AD77" s="143"/>
      <c r="AE77" s="148">
        <f ca="1">IF($AA77=0,"",IF($X77&gt;$Y77,Einstellungen!$C$4,IF($X77=$Y77,1,0)))</f>
        <v>0</v>
      </c>
      <c r="AF77" s="143">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VFB Essenheim</v>
      </c>
      <c r="W78" s="13" t="str">
        <f ca="1">'Endrunde 4'!$K26</f>
        <v>Kickers Rodendorf</v>
      </c>
      <c r="X78" s="13">
        <f ca="1">IF(AND('Endrunde 4'!$L26&lt;&gt;"",'Endrunde 4'!$N26&lt;&gt;"",$V78&lt;&gt;$W78,$V78&lt;&gt;"",$W78&lt;&gt;""),'Endrunde 4'!$L26,"")</f>
        <v>4</v>
      </c>
      <c r="Y78" s="36">
        <f ca="1">IF(AND('Endrunde 4'!$L26&lt;&gt;"",'Endrunde 4'!$N26&lt;&gt;"",$V78&lt;&gt;$W78,$V78&lt;&gt;"",$W78&lt;&gt;""),'Endrunde 4'!$N26,"")</f>
        <v>4</v>
      </c>
      <c r="Z78" s="35" t="str">
        <f t="shared" ca="1" si="47"/>
        <v>VFB EssenheimKickers Rodendorf</v>
      </c>
      <c r="AA78" s="13">
        <f t="shared" ca="1" si="46"/>
        <v>1</v>
      </c>
      <c r="AB78" s="13" t="str">
        <f ca="1">IF(AA78&gt;0,X78&amp;Sprache!$E$111&amp;Y78,"")</f>
        <v>4:4</v>
      </c>
      <c r="AD78" s="143"/>
      <c r="AE78" s="148">
        <f ca="1">IF($AA78=0,"",IF($X78&gt;$Y78,Einstellungen!$C$4,IF($X78=$Y78,1,0)))</f>
        <v>1</v>
      </c>
      <c r="AF78" s="143">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1. FC Riedwald</v>
      </c>
      <c r="W79" s="13" t="str">
        <f ca="1">'Endrunde 4'!$K27</f>
        <v>1. FC Nürnberg</v>
      </c>
      <c r="X79" s="13">
        <f ca="1">IF(AND('Endrunde 4'!$L27&lt;&gt;"",'Endrunde 4'!$N27&lt;&gt;"",$V79&lt;&gt;$W79,$V79&lt;&gt;"",$W79&lt;&gt;""),'Endrunde 4'!$L27,"")</f>
        <v>0</v>
      </c>
      <c r="Y79" s="36">
        <f ca="1">IF(AND('Endrunde 4'!$L27&lt;&gt;"",'Endrunde 4'!$N27&lt;&gt;"",$V79&lt;&gt;$W79,$V79&lt;&gt;"",$W79&lt;&gt;""),'Endrunde 4'!$N27,"")</f>
        <v>7</v>
      </c>
      <c r="Z79" s="35" t="str">
        <f t="shared" ca="1" si="47"/>
        <v>1. FC Riedwald1. FC Nürnberg</v>
      </c>
      <c r="AA79" s="13">
        <f t="shared" ca="1" si="46"/>
        <v>1</v>
      </c>
      <c r="AB79" s="13" t="str">
        <f ca="1">IF(AA79&gt;0,X79&amp;Sprache!$E$111&amp;Y79,"")</f>
        <v>0:7</v>
      </c>
      <c r="AD79" s="143"/>
      <c r="AE79" s="148">
        <f ca="1">IF($AA79=0,"",IF($X79&gt;$Y79,Einstellungen!$C$4,IF($X79=$Y79,1,0)))</f>
        <v>0</v>
      </c>
      <c r="AF79" s="143">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Eintracht Frankfurt</v>
      </c>
      <c r="W80" s="13" t="str">
        <f ca="1">'Endrunde 4'!$K28</f>
        <v>Real Madrid</v>
      </c>
      <c r="X80" s="13">
        <f ca="1">IF(AND('Endrunde 4'!$L28&lt;&gt;"",'Endrunde 4'!$N28&lt;&gt;"",$V80&lt;&gt;$W80,$V80&lt;&gt;"",$W80&lt;&gt;""),'Endrunde 4'!$L28,"")</f>
        <v>2</v>
      </c>
      <c r="Y80" s="36">
        <f ca="1">IF(AND('Endrunde 4'!$L28&lt;&gt;"",'Endrunde 4'!$N28&lt;&gt;"",$V80&lt;&gt;$W80,$V80&lt;&gt;"",$W80&lt;&gt;""),'Endrunde 4'!$N28,"")</f>
        <v>8</v>
      </c>
      <c r="Z80" s="35" t="str">
        <f t="shared" ca="1" si="47"/>
        <v>Eintracht FrankfurtReal Madrid</v>
      </c>
      <c r="AA80" s="13">
        <f t="shared" ca="1" si="46"/>
        <v>1</v>
      </c>
      <c r="AB80" s="13" t="str">
        <f ca="1">IF(AA80&gt;0,X80&amp;Sprache!$E$111&amp;Y80,"")</f>
        <v>2:8</v>
      </c>
      <c r="AD80" s="143"/>
      <c r="AE80" s="148">
        <f ca="1">IF($AA80=0,"",IF($X80&gt;$Y80,Einstellungen!$C$4,IF($X80=$Y80,1,0)))</f>
        <v>0</v>
      </c>
      <c r="AF80" s="143">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FC Barcelona</v>
      </c>
      <c r="W81" s="13" t="str">
        <f ca="1">'Endrunde 4'!$K29</f>
        <v>Borussia Dortmund</v>
      </c>
      <c r="X81" s="13">
        <f ca="1">IF(AND('Endrunde 4'!$L29&lt;&gt;"",'Endrunde 4'!$N29&lt;&gt;"",$V81&lt;&gt;$W81,$V81&lt;&gt;"",$W81&lt;&gt;""),'Endrunde 4'!$L29,"")</f>
        <v>4</v>
      </c>
      <c r="Y81" s="36">
        <f ca="1">IF(AND('Endrunde 4'!$L29&lt;&gt;"",'Endrunde 4'!$N29&lt;&gt;"",$V81&lt;&gt;$W81,$V81&lt;&gt;"",$W81&lt;&gt;""),'Endrunde 4'!$N29,"")</f>
        <v>0</v>
      </c>
      <c r="Z81" s="35" t="str">
        <f t="shared" ca="1" si="47"/>
        <v>FC BarcelonaBorussia Dortmund</v>
      </c>
      <c r="AA81" s="13">
        <f t="shared" ca="1" si="46"/>
        <v>1</v>
      </c>
      <c r="AB81" s="13" t="str">
        <f ca="1">IF(AA81&gt;0,X81&amp;Sprache!$E$111&amp;Y81,"")</f>
        <v>4:0</v>
      </c>
      <c r="AD81" s="143"/>
      <c r="AE81" s="148">
        <f ca="1">IF($AA81=0,"",IF($X81&gt;$Y81,Einstellungen!$C$4,IF($X81=$Y81,1,0)))</f>
        <v>3</v>
      </c>
      <c r="AF81" s="143">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'Endrunde 4'!$I30</f>
        <v/>
      </c>
      <c r="W82" s="13" t="str">
        <f ca="1">'Endrunde 4'!$K30</f>
        <v/>
      </c>
      <c r="X82" s="13" t="str">
        <f ca="1">IF(AND('Endrunde 4'!$L30&lt;&gt;"",'Endrunde 4'!$N30&lt;&gt;"",$V82&lt;&gt;$W82,$V82&lt;&gt;"",$W82&lt;&gt;""),'Endrunde 4'!$L30,"")</f>
        <v/>
      </c>
      <c r="Y82" s="36" t="str">
        <f ca="1">IF(AND('Endrunde 4'!$L30&lt;&gt;"",'Endrunde 4'!$N30&lt;&gt;"",$V82&lt;&gt;$W82,$V82&lt;&gt;"",$W82&lt;&gt;""),'Endrunde 4'!$N30,"")</f>
        <v/>
      </c>
      <c r="Z82" s="35" t="str">
        <f t="shared" ca="1" si="47"/>
        <v/>
      </c>
      <c r="AA82" s="13">
        <f t="shared" ca="1" si="46"/>
        <v>0</v>
      </c>
      <c r="AB82" s="13" t="str">
        <f ca="1">IF(AA82&gt;0,X82&amp;Sprache!$E$111&amp;Y82,"")</f>
        <v/>
      </c>
      <c r="AD82" s="143"/>
      <c r="AE82" s="148" t="str">
        <f ca="1">IF($AA82=0,"",IF($X82&gt;$Y82,Einstellungen!$C$4,IF($X82=$Y82,1,0)))</f>
        <v/>
      </c>
      <c r="AF82" s="143" t="str">
        <f ca="1">IF($AA82=0,"",IF($X82&lt;$Y82,Einstellungen!$C$4,IF($X82=$Y82,1,0)))</f>
        <v/>
      </c>
    </row>
    <row r="83" spans="2:32" s="2" customFormat="1" x14ac:dyDescent="0.2">
      <c r="B83" s="4"/>
      <c r="C83" s="4"/>
      <c r="D83" s="4"/>
      <c r="E83" s="4"/>
      <c r="F83" s="13"/>
      <c r="G83" s="13"/>
      <c r="H83" s="13"/>
      <c r="I83" s="13"/>
      <c r="J83" s="13"/>
      <c r="K83" s="13"/>
      <c r="L83" s="13"/>
      <c r="M83" s="13"/>
      <c r="U83" s="67" t="s">
        <v>35</v>
      </c>
      <c r="V83" s="41" t="str">
        <f ca="1">'Endrunde 4'!$I31</f>
        <v>TSG Saalberg eV</v>
      </c>
      <c r="W83" s="13" t="str">
        <f ca="1">'Endrunde 4'!$K31</f>
        <v>SSV Wildbach</v>
      </c>
      <c r="X83" s="13">
        <f ca="1">IF(AND('Endrunde 4'!$L31&lt;&gt;"",'Endrunde 4'!$N31&lt;&gt;"",$V83&lt;&gt;$W83,$V83&lt;&gt;"",$W83&lt;&gt;""),'Endrunde 4'!$L31,"")</f>
        <v>4</v>
      </c>
      <c r="Y83" s="36">
        <f ca="1">IF(AND('Endrunde 4'!$L31&lt;&gt;"",'Endrunde 4'!$N31&lt;&gt;"",$V83&lt;&gt;$W83,$V83&lt;&gt;"",$W83&lt;&gt;""),'Endrunde 4'!$N31,"")</f>
        <v>1</v>
      </c>
      <c r="Z83" s="35" t="str">
        <f t="shared" ca="1" si="47"/>
        <v>TSG Saalberg eVSSV Wildbach</v>
      </c>
      <c r="AA83" s="13">
        <f t="shared" ca="1" si="46"/>
        <v>1</v>
      </c>
      <c r="AB83" s="13" t="str">
        <f ca="1">IF(AA83&gt;0,X83&amp;Sprache!$E$111&amp;Y83,"")</f>
        <v>4:1</v>
      </c>
      <c r="AD83" s="143"/>
      <c r="AE83" s="148">
        <f ca="1">IF($AA83=0,"",IF($X83&gt;$Y83,Einstellungen!$C$4,IF($X83=$Y83,1,0)))</f>
        <v>3</v>
      </c>
      <c r="AF83" s="143">
        <f ca="1">IF($AA83=0,"",IF($X83&lt;$Y83,Einstellungen!$C$4,IF($X83=$Y83,1,0)))</f>
        <v>0</v>
      </c>
    </row>
    <row r="84" spans="2:32" s="2" customFormat="1" x14ac:dyDescent="0.2">
      <c r="B84" s="4"/>
      <c r="C84" s="4"/>
      <c r="D84" s="4"/>
      <c r="E84" s="4"/>
      <c r="F84" s="13"/>
      <c r="G84" s="13"/>
      <c r="H84" s="13"/>
      <c r="I84" s="13"/>
      <c r="J84" s="13"/>
      <c r="K84" s="13"/>
      <c r="L84" s="13"/>
      <c r="M84" s="13"/>
      <c r="U84" s="67" t="s">
        <v>36</v>
      </c>
      <c r="V84" s="41" t="str">
        <f ca="1">'Endrunde 4'!$I32</f>
        <v>SV Oberredenburg</v>
      </c>
      <c r="W84" s="13" t="str">
        <f ca="1">'Endrunde 4'!$K32</f>
        <v>FC Grönlingen</v>
      </c>
      <c r="X84" s="13">
        <f ca="1">IF(AND('Endrunde 4'!$L32&lt;&gt;"",'Endrunde 4'!$N32&lt;&gt;"",$V84&lt;&gt;$W84,$V84&lt;&gt;"",$W84&lt;&gt;""),'Endrunde 4'!$L32,"")</f>
        <v>3</v>
      </c>
      <c r="Y84" s="36">
        <f ca="1">IF(AND('Endrunde 4'!$L32&lt;&gt;"",'Endrunde 4'!$N32&lt;&gt;"",$V84&lt;&gt;$W84,$V84&lt;&gt;"",$W84&lt;&gt;""),'Endrunde 4'!$N32,"")</f>
        <v>2</v>
      </c>
      <c r="Z84" s="35" t="str">
        <f t="shared" ca="1" si="47"/>
        <v>SV OberredenburgFC Grönlingen</v>
      </c>
      <c r="AA84" s="13">
        <f t="shared" ca="1" si="46"/>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'Endrunde 4'!$I33</f>
        <v>HSV</v>
      </c>
      <c r="W85" s="13" t="str">
        <f ca="1">'Endrunde 4'!$K33</f>
        <v>Mainz 05</v>
      </c>
      <c r="X85" s="13">
        <f ca="1">IF(AND('Endrunde 4'!$L33&lt;&gt;"",'Endrunde 4'!$N33&lt;&gt;"",$V85&lt;&gt;$W85,$V85&lt;&gt;"",$W85&lt;&gt;""),'Endrunde 4'!$L33,"")</f>
        <v>0</v>
      </c>
      <c r="Y85" s="36">
        <f ca="1">IF(AND('Endrunde 4'!$L33&lt;&gt;"",'Endrunde 4'!$N33&lt;&gt;"",$V85&lt;&gt;$W85,$V85&lt;&gt;"",$W85&lt;&gt;""),'Endrunde 4'!$N33,"")</f>
        <v>3</v>
      </c>
      <c r="Z85" s="35" t="str">
        <f t="shared" ca="1" si="47"/>
        <v>HSVMainz 05</v>
      </c>
      <c r="AA85" s="13">
        <f t="shared" ca="1" si="46"/>
        <v>1</v>
      </c>
      <c r="AB85" s="13" t="str">
        <f ca="1">IF(AA85&gt;0,X85&amp;Sprache!$E$111&amp;Y85,"")</f>
        <v>0:3</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RB Leipzig</v>
      </c>
      <c r="W86" s="13" t="str">
        <f ca="1">'Endrunde 4'!$K34</f>
        <v>Inter Mailand</v>
      </c>
      <c r="X86" s="13">
        <f ca="1">IF(AND('Endrunde 4'!$L34&lt;&gt;"",'Endrunde 4'!$N34&lt;&gt;"",$V86&lt;&gt;$W86,$V86&lt;&gt;"",$W86&lt;&gt;""),'Endrunde 4'!$L34,"")</f>
        <v>1</v>
      </c>
      <c r="Y86" s="36">
        <f ca="1">IF(AND('Endrunde 4'!$L34&lt;&gt;"",'Endrunde 4'!$N34&lt;&gt;"",$V86&lt;&gt;$W86,$V86&lt;&gt;"",$W86&lt;&gt;""),'Endrunde 4'!$N34,"")</f>
        <v>1</v>
      </c>
      <c r="Z86" s="35" t="str">
        <f t="shared" ca="1" si="47"/>
        <v>RB LeipzigInter Mailand</v>
      </c>
      <c r="AA86" s="13">
        <f t="shared" ca="1" si="46"/>
        <v>1</v>
      </c>
      <c r="AB86" s="13" t="str">
        <f ca="1">IF(AA86&gt;0,X86&amp;Sprache!$E$111&amp;Y86,"")</f>
        <v>1:1</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'Endrunde 4'!$I35</f>
        <v>Paris St. Germain</v>
      </c>
      <c r="W87" s="13" t="str">
        <f ca="1">'Endrunde 4'!$K35</f>
        <v>Manchester City</v>
      </c>
      <c r="X87" s="13">
        <f ca="1">IF(AND('Endrunde 4'!$L35&lt;&gt;"",'Endrunde 4'!$N35&lt;&gt;"",$V87&lt;&gt;$W87,$V87&lt;&gt;"",$W87&lt;&gt;""),'Endrunde 4'!$L35,"")</f>
        <v>3</v>
      </c>
      <c r="Y87" s="36">
        <f ca="1">IF(AND('Endrunde 4'!$L35&lt;&gt;"",'Endrunde 4'!$N35&lt;&gt;"",$V87&lt;&gt;$W87,$V87&lt;&gt;"",$W87&lt;&gt;""),'Endrunde 4'!$N35,"")</f>
        <v>2</v>
      </c>
      <c r="Z87" s="35" t="str">
        <f t="shared" ca="1" si="47"/>
        <v>Paris St. GermainManchester City</v>
      </c>
      <c r="AA87" s="13">
        <f t="shared" ca="1" si="46"/>
        <v>1</v>
      </c>
      <c r="AB87" s="13" t="str">
        <f ca="1">IF(AA87&gt;0,X87&amp;Sprache!$E$111&amp;Y87,"")</f>
        <v>3:2</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'Endrunde 4'!$I36</f>
        <v/>
      </c>
      <c r="W88" s="13" t="str">
        <f ca="1">'Endrunde 4'!$K36</f>
        <v/>
      </c>
      <c r="X88" s="13" t="str">
        <f ca="1">IF(AND('Endrunde 4'!$L36&lt;&gt;"",'Endrunde 4'!$N36&lt;&gt;"",$V88&lt;&gt;$W88,$V88&lt;&gt;"",$W88&lt;&gt;""),'Endrunde 4'!$L36,"")</f>
        <v/>
      </c>
      <c r="Y88" s="36" t="str">
        <f ca="1">IF(AND('Endrunde 4'!$L36&lt;&gt;"",'Endrunde 4'!$N36&lt;&gt;"",$V88&lt;&gt;$W88,$V88&lt;&gt;"",$W88&lt;&gt;""),'Endrunde 4'!$N36,"")</f>
        <v/>
      </c>
      <c r="Z88" s="35" t="str">
        <f t="shared" ca="1" si="47"/>
        <v/>
      </c>
      <c r="AA88" s="13">
        <f t="shared" ca="1" si="46"/>
        <v>0</v>
      </c>
      <c r="AB88" s="13" t="str">
        <f ca="1">IF(AA88&gt;0,X88&amp;Sprache!$E$111&amp;Y88,"")</f>
        <v/>
      </c>
      <c r="AD88" s="143"/>
      <c r="AE88" s="148" t="str">
        <f ca="1">IF($AA88=0,"",IF($X88&gt;$Y88,Einstellungen!$C$4,IF($X88=$Y88,1,0)))</f>
        <v/>
      </c>
      <c r="AF88" s="143"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'Endrunde 4'!$I37</f>
        <v>TSG Saalberg eV</v>
      </c>
      <c r="W89" s="13" t="str">
        <f ca="1">'Endrunde 4'!$K37</f>
        <v>Maibach 1822 eV</v>
      </c>
      <c r="X89" s="13">
        <f ca="1">IF(AND('Endrunde 4'!$L37&lt;&gt;"",'Endrunde 4'!$N37&lt;&gt;"",$V89&lt;&gt;$W89,$V89&lt;&gt;"",$W89&lt;&gt;""),'Endrunde 4'!$L37,"")</f>
        <v>2</v>
      </c>
      <c r="Y89" s="36">
        <f ca="1">IF(AND('Endrunde 4'!$L37&lt;&gt;"",'Endrunde 4'!$N37&lt;&gt;"",$V89&lt;&gt;$W89,$V89&lt;&gt;"",$W89&lt;&gt;""),'Endrunde 4'!$N37,"")</f>
        <v>0</v>
      </c>
      <c r="Z89" s="35" t="str">
        <f t="shared" ca="1" si="47"/>
        <v>TSG Saalberg eVMaibach 1822 eV</v>
      </c>
      <c r="AA89" s="13">
        <f t="shared" ca="1" si="46"/>
        <v>1</v>
      </c>
      <c r="AB89" s="13" t="str">
        <f ca="1">IF(AA89&gt;0,X89&amp;Sprache!$E$111&amp;Y89,"")</f>
        <v>2:0</v>
      </c>
      <c r="AD89" s="143"/>
      <c r="AE89" s="148">
        <f ca="1">IF($AA89=0,"",IF($X89&gt;$Y89,Einstellungen!$C$4,IF($X89=$Y89,1,0)))</f>
        <v>3</v>
      </c>
      <c r="AF89" s="143">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'Endrunde 4'!$I38</f>
        <v>SV Oberredenburg</v>
      </c>
      <c r="W90" s="13" t="str">
        <f ca="1">'Endrunde 4'!$K38</f>
        <v>VFB Essenheim</v>
      </c>
      <c r="X90" s="13">
        <f ca="1">IF(AND('Endrunde 4'!$L38&lt;&gt;"",'Endrunde 4'!$N38&lt;&gt;"",$V90&lt;&gt;$W90,$V90&lt;&gt;"",$W90&lt;&gt;""),'Endrunde 4'!$L38,"")</f>
        <v>1</v>
      </c>
      <c r="Y90" s="36">
        <f ca="1">IF(AND('Endrunde 4'!$L38&lt;&gt;"",'Endrunde 4'!$N38&lt;&gt;"",$V90&lt;&gt;$W90,$V90&lt;&gt;"",$W90&lt;&gt;""),'Endrunde 4'!$N38,"")</f>
        <v>0</v>
      </c>
      <c r="Z90" s="35" t="str">
        <f t="shared" ca="1" si="47"/>
        <v>SV OberredenburgVFB Essenheim</v>
      </c>
      <c r="AA90" s="13">
        <f t="shared" ca="1" si="46"/>
        <v>1</v>
      </c>
      <c r="AB90" s="13" t="str">
        <f ca="1">IF(AA90&gt;0,X90&amp;Sprache!$E$111&amp;Y90,"")</f>
        <v>1:0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'Endrunde 4'!$I39</f>
        <v>HSV</v>
      </c>
      <c r="W91" s="13" t="str">
        <f ca="1">'Endrunde 4'!$K39</f>
        <v>1. FC Riedwald</v>
      </c>
      <c r="X91" s="13">
        <f ca="1">IF(AND('Endrunde 4'!$L39&lt;&gt;"",'Endrunde 4'!$N39&lt;&gt;"",$V91&lt;&gt;$W91,$V91&lt;&gt;"",$W91&lt;&gt;""),'Endrunde 4'!$L39,"")</f>
        <v>2</v>
      </c>
      <c r="Y91" s="36">
        <f ca="1">IF(AND('Endrunde 4'!$L39&lt;&gt;"",'Endrunde 4'!$N39&lt;&gt;"",$V91&lt;&gt;$W91,$V91&lt;&gt;"",$W91&lt;&gt;""),'Endrunde 4'!$N39,"")</f>
        <v>0</v>
      </c>
      <c r="Z91" s="35" t="str">
        <f t="shared" ca="1" si="47"/>
        <v>HSV1. FC Riedwald</v>
      </c>
      <c r="AA91" s="13">
        <f t="shared" ca="1" si="46"/>
        <v>1</v>
      </c>
      <c r="AB91" s="13" t="str">
        <f ca="1">IF(AA91&gt;0,X91&amp;Sprache!$E$111&amp;Y91,"")</f>
        <v>2:0</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'Endrunde 4'!$I40</f>
        <v>RB Leipzig</v>
      </c>
      <c r="W92" s="13" t="str">
        <f ca="1">'Endrunde 4'!$K40</f>
        <v>Eintracht Frankfurt</v>
      </c>
      <c r="X92" s="13">
        <f ca="1">IF(AND('Endrunde 4'!$L40&lt;&gt;"",'Endrunde 4'!$N40&lt;&gt;"",$V92&lt;&gt;$W92,$V92&lt;&gt;"",$W92&lt;&gt;""),'Endrunde 4'!$L40,"")</f>
        <v>1</v>
      </c>
      <c r="Y92" s="36">
        <f ca="1">IF(AND('Endrunde 4'!$L40&lt;&gt;"",'Endrunde 4'!$N40&lt;&gt;"",$V92&lt;&gt;$W92,$V92&lt;&gt;"",$W92&lt;&gt;""),'Endrunde 4'!$N40,"")</f>
        <v>1</v>
      </c>
      <c r="Z92" s="35" t="str">
        <f t="shared" ca="1" si="47"/>
        <v>RB LeipzigEintracht Frankfurt</v>
      </c>
      <c r="AA92" s="13">
        <f t="shared" ca="1" si="46"/>
        <v>1</v>
      </c>
      <c r="AB92" s="13" t="str">
        <f ca="1">IF(AA92&gt;0,X92&amp;Sprache!$E$111&amp;Y92,"")</f>
        <v>1:1</v>
      </c>
      <c r="AD92" s="143"/>
      <c r="AE92" s="148">
        <f ca="1">IF($AA92=0,"",IF($X92&gt;$Y92,Einstellungen!$C$4,IF($X92=$Y92,1,0)))</f>
        <v>1</v>
      </c>
      <c r="AF92" s="143">
        <f ca="1">IF($AA92=0,"",IF($X92&lt;$Y92,Einstellungen!$C$4,IF($X92=$Y92,1,0)))</f>
        <v>1</v>
      </c>
    </row>
    <row r="93" spans="2:32" s="2" customFormat="1" x14ac:dyDescent="0.2">
      <c r="B93" s="4"/>
      <c r="C93" s="4"/>
      <c r="D93" s="4"/>
      <c r="E93" s="4"/>
      <c r="F93" s="13"/>
      <c r="G93" s="13"/>
      <c r="H93" s="13"/>
      <c r="I93" s="13"/>
      <c r="J93" s="13"/>
      <c r="K93" s="13"/>
      <c r="L93" s="13"/>
      <c r="M93" s="13"/>
      <c r="U93" s="67" t="s">
        <v>45</v>
      </c>
      <c r="V93" s="41" t="str">
        <f ca="1">'Endrunde 4'!$I41</f>
        <v>Paris St. Germain</v>
      </c>
      <c r="W93" s="13" t="str">
        <f ca="1">'Endrunde 4'!$K41</f>
        <v>FC Barcelona</v>
      </c>
      <c r="X93" s="13">
        <f ca="1">IF(AND('Endrunde 4'!$L41&lt;&gt;"",'Endrunde 4'!$N41&lt;&gt;"",$V93&lt;&gt;$W93,$V93&lt;&gt;"",$W93&lt;&gt;""),'Endrunde 4'!$L41,"")</f>
        <v>1</v>
      </c>
      <c r="Y93" s="36">
        <f ca="1">IF(AND('Endrunde 4'!$L41&lt;&gt;"",'Endrunde 4'!$N41&lt;&gt;"",$V93&lt;&gt;$W93,$V93&lt;&gt;"",$W93&lt;&gt;""),'Endrunde 4'!$N41,"")</f>
        <v>2</v>
      </c>
      <c r="Z93" s="35" t="str">
        <f t="shared" ca="1" si="47"/>
        <v>Paris St. GermainFC Barcelona</v>
      </c>
      <c r="AA93" s="13">
        <f t="shared" ca="1" si="46"/>
        <v>1</v>
      </c>
      <c r="AB93" s="13" t="str">
        <f ca="1">IF(AA93&gt;0,X93&amp;Sprache!$E$111&amp;Y93,"")</f>
        <v>1:2</v>
      </c>
      <c r="AD93" s="143"/>
      <c r="AE93" s="148">
        <f ca="1">IF($AA93=0,"",IF($X93&gt;$Y93,Einstellungen!$C$4,IF($X93=$Y93,1,0)))</f>
        <v>0</v>
      </c>
      <c r="AF93" s="143">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'Endrunde 4'!$I42</f>
        <v/>
      </c>
      <c r="W94" s="13" t="str">
        <f ca="1">'Endrunde 4'!$K42</f>
        <v/>
      </c>
      <c r="X94" s="13" t="str">
        <f ca="1">IF(AND('Endrunde 4'!$L42&lt;&gt;"",'Endrunde 4'!$N42&lt;&gt;"",$V94&lt;&gt;$W94,$V94&lt;&gt;"",$W94&lt;&gt;""),'Endrunde 4'!$L42,"")</f>
        <v/>
      </c>
      <c r="Y94" s="36" t="str">
        <f ca="1">IF(AND('Endrunde 4'!$L42&lt;&gt;"",'Endrunde 4'!$N42&lt;&gt;"",$V94&lt;&gt;$W94,$V94&lt;&gt;"",$W94&lt;&gt;""),'Endrunde 4'!$N42,"")</f>
        <v/>
      </c>
      <c r="Z94" s="35" t="str">
        <f t="shared" ca="1" si="47"/>
        <v/>
      </c>
      <c r="AA94" s="13">
        <f t="shared" ca="1" si="46"/>
        <v>0</v>
      </c>
      <c r="AB94" s="13" t="str">
        <f ca="1">IF(AA94&gt;0,X94&amp;Sprache!$E$111&amp;Y94,"")</f>
        <v/>
      </c>
      <c r="AD94" s="143"/>
      <c r="AE94" s="148" t="str">
        <f ca="1">IF($AA94=0,"",IF($X94&gt;$Y94,Einstellungen!$C$4,IF($X94=$Y94,1,0)))</f>
        <v/>
      </c>
      <c r="AF94" s="143"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'Endrunde 4'!$I43</f>
        <v>SSV Wildbach</v>
      </c>
      <c r="W95" s="13" t="str">
        <f ca="1">'Endrunde 4'!$K43</f>
        <v>FSV Rauen</v>
      </c>
      <c r="X95" s="13">
        <f ca="1">IF(AND('Endrunde 4'!$L43&lt;&gt;"",'Endrunde 4'!$N43&lt;&gt;"",$V95&lt;&gt;$W95,$V95&lt;&gt;"",$W95&lt;&gt;""),'Endrunde 4'!$L43,"")</f>
        <v>3</v>
      </c>
      <c r="Y95" s="36">
        <f ca="1">IF(AND('Endrunde 4'!$L43&lt;&gt;"",'Endrunde 4'!$N43&lt;&gt;"",$V95&lt;&gt;$W95,$V95&lt;&gt;"",$W95&lt;&gt;""),'Endrunde 4'!$N43,"")</f>
        <v>1</v>
      </c>
      <c r="Z95" s="35" t="str">
        <f t="shared" ca="1" si="47"/>
        <v>SSV WildbachFSV Rauen</v>
      </c>
      <c r="AA95" s="13">
        <f t="shared" ca="1" si="46"/>
        <v>1</v>
      </c>
      <c r="AB95" s="13" t="str">
        <f ca="1">IF(AA95&gt;0,X95&amp;Sprache!$E$111&amp;Y95,"")</f>
        <v>3:1</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'Endrunde 4'!$I44</f>
        <v>FC Grönlingen</v>
      </c>
      <c r="W96" s="13" t="str">
        <f ca="1">'Endrunde 4'!$K44</f>
        <v>Kickers Rodendorf</v>
      </c>
      <c r="X96" s="13">
        <f ca="1">IF(AND('Endrunde 4'!$L44&lt;&gt;"",'Endrunde 4'!$N44&lt;&gt;"",$V96&lt;&gt;$W96,$V96&lt;&gt;"",$W96&lt;&gt;""),'Endrunde 4'!$L44,"")</f>
        <v>4</v>
      </c>
      <c r="Y96" s="36">
        <f ca="1">IF(AND('Endrunde 4'!$L44&lt;&gt;"",'Endrunde 4'!$N44&lt;&gt;"",$V96&lt;&gt;$W96,$V96&lt;&gt;"",$W96&lt;&gt;""),'Endrunde 4'!$N44,"")</f>
        <v>3</v>
      </c>
      <c r="Z96" s="35" t="str">
        <f t="shared" ca="1" si="47"/>
        <v>FC GrönlingenKickers Rodendorf</v>
      </c>
      <c r="AA96" s="13">
        <f t="shared" ca="1" si="46"/>
        <v>1</v>
      </c>
      <c r="AB96" s="13" t="str">
        <f ca="1">IF(AA96&gt;0,X96&amp;Sprache!$E$111&amp;Y96,"")</f>
        <v>4:3</v>
      </c>
      <c r="AD96" s="143"/>
      <c r="AE96" s="148">
        <f ca="1">IF($AA96=0,"",IF($X96&gt;$Y96,Einstellungen!$C$4,IF($X96=$Y96,1,0)))</f>
        <v>3</v>
      </c>
      <c r="AF96" s="143">
        <f ca="1">IF($AA96=0,"",IF($X96&lt;$Y96,Einstellungen!$C$4,IF($X96=$Y96,1,0)))</f>
        <v>0</v>
      </c>
    </row>
    <row r="97" spans="2:32" s="2" customFormat="1" x14ac:dyDescent="0.2">
      <c r="B97" s="4"/>
      <c r="C97" s="4"/>
      <c r="D97" s="4"/>
      <c r="E97" s="4"/>
      <c r="F97" s="13"/>
      <c r="G97" s="13"/>
      <c r="H97" s="13"/>
      <c r="I97" s="13"/>
      <c r="J97" s="13"/>
      <c r="K97" s="13"/>
      <c r="L97" s="13"/>
      <c r="M97" s="13"/>
      <c r="U97" s="67" t="s">
        <v>49</v>
      </c>
      <c r="V97" s="41" t="str">
        <f ca="1">'Endrunde 4'!$I45</f>
        <v>Mainz 05</v>
      </c>
      <c r="W97" s="13" t="str">
        <f ca="1">'Endrunde 4'!$K45</f>
        <v>1. FC Nürnberg</v>
      </c>
      <c r="X97" s="13">
        <f ca="1">IF(AND('Endrunde 4'!$L45&lt;&gt;"",'Endrunde 4'!$N45&lt;&gt;"",$V97&lt;&gt;$W97,$V97&lt;&gt;"",$W97&lt;&gt;""),'Endrunde 4'!$L45,"")</f>
        <v>1</v>
      </c>
      <c r="Y97" s="36">
        <f ca="1">IF(AND('Endrunde 4'!$L45&lt;&gt;"",'Endrunde 4'!$N45&lt;&gt;"",$V97&lt;&gt;$W97,$V97&lt;&gt;"",$W97&lt;&gt;""),'Endrunde 4'!$N45,"")</f>
        <v>1</v>
      </c>
      <c r="Z97" s="35" t="str">
        <f t="shared" ca="1" si="47"/>
        <v>Mainz 051. FC Nürnberg</v>
      </c>
      <c r="AA97" s="13">
        <f t="shared" ca="1" si="46"/>
        <v>1</v>
      </c>
      <c r="AB97" s="13" t="str">
        <f ca="1">IF(AA97&gt;0,X97&amp;Sprache!$E$111&amp;Y97,"")</f>
        <v>1:1</v>
      </c>
      <c r="AD97" s="143"/>
      <c r="AE97" s="148">
        <f ca="1">IF($AA97=0,"",IF($X97&gt;$Y97,Einstellungen!$C$4,IF($X97=$Y97,1,0)))</f>
        <v>1</v>
      </c>
      <c r="AF97" s="143">
        <f ca="1">IF($AA97=0,"",IF($X97&lt;$Y97,Einstellungen!$C$4,IF($X97=$Y97,1,0)))</f>
        <v>1</v>
      </c>
    </row>
    <row r="98" spans="2:32" s="2" customFormat="1" x14ac:dyDescent="0.2">
      <c r="B98" s="4"/>
      <c r="C98" s="4"/>
      <c r="D98" s="4"/>
      <c r="E98" s="4"/>
      <c r="F98" s="13"/>
      <c r="G98" s="13"/>
      <c r="H98" s="13"/>
      <c r="I98" s="13"/>
      <c r="J98" s="13"/>
      <c r="K98" s="13"/>
      <c r="L98" s="13"/>
      <c r="M98" s="13"/>
      <c r="U98" s="67" t="s">
        <v>50</v>
      </c>
      <c r="V98" s="41" t="str">
        <f ca="1">'Endrunde 4'!$I46</f>
        <v>Inter Mailand</v>
      </c>
      <c r="W98" s="13" t="str">
        <f ca="1">'Endrunde 4'!$K46</f>
        <v>Real Madrid</v>
      </c>
      <c r="X98" s="13">
        <f ca="1">IF(AND('Endrunde 4'!$L46&lt;&gt;"",'Endrunde 4'!$N46&lt;&gt;"",$V98&lt;&gt;$W98,$V98&lt;&gt;"",$W98&lt;&gt;""),'Endrunde 4'!$L46,"")</f>
        <v>1</v>
      </c>
      <c r="Y98" s="36">
        <f ca="1">IF(AND('Endrunde 4'!$L46&lt;&gt;"",'Endrunde 4'!$N46&lt;&gt;"",$V98&lt;&gt;$W98,$V98&lt;&gt;"",$W98&lt;&gt;""),'Endrunde 4'!$N46,"")</f>
        <v>4</v>
      </c>
      <c r="Z98" s="35" t="str">
        <f t="shared" ca="1" si="47"/>
        <v>Inter MailandReal Madrid</v>
      </c>
      <c r="AA98" s="13">
        <f t="shared" ca="1" si="46"/>
        <v>1</v>
      </c>
      <c r="AB98" s="13" t="str">
        <f ca="1">IF(AA98&gt;0,X98&amp;Sprache!$E$111&amp;Y98,"")</f>
        <v>1:4</v>
      </c>
      <c r="AD98" s="143"/>
      <c r="AE98" s="148">
        <f ca="1">IF($AA98=0,"",IF($X98&gt;$Y98,Einstellungen!$C$4,IF($X98=$Y98,1,0)))</f>
        <v>0</v>
      </c>
      <c r="AF98" s="143">
        <f ca="1">IF($AA98=0,"",IF($X98&lt;$Y98,Einstellungen!$C$4,IF($X98=$Y98,1,0)))</f>
        <v>3</v>
      </c>
    </row>
    <row r="99" spans="2:32" s="2" customFormat="1" ht="12.75" thickBot="1" x14ac:dyDescent="0.25">
      <c r="B99" s="4"/>
      <c r="C99" s="4"/>
      <c r="D99" s="4"/>
      <c r="E99" s="4"/>
      <c r="F99" s="13"/>
      <c r="G99" s="13"/>
      <c r="H99" s="13"/>
      <c r="I99" s="13"/>
      <c r="J99" s="13"/>
      <c r="K99" s="13"/>
      <c r="L99" s="13"/>
      <c r="M99" s="13"/>
      <c r="U99" s="67" t="s">
        <v>51</v>
      </c>
      <c r="V99" s="41" t="str">
        <f ca="1">'Endrunde 4'!$I47</f>
        <v>Manchester City</v>
      </c>
      <c r="W99" s="13" t="str">
        <f ca="1">'Endrunde 4'!$K47</f>
        <v>Borussia Dortmund</v>
      </c>
      <c r="X99" s="13">
        <f ca="1">IF(AND('Endrunde 4'!$L47&lt;&gt;"",'Endrunde 4'!$N47&lt;&gt;"",$V99&lt;&gt;$W99,$V99&lt;&gt;"",$W99&lt;&gt;""),'Endrunde 4'!$L47,"")</f>
        <v>2</v>
      </c>
      <c r="Y99" s="36">
        <f ca="1">IF(AND('Endrunde 4'!$L47&lt;&gt;"",'Endrunde 4'!$N47&lt;&gt;"",$V99&lt;&gt;$W99,$V99&lt;&gt;"",$W99&lt;&gt;""),'Endrunde 4'!$N47,"")</f>
        <v>2</v>
      </c>
      <c r="Z99" s="35" t="str">
        <f t="shared" ca="1" si="47"/>
        <v>Manchester CityBorussia Dortmund</v>
      </c>
      <c r="AA99" s="13">
        <f t="shared" ca="1" si="46"/>
        <v>1</v>
      </c>
      <c r="AB99" s="13" t="str">
        <f ca="1">IF(AA99&gt;0,X99&amp;Sprache!$E$111&amp;Y99,"")</f>
        <v>2:2</v>
      </c>
      <c r="AD99" s="143"/>
      <c r="AE99" s="148">
        <f ca="1">IF($AA99=0,"",IF($X99&gt;$Y99,Einstellungen!$C$4,IF($X99=$Y99,1,0)))</f>
        <v>1</v>
      </c>
      <c r="AF99" s="143">
        <f ca="1">IF($AA99=0,"",IF($X99&lt;$Y99,Einstellungen!$C$4,IF($X99=$Y99,1,0)))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IF(AA100&gt;0,X100&amp;Sprache!$E$111&amp;Y100,"")</f>
        <v/>
      </c>
      <c r="AC100" s="296"/>
      <c r="AD100" s="297"/>
      <c r="AE100" s="298" t="str">
        <f>IF($AA100=0,"",IF($X100&gt;$Y100,Einstellungen!$C$4,IF($X100=$Y100,1,0)))</f>
        <v/>
      </c>
      <c r="AF100" s="297"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IF(AA101&gt;0,X101&amp;Sprache!$E$111&amp;Y101,"")</f>
        <v/>
      </c>
      <c r="AD101" s="143"/>
      <c r="AE101" s="148" t="str">
        <f>IF($AA101=0,"",IF($X101&gt;$Y101,Einstellungen!$C$4,IF($X101=$Y101,1,0)))</f>
        <v/>
      </c>
      <c r="AF101" s="143"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IF(AA102&gt;0,X102&amp;Sprache!$E$111&amp;Y102,"")</f>
        <v/>
      </c>
      <c r="AD102" s="143"/>
      <c r="AE102" s="148" t="str">
        <f>IF($AA102=0,"",IF($X102&gt;$Y102,Einstellungen!$C$4,IF($X102=$Y102,1,0)))</f>
        <v/>
      </c>
      <c r="AF102" s="143"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IF(AA103&gt;0,X103&amp;Sprache!$E$111&amp;Y103,"")</f>
        <v/>
      </c>
      <c r="AD103" s="143"/>
      <c r="AE103" s="148" t="str">
        <f>IF($AA103=0,"",IF($X103&gt;$Y103,Einstellungen!$C$4,IF($X103=$Y103,1,0)))</f>
        <v/>
      </c>
      <c r="AF103" s="143"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IF(AA104&gt;0,X104&amp;Sprache!$E$111&amp;Y104,"")</f>
        <v/>
      </c>
      <c r="AD104" s="143"/>
      <c r="AE104" s="148" t="str">
        <f>IF($AA104=0,"",IF($X104&gt;$Y104,Einstellungen!$C$4,IF($X104=$Y104,1,0)))</f>
        <v/>
      </c>
      <c r="AF104" s="143"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IF(AA105&gt;0,X105&amp;Sprache!$E$111&amp;Y105,"")</f>
        <v/>
      </c>
      <c r="AD105" s="143"/>
      <c r="AE105" s="148" t="str">
        <f>IF($AA105=0,"",IF($X105&gt;$Y105,Einstellungen!$C$4,IF($X105=$Y105,1,0)))</f>
        <v/>
      </c>
      <c r="AF105" s="143"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IF(AA106&gt;0,X106&amp;Sprache!$E$111&amp;Y106,"")</f>
        <v/>
      </c>
      <c r="AD106" s="143"/>
      <c r="AE106" s="148" t="str">
        <f>IF($AA106=0,"",IF($X106&gt;$Y106,Einstellungen!$C$4,IF($X106=$Y106,1,0)))</f>
        <v/>
      </c>
      <c r="AF106" s="143"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IF(AA107&gt;0,X107&amp;Sprache!$E$111&amp;Y107,"")</f>
        <v/>
      </c>
      <c r="AD107" s="143"/>
      <c r="AE107" s="148" t="str">
        <f>IF($AA107=0,"",IF($X107&gt;$Y107,Einstellungen!$C$4,IF($X107=$Y107,1,0)))</f>
        <v/>
      </c>
      <c r="AF107" s="143"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IF(AA108&gt;0,X108&amp;Sprache!$E$111&amp;Y108,"")</f>
        <v/>
      </c>
      <c r="AD108" s="143"/>
      <c r="AE108" s="148" t="str">
        <f>IF($AA108=0,"",IF($X108&gt;$Y108,Einstellungen!$C$4,IF($X108=$Y108,1,0)))</f>
        <v/>
      </c>
      <c r="AF108" s="143"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IF($AA109=0,"",IF($X109&gt;$Y109,Einstellungen!$C$4,IF($X109=$Y109,1,0)))</f>
        <v/>
      </c>
      <c r="AF109" s="143"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IF($AA110=0,"",IF($X110&gt;$Y110,Einstellungen!$C$4,IF($X110=$Y110,1,0)))</f>
        <v/>
      </c>
      <c r="AF110" s="143"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IF($AA111=0,"",IF($X111&gt;$Y111,Einstellungen!$C$4,IF($X111=$Y111,1,0)))</f>
        <v/>
      </c>
      <c r="AF111" s="143"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IF($AA112=0,"",IF($X112&gt;$Y112,Einstellungen!$C$4,IF($X112=$Y112,1,0)))</f>
        <v/>
      </c>
      <c r="AF112" s="143"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IF($AA113=0,"",IF($X113&gt;$Y113,Einstellungen!$C$4,IF($X113=$Y113,1,0)))</f>
        <v/>
      </c>
      <c r="AF113" s="143"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IF($AA114=0,"",IF($X114&gt;$Y114,Einstellungen!$C$4,IF($X114=$Y114,1,0)))</f>
        <v/>
      </c>
      <c r="AF114" s="143"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IF($AA115=0,"",IF($X115&gt;$Y115,Einstellungen!$C$4,IF($X115=$Y115,1,0)))</f>
        <v/>
      </c>
      <c r="AF115" s="143"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IF($AA116=0,"",IF($X116&gt;$Y116,Einstellungen!$C$4,IF($X116=$Y116,1,0)))</f>
        <v/>
      </c>
      <c r="AF116" s="143"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IF($AA117=0,"",IF($X117&gt;$Y117,Einstellungen!$C$4,IF($X117=$Y117,1,0)))</f>
        <v/>
      </c>
      <c r="AF117" s="143"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IF($AA118=0,"",IF($X118&gt;$Y118,Einstellungen!$C$4,IF($X118=$Y118,1,0)))</f>
        <v/>
      </c>
      <c r="AF118" s="143"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IF($AA119=0,"",IF($X119&gt;$Y119,Einstellungen!$C$4,IF($X119=$Y119,1,0)))</f>
        <v/>
      </c>
      <c r="AF119" s="143"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IF($AA120=0,"",IF($X120&gt;$Y120,Einstellungen!$C$4,IF($X120=$Y120,1,0)))</f>
        <v/>
      </c>
      <c r="AF120" s="143"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IF($AA121=0,"",IF($X121&gt;$Y121,Einstellungen!$C$4,IF($X121=$Y121,1,0)))</f>
        <v/>
      </c>
      <c r="AF121" s="143"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IF($AA122=0,"",IF($X122&gt;$Y122,Einstellungen!$C$4,IF($X122=$Y122,1,0)))</f>
        <v/>
      </c>
      <c r="AF122" s="143"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IF($AA123=0,"",IF($X123&gt;$Y123,Einstellungen!$C$4,IF($X123=$Y123,1,0)))</f>
        <v/>
      </c>
      <c r="AF123" s="143"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IF($AA124=0,"",IF($X124&gt;$Y124,Einstellungen!$C$4,IF($X124=$Y124,1,0)))</f>
        <v/>
      </c>
      <c r="AF124" s="143"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IF(AA136&gt;0,Y64&amp;Sprache!$E$111&amp;X64,"")</f>
        <v/>
      </c>
      <c r="AD136" s="143"/>
    </row>
    <row r="137" spans="2:32" x14ac:dyDescent="0.2">
      <c r="Y137" s="67" t="s">
        <v>8</v>
      </c>
      <c r="Z137" s="35" t="str">
        <f ca="1">W65&amp;V65</f>
        <v>SSV WildbachMaibach 1822 eV</v>
      </c>
      <c r="AA137" s="13">
        <f t="shared" ref="AA137:AA200" ca="1" si="49">AA65</f>
        <v>1</v>
      </c>
      <c r="AB137" s="13" t="str">
        <f ca="1">IF(AA137&gt;0,Y65&amp;Sprache!$E$111&amp;X65,"")</f>
        <v>4:2</v>
      </c>
      <c r="AC137" s="2"/>
      <c r="AD137" s="143"/>
    </row>
    <row r="138" spans="2:32" x14ac:dyDescent="0.2">
      <c r="Y138" s="67" t="s">
        <v>9</v>
      </c>
      <c r="Z138" s="35" t="str">
        <f t="shared" ref="Z138:Z201" ca="1" si="50">W66&amp;V66</f>
        <v>FC GrönlingenVFB Essenheim</v>
      </c>
      <c r="AA138" s="13">
        <f t="shared" ca="1" si="49"/>
        <v>1</v>
      </c>
      <c r="AB138" s="13" t="str">
        <f ca="1">IF(AA138&gt;0,Y66&amp;Sprache!$E$111&amp;X66,"")</f>
        <v>1:2</v>
      </c>
      <c r="AC138" s="2"/>
      <c r="AD138" s="143"/>
    </row>
    <row r="139" spans="2:32" x14ac:dyDescent="0.2">
      <c r="Y139" s="67" t="s">
        <v>10</v>
      </c>
      <c r="Z139" s="35" t="str">
        <f t="shared" ca="1" si="50"/>
        <v>Mainz 051. FC Riedwald</v>
      </c>
      <c r="AA139" s="13">
        <f t="shared" ca="1" si="49"/>
        <v>1</v>
      </c>
      <c r="AB139" s="13" t="str">
        <f ca="1">IF(AA139&gt;0,Y67&amp;Sprache!$E$111&amp;X67,"")</f>
        <v>0:0</v>
      </c>
      <c r="AC139" s="2"/>
      <c r="AD139" s="143"/>
    </row>
    <row r="140" spans="2:32" x14ac:dyDescent="0.2">
      <c r="Y140" s="67" t="s">
        <v>11</v>
      </c>
      <c r="Z140" s="35" t="str">
        <f t="shared" ca="1" si="50"/>
        <v>Inter MailandEintracht Frankfurt</v>
      </c>
      <c r="AA140" s="13">
        <f t="shared" ca="1" si="49"/>
        <v>1</v>
      </c>
      <c r="AB140" s="13" t="str">
        <f ca="1">IF(AA140&gt;0,Y68&amp;Sprache!$E$111&amp;X68,"")</f>
        <v>1:5</v>
      </c>
      <c r="AC140" s="2"/>
      <c r="AD140" s="143"/>
    </row>
    <row r="141" spans="2:32" x14ac:dyDescent="0.2">
      <c r="Y141" s="67" t="s">
        <v>12</v>
      </c>
      <c r="Z141" s="35" t="str">
        <f t="shared" ca="1" si="50"/>
        <v>Manchester CityFC Barcelona</v>
      </c>
      <c r="AA141" s="13">
        <f t="shared" ca="1" si="49"/>
        <v>1</v>
      </c>
      <c r="AB141" s="13" t="str">
        <f ca="1">IF(AA141&gt;0,Y69&amp;Sprache!$E$111&amp;X69,"")</f>
        <v>3:2</v>
      </c>
      <c r="AC141" s="2"/>
      <c r="AD141" s="143"/>
    </row>
    <row r="142" spans="2:32" x14ac:dyDescent="0.2">
      <c r="Y142" s="67" t="s">
        <v>17</v>
      </c>
      <c r="Z142" s="35" t="str">
        <f t="shared" ca="1" si="50"/>
        <v/>
      </c>
      <c r="AA142" s="13">
        <f t="shared" ca="1" si="49"/>
        <v>0</v>
      </c>
      <c r="AB142" s="13" t="str">
        <f ca="1">IF(AA142&gt;0,Y70&amp;Sprache!$E$111&amp;X70,"")</f>
        <v/>
      </c>
      <c r="AC142" s="2"/>
      <c r="AD142" s="143"/>
    </row>
    <row r="143" spans="2:32" x14ac:dyDescent="0.2">
      <c r="Y143" s="67" t="s">
        <v>18</v>
      </c>
      <c r="Z143" s="35" t="str">
        <f t="shared" ca="1" si="50"/>
        <v>TSG Saalberg eVFSV Rauen</v>
      </c>
      <c r="AA143" s="13">
        <f t="shared" ca="1" si="49"/>
        <v>1</v>
      </c>
      <c r="AB143" s="13" t="str">
        <f ca="1">IF(AA143&gt;0,Y71&amp;Sprache!$E$111&amp;X71,"")</f>
        <v>3:5</v>
      </c>
      <c r="AC143" s="2"/>
      <c r="AD143" s="143"/>
    </row>
    <row r="144" spans="2:32" x14ac:dyDescent="0.2">
      <c r="Y144" s="67" t="s">
        <v>19</v>
      </c>
      <c r="Z144" s="35" t="str">
        <f t="shared" ca="1" si="50"/>
        <v>SV OberredenburgKickers Rodendorf</v>
      </c>
      <c r="AA144" s="13">
        <f t="shared" ca="1" si="49"/>
        <v>1</v>
      </c>
      <c r="AB144" s="13" t="str">
        <f ca="1">IF(AA144&gt;0,Y72&amp;Sprache!$E$111&amp;X72,"")</f>
        <v>1:2</v>
      </c>
      <c r="AC144" s="2"/>
      <c r="AD144" s="143"/>
    </row>
    <row r="145" spans="25:30" x14ac:dyDescent="0.2">
      <c r="Y145" s="67" t="s">
        <v>25</v>
      </c>
      <c r="Z145" s="35" t="str">
        <f t="shared" ca="1" si="50"/>
        <v>HSV1. FC Nürnberg</v>
      </c>
      <c r="AA145" s="13">
        <f t="shared" ca="1" si="49"/>
        <v>1</v>
      </c>
      <c r="AB145" s="13" t="str">
        <f ca="1">IF(AA145&gt;0,Y73&amp;Sprache!$E$111&amp;X73,"")</f>
        <v>1:3</v>
      </c>
      <c r="AC145" s="2"/>
      <c r="AD145" s="143"/>
    </row>
    <row r="146" spans="25:30" x14ac:dyDescent="0.2">
      <c r="Y146" s="67" t="s">
        <v>26</v>
      </c>
      <c r="Z146" s="35" t="str">
        <f t="shared" ca="1" si="50"/>
        <v>RB LeipzigReal Madrid</v>
      </c>
      <c r="AA146" s="13">
        <f t="shared" ca="1" si="49"/>
        <v>1</v>
      </c>
      <c r="AB146" s="13" t="str">
        <f ca="1">IF(AA146&gt;0,Y74&amp;Sprache!$E$111&amp;X74,"")</f>
        <v>2:4</v>
      </c>
      <c r="AC146" s="2"/>
      <c r="AD146" s="143"/>
    </row>
    <row r="147" spans="25:30" x14ac:dyDescent="0.2">
      <c r="Y147" s="67" t="s">
        <v>27</v>
      </c>
      <c r="Z147" s="35" t="str">
        <f t="shared" ca="1" si="50"/>
        <v>Paris St. GermainBorussia Dortmund</v>
      </c>
      <c r="AA147" s="13">
        <f t="shared" ca="1" si="49"/>
        <v>1</v>
      </c>
      <c r="AB147" s="13" t="str">
        <f ca="1">IF(AA147&gt;0,Y75&amp;Sprache!$E$111&amp;X75,"")</f>
        <v>3:1</v>
      </c>
      <c r="AC147" s="2"/>
      <c r="AD147" s="143"/>
    </row>
    <row r="148" spans="25:30" x14ac:dyDescent="0.2">
      <c r="Y148" s="67" t="s">
        <v>28</v>
      </c>
      <c r="Z148" s="35" t="str">
        <f t="shared" ca="1" si="50"/>
        <v/>
      </c>
      <c r="AA148" s="13">
        <f t="shared" ca="1" si="49"/>
        <v>0</v>
      </c>
      <c r="AB148" s="13" t="str">
        <f ca="1">IF(AA148&gt;0,Y76&amp;Sprache!$E$111&amp;X76,"")</f>
        <v/>
      </c>
      <c r="AC148" s="2"/>
      <c r="AD148" s="143"/>
    </row>
    <row r="149" spans="25:30" x14ac:dyDescent="0.2">
      <c r="Y149" s="67" t="s">
        <v>29</v>
      </c>
      <c r="Z149" s="35" t="str">
        <f t="shared" ca="1" si="50"/>
        <v>FSV RauenMaibach 1822 eV</v>
      </c>
      <c r="AA149" s="13">
        <f t="shared" ca="1" si="49"/>
        <v>1</v>
      </c>
      <c r="AB149" s="13" t="str">
        <f ca="1">IF(AA149&gt;0,Y77&amp;Sprache!$E$111&amp;X77,"")</f>
        <v>5:1</v>
      </c>
      <c r="AC149" s="2"/>
      <c r="AD149" s="143"/>
    </row>
    <row r="150" spans="25:30" x14ac:dyDescent="0.2">
      <c r="Y150" s="67" t="s">
        <v>30</v>
      </c>
      <c r="Z150" s="35" t="str">
        <f t="shared" ca="1" si="50"/>
        <v>Kickers RodendorfVFB Essenheim</v>
      </c>
      <c r="AA150" s="13">
        <f t="shared" ca="1" si="49"/>
        <v>1</v>
      </c>
      <c r="AB150" s="13" t="str">
        <f ca="1">IF(AA150&gt;0,Y78&amp;Sprache!$E$111&amp;X78,"")</f>
        <v>4:4</v>
      </c>
      <c r="AC150" s="2"/>
      <c r="AD150" s="143"/>
    </row>
    <row r="151" spans="25:30" x14ac:dyDescent="0.2">
      <c r="Y151" s="67" t="s">
        <v>31</v>
      </c>
      <c r="Z151" s="35" t="str">
        <f t="shared" ca="1" si="50"/>
        <v>1. FC Nürnberg1. FC Riedwald</v>
      </c>
      <c r="AA151" s="13">
        <f t="shared" ca="1" si="49"/>
        <v>1</v>
      </c>
      <c r="AB151" s="13" t="str">
        <f ca="1">IF(AA151&gt;0,Y79&amp;Sprache!$E$111&amp;X79,"")</f>
        <v>7:0</v>
      </c>
      <c r="AC151" s="2"/>
      <c r="AD151" s="143"/>
    </row>
    <row r="152" spans="25:30" x14ac:dyDescent="0.2">
      <c r="Y152" s="67" t="s">
        <v>32</v>
      </c>
      <c r="Z152" s="35" t="str">
        <f t="shared" ca="1" si="50"/>
        <v>Real MadridEintracht Frankfurt</v>
      </c>
      <c r="AA152" s="13">
        <f t="shared" ca="1" si="49"/>
        <v>1</v>
      </c>
      <c r="AB152" s="13" t="str">
        <f ca="1">IF(AA152&gt;0,Y80&amp;Sprache!$E$111&amp;X80,"")</f>
        <v>8:2</v>
      </c>
      <c r="AC152" s="2"/>
      <c r="AD152" s="143"/>
    </row>
    <row r="153" spans="25:30" x14ac:dyDescent="0.2">
      <c r="Y153" s="67" t="s">
        <v>33</v>
      </c>
      <c r="Z153" s="35" t="str">
        <f t="shared" ca="1" si="50"/>
        <v>Borussia DortmundFC Barcelona</v>
      </c>
      <c r="AA153" s="13">
        <f t="shared" ca="1" si="49"/>
        <v>1</v>
      </c>
      <c r="AB153" s="13" t="str">
        <f ca="1">IF(AA153&gt;0,Y81&amp;Sprache!$E$111&amp;X81,"")</f>
        <v>0:4</v>
      </c>
      <c r="AC153" s="2"/>
      <c r="AD153" s="143"/>
    </row>
    <row r="154" spans="25:30" x14ac:dyDescent="0.2">
      <c r="Y154" s="67" t="s">
        <v>34</v>
      </c>
      <c r="Z154" s="35" t="str">
        <f t="shared" ca="1" si="50"/>
        <v/>
      </c>
      <c r="AA154" s="13">
        <f t="shared" ca="1" si="49"/>
        <v>0</v>
      </c>
      <c r="AB154" s="13" t="str">
        <f ca="1">IF(AA154&gt;0,Y82&amp;Sprache!$E$111&amp;X82,"")</f>
        <v/>
      </c>
      <c r="AC154" s="2"/>
      <c r="AD154" s="143"/>
    </row>
    <row r="155" spans="25:30" x14ac:dyDescent="0.2">
      <c r="Y155" s="67" t="s">
        <v>35</v>
      </c>
      <c r="Z155" s="35" t="str">
        <f t="shared" ca="1" si="50"/>
        <v>SSV WildbachTSG Saalberg eV</v>
      </c>
      <c r="AA155" s="13">
        <f t="shared" ca="1" si="49"/>
        <v>1</v>
      </c>
      <c r="AB155" s="13" t="str">
        <f ca="1">IF(AA155&gt;0,Y83&amp;Sprache!$E$111&amp;X83,"")</f>
        <v>1:4</v>
      </c>
      <c r="AC155" s="2"/>
      <c r="AD155" s="143"/>
    </row>
    <row r="156" spans="25:30" x14ac:dyDescent="0.2">
      <c r="Y156" s="67" t="s">
        <v>36</v>
      </c>
      <c r="Z156" s="35" t="str">
        <f t="shared" ca="1" si="50"/>
        <v>FC GrönlingenSV Oberredenburg</v>
      </c>
      <c r="AA156" s="13">
        <f t="shared" ca="1" si="49"/>
        <v>1</v>
      </c>
      <c r="AB156" s="13" t="str">
        <f ca="1">IF(AA156&gt;0,Y84&amp;Sprache!$E$111&amp;X84,"")</f>
        <v>2:3</v>
      </c>
      <c r="AC156" s="2"/>
      <c r="AD156" s="143"/>
    </row>
    <row r="157" spans="25:30" x14ac:dyDescent="0.2">
      <c r="Y157" s="67" t="s">
        <v>37</v>
      </c>
      <c r="Z157" s="35" t="str">
        <f t="shared" ca="1" si="50"/>
        <v>Mainz 05HSV</v>
      </c>
      <c r="AA157" s="13">
        <f t="shared" ca="1" si="49"/>
        <v>1</v>
      </c>
      <c r="AB157" s="13" t="str">
        <f ca="1">IF(AA157&gt;0,Y85&amp;Sprache!$E$111&amp;X85,"")</f>
        <v>3:0</v>
      </c>
      <c r="AC157" s="2"/>
      <c r="AD157" s="143"/>
    </row>
    <row r="158" spans="25:30" x14ac:dyDescent="0.2">
      <c r="Y158" s="67" t="s">
        <v>38</v>
      </c>
      <c r="Z158" s="35" t="str">
        <f t="shared" ca="1" si="50"/>
        <v>Inter MailandRB Leipzig</v>
      </c>
      <c r="AA158" s="13">
        <f t="shared" ca="1" si="49"/>
        <v>1</v>
      </c>
      <c r="AB158" s="13" t="str">
        <f ca="1">IF(AA158&gt;0,Y86&amp;Sprache!$E$111&amp;X86,"")</f>
        <v>1:1</v>
      </c>
      <c r="AC158" s="2"/>
      <c r="AD158" s="143"/>
    </row>
    <row r="159" spans="25:30" x14ac:dyDescent="0.2">
      <c r="Y159" s="67" t="s">
        <v>39</v>
      </c>
      <c r="Z159" s="35" t="str">
        <f t="shared" ca="1" si="50"/>
        <v>Manchester CityParis St. Germain</v>
      </c>
      <c r="AA159" s="13">
        <f t="shared" ca="1" si="49"/>
        <v>1</v>
      </c>
      <c r="AB159" s="13" t="str">
        <f ca="1">IF(AA159&gt;0,Y87&amp;Sprache!$E$111&amp;X87,"")</f>
        <v>2:3</v>
      </c>
      <c r="AC159" s="2"/>
      <c r="AD159" s="143"/>
    </row>
    <row r="160" spans="25:30" x14ac:dyDescent="0.2">
      <c r="Y160" s="67" t="s">
        <v>40</v>
      </c>
      <c r="Z160" s="35" t="str">
        <f t="shared" ca="1" si="50"/>
        <v/>
      </c>
      <c r="AA160" s="13">
        <f t="shared" ca="1" si="49"/>
        <v>0</v>
      </c>
      <c r="AB160" s="13" t="str">
        <f ca="1">IF(AA160&gt;0,Y88&amp;Sprache!$E$111&amp;X88,"")</f>
        <v/>
      </c>
      <c r="AC160" s="2"/>
      <c r="AD160" s="143"/>
    </row>
    <row r="161" spans="25:30" x14ac:dyDescent="0.2">
      <c r="Y161" s="67" t="s">
        <v>41</v>
      </c>
      <c r="Z161" s="35" t="str">
        <f t="shared" ca="1" si="50"/>
        <v>Maibach 1822 eVTSG Saalberg eV</v>
      </c>
      <c r="AA161" s="13">
        <f t="shared" ca="1" si="49"/>
        <v>1</v>
      </c>
      <c r="AB161" s="13" t="str">
        <f ca="1">IF(AA161&gt;0,Y89&amp;Sprache!$E$111&amp;X89,"")</f>
        <v>0:2</v>
      </c>
      <c r="AC161" s="2"/>
      <c r="AD161" s="143"/>
    </row>
    <row r="162" spans="25:30" x14ac:dyDescent="0.2">
      <c r="Y162" s="67" t="s">
        <v>42</v>
      </c>
      <c r="Z162" s="35" t="str">
        <f t="shared" ca="1" si="50"/>
        <v>VFB EssenheimSV Oberredenburg</v>
      </c>
      <c r="AA162" s="13">
        <f t="shared" ca="1" si="49"/>
        <v>1</v>
      </c>
      <c r="AB162" s="13" t="str">
        <f ca="1">IF(AA162&gt;0,Y90&amp;Sprache!$E$111&amp;X90,"")</f>
        <v>0:1</v>
      </c>
      <c r="AC162" s="2"/>
      <c r="AD162" s="143"/>
    </row>
    <row r="163" spans="25:30" x14ac:dyDescent="0.2">
      <c r="Y163" s="67" t="s">
        <v>43</v>
      </c>
      <c r="Z163" s="35" t="str">
        <f t="shared" ca="1" si="50"/>
        <v>1. FC RiedwaldHSV</v>
      </c>
      <c r="AA163" s="13">
        <f t="shared" ca="1" si="49"/>
        <v>1</v>
      </c>
      <c r="AB163" s="13" t="str">
        <f ca="1">IF(AA163&gt;0,Y91&amp;Sprache!$E$111&amp;X91,"")</f>
        <v>0:2</v>
      </c>
      <c r="AC163" s="2"/>
      <c r="AD163" s="143"/>
    </row>
    <row r="164" spans="25:30" x14ac:dyDescent="0.2">
      <c r="Y164" s="67" t="s">
        <v>44</v>
      </c>
      <c r="Z164" s="35" t="str">
        <f t="shared" ca="1" si="50"/>
        <v>Eintracht FrankfurtRB Leipzig</v>
      </c>
      <c r="AA164" s="13">
        <f t="shared" ca="1" si="49"/>
        <v>1</v>
      </c>
      <c r="AB164" s="13" t="str">
        <f ca="1">IF(AA164&gt;0,Y92&amp;Sprache!$E$111&amp;X92,"")</f>
        <v>1:1</v>
      </c>
      <c r="AC164" s="2"/>
      <c r="AD164" s="143"/>
    </row>
    <row r="165" spans="25:30" x14ac:dyDescent="0.2">
      <c r="Y165" s="67" t="s">
        <v>45</v>
      </c>
      <c r="Z165" s="35" t="str">
        <f t="shared" ca="1" si="50"/>
        <v>FC BarcelonaParis St. Germain</v>
      </c>
      <c r="AA165" s="13">
        <f t="shared" ca="1" si="49"/>
        <v>1</v>
      </c>
      <c r="AB165" s="13" t="str">
        <f ca="1">IF(AA165&gt;0,Y93&amp;Sprache!$E$111&amp;X93,"")</f>
        <v>2:1</v>
      </c>
      <c r="AC165" s="2"/>
      <c r="AD165" s="143"/>
    </row>
    <row r="166" spans="25:30" x14ac:dyDescent="0.2">
      <c r="Y166" s="67" t="s">
        <v>46</v>
      </c>
      <c r="Z166" s="35" t="str">
        <f t="shared" ca="1" si="50"/>
        <v/>
      </c>
      <c r="AA166" s="13">
        <f t="shared" ca="1" si="49"/>
        <v>0</v>
      </c>
      <c r="AB166" s="13" t="str">
        <f ca="1">IF(AA166&gt;0,Y94&amp;Sprache!$E$111&amp;X94,"")</f>
        <v/>
      </c>
      <c r="AC166" s="2"/>
      <c r="AD166" s="143"/>
    </row>
    <row r="167" spans="25:30" x14ac:dyDescent="0.2">
      <c r="Y167" s="67" t="s">
        <v>47</v>
      </c>
      <c r="Z167" s="35" t="str">
        <f t="shared" ca="1" si="50"/>
        <v>FSV RauenSSV Wildbach</v>
      </c>
      <c r="AA167" s="13">
        <f t="shared" ca="1" si="49"/>
        <v>1</v>
      </c>
      <c r="AB167" s="13" t="str">
        <f ca="1">IF(AA167&gt;0,Y95&amp;Sprache!$E$111&amp;X95,"")</f>
        <v>1:3</v>
      </c>
      <c r="AC167" s="2"/>
      <c r="AD167" s="143"/>
    </row>
    <row r="168" spans="25:30" x14ac:dyDescent="0.2">
      <c r="Y168" s="67" t="s">
        <v>48</v>
      </c>
      <c r="Z168" s="35" t="str">
        <f t="shared" ca="1" si="50"/>
        <v>Kickers RodendorfFC Grönlingen</v>
      </c>
      <c r="AA168" s="13">
        <f t="shared" ca="1" si="49"/>
        <v>1</v>
      </c>
      <c r="AB168" s="13" t="str">
        <f ca="1">IF(AA168&gt;0,Y96&amp;Sprache!$E$111&amp;X96,"")</f>
        <v>3:4</v>
      </c>
      <c r="AC168" s="2"/>
      <c r="AD168" s="143"/>
    </row>
    <row r="169" spans="25:30" x14ac:dyDescent="0.2">
      <c r="Y169" s="67" t="s">
        <v>49</v>
      </c>
      <c r="Z169" s="35" t="str">
        <f t="shared" ca="1" si="50"/>
        <v>1. FC NürnbergMainz 05</v>
      </c>
      <c r="AA169" s="13">
        <f t="shared" ca="1" si="49"/>
        <v>1</v>
      </c>
      <c r="AB169" s="13" t="str">
        <f ca="1">IF(AA169&gt;0,Y97&amp;Sprache!$E$111&amp;X97,"")</f>
        <v>1:1</v>
      </c>
      <c r="AC169" s="2"/>
      <c r="AD169" s="143"/>
    </row>
    <row r="170" spans="25:30" x14ac:dyDescent="0.2">
      <c r="Y170" s="67" t="s">
        <v>50</v>
      </c>
      <c r="Z170" s="35" t="str">
        <f t="shared" ca="1" si="50"/>
        <v>Real MadridInter Mailand</v>
      </c>
      <c r="AA170" s="13">
        <f t="shared" ca="1" si="49"/>
        <v>1</v>
      </c>
      <c r="AB170" s="13" t="str">
        <f ca="1">IF(AA170&gt;0,Y98&amp;Sprache!$E$111&amp;X98,"")</f>
        <v>4:1</v>
      </c>
      <c r="AC170" s="2"/>
      <c r="AD170" s="143"/>
    </row>
    <row r="171" spans="25:30" x14ac:dyDescent="0.2">
      <c r="Y171" s="67" t="s">
        <v>51</v>
      </c>
      <c r="Z171" s="35" t="str">
        <f t="shared" ca="1" si="50"/>
        <v>Borussia DortmundManchester City</v>
      </c>
      <c r="AA171" s="13">
        <f t="shared" ca="1" si="49"/>
        <v>1</v>
      </c>
      <c r="AB171" s="13" t="str">
        <f ca="1">IF(AA171&gt;0,Y99&amp;Sprache!$E$111&amp;X99,"")</f>
        <v>2:2</v>
      </c>
      <c r="AC171" s="2"/>
      <c r="AD171" s="143"/>
    </row>
    <row r="172" spans="25:30" x14ac:dyDescent="0.2">
      <c r="Y172" s="67" t="s">
        <v>60</v>
      </c>
      <c r="Z172" s="35" t="str">
        <f t="shared" si="50"/>
        <v/>
      </c>
      <c r="AA172" s="13">
        <f t="shared" si="49"/>
        <v>0</v>
      </c>
      <c r="AB172" s="13" t="str">
        <f>IF(AA172&gt;0,Y100&amp;Sprache!$E$111&amp;X100,"")</f>
        <v/>
      </c>
      <c r="AC172" s="2"/>
      <c r="AD172" s="143"/>
    </row>
    <row r="173" spans="25:30" x14ac:dyDescent="0.2">
      <c r="Y173" s="67" t="s">
        <v>61</v>
      </c>
      <c r="Z173" s="35" t="str">
        <f t="shared" si="50"/>
        <v/>
      </c>
      <c r="AA173" s="13">
        <f t="shared" si="49"/>
        <v>0</v>
      </c>
      <c r="AB173" s="13" t="str">
        <f>IF(AA173&gt;0,Y101&amp;Sprache!$E$111&amp;X101,"")</f>
        <v/>
      </c>
      <c r="AC173" s="2"/>
      <c r="AD173" s="143"/>
    </row>
    <row r="174" spans="25:30" x14ac:dyDescent="0.2">
      <c r="Y174" s="67" t="s">
        <v>62</v>
      </c>
      <c r="Z174" s="35" t="str">
        <f t="shared" si="50"/>
        <v/>
      </c>
      <c r="AA174" s="13">
        <f t="shared" si="49"/>
        <v>0</v>
      </c>
      <c r="AB174" s="13" t="str">
        <f>IF(AA174&gt;0,Y102&amp;Sprache!$E$111&amp;X102,"")</f>
        <v/>
      </c>
      <c r="AC174" s="2"/>
      <c r="AD174" s="143"/>
    </row>
    <row r="175" spans="25:30" x14ac:dyDescent="0.2">
      <c r="Y175" s="67" t="s">
        <v>63</v>
      </c>
      <c r="Z175" s="35" t="str">
        <f t="shared" si="50"/>
        <v/>
      </c>
      <c r="AA175" s="13">
        <f t="shared" si="49"/>
        <v>0</v>
      </c>
      <c r="AB175" s="13" t="str">
        <f>IF(AA175&gt;0,Y103&amp;Sprache!$E$111&amp;X103,"")</f>
        <v/>
      </c>
      <c r="AC175" s="2"/>
      <c r="AD175" s="143"/>
    </row>
    <row r="176" spans="25:30" x14ac:dyDescent="0.2">
      <c r="Y176" s="67" t="s">
        <v>64</v>
      </c>
      <c r="Z176" s="35" t="str">
        <f t="shared" si="50"/>
        <v/>
      </c>
      <c r="AA176" s="13">
        <f t="shared" si="49"/>
        <v>0</v>
      </c>
      <c r="AB176" s="13" t="str">
        <f>IF(AA176&gt;0,Y104&amp;Sprache!$E$111&amp;X104,"")</f>
        <v/>
      </c>
      <c r="AC176" s="2"/>
      <c r="AD176" s="143"/>
    </row>
    <row r="177" spans="25:30" x14ac:dyDescent="0.2">
      <c r="Y177" s="67" t="s">
        <v>65</v>
      </c>
      <c r="Z177" s="35" t="str">
        <f t="shared" si="50"/>
        <v/>
      </c>
      <c r="AA177" s="13">
        <f t="shared" si="49"/>
        <v>0</v>
      </c>
      <c r="AB177" s="13" t="str">
        <f>IF(AA177&gt;0,Y105&amp;Sprache!$E$111&amp;X105,"")</f>
        <v/>
      </c>
      <c r="AC177" s="2"/>
      <c r="AD177" s="143"/>
    </row>
    <row r="178" spans="25:30" x14ac:dyDescent="0.2">
      <c r="Y178" s="67" t="s">
        <v>66</v>
      </c>
      <c r="Z178" s="35" t="str">
        <f t="shared" si="50"/>
        <v/>
      </c>
      <c r="AA178" s="13">
        <f t="shared" si="49"/>
        <v>0</v>
      </c>
      <c r="AB178" s="13" t="str">
        <f>IF(AA178&gt;0,Y106&amp;Sprache!$E$111&amp;X106,"")</f>
        <v/>
      </c>
      <c r="AC178" s="2"/>
      <c r="AD178" s="143"/>
    </row>
    <row r="179" spans="25:30" x14ac:dyDescent="0.2">
      <c r="Y179" s="67" t="s">
        <v>67</v>
      </c>
      <c r="Z179" s="35" t="str">
        <f t="shared" si="50"/>
        <v/>
      </c>
      <c r="AA179" s="13">
        <f t="shared" si="49"/>
        <v>0</v>
      </c>
      <c r="AB179" s="13" t="str">
        <f>IF(AA179&gt;0,Y107&amp;Sprache!$E$111&amp;X107,"")</f>
        <v/>
      </c>
      <c r="AC179" s="2"/>
      <c r="AD179" s="143"/>
    </row>
    <row r="180" spans="25:30" x14ac:dyDescent="0.2">
      <c r="Y180" s="67" t="s">
        <v>68</v>
      </c>
      <c r="Z180" s="35" t="str">
        <f t="shared" si="50"/>
        <v/>
      </c>
      <c r="AA180" s="13">
        <f t="shared" si="49"/>
        <v>0</v>
      </c>
      <c r="AB180" s="13" t="str">
        <f>IF(AA180&gt;0,Y108&amp;Sprache!$E$111&amp;X108,"")</f>
        <v/>
      </c>
      <c r="AC180" s="2"/>
      <c r="AD180" s="143"/>
    </row>
    <row r="181" spans="25:30" x14ac:dyDescent="0.2">
      <c r="Y181" s="67" t="s">
        <v>69</v>
      </c>
      <c r="Z181" s="35" t="str">
        <f t="shared" si="50"/>
        <v/>
      </c>
      <c r="AA181" s="13">
        <f t="shared" si="49"/>
        <v>0</v>
      </c>
      <c r="AB181" s="13" t="str">
        <f>IF(AA181&gt;0,Y109&amp;Sprache!$E$111&amp;X109,"")</f>
        <v/>
      </c>
      <c r="AC181" s="2"/>
      <c r="AD181" s="143"/>
    </row>
    <row r="182" spans="25:30" x14ac:dyDescent="0.2">
      <c r="Y182" s="67" t="s">
        <v>70</v>
      </c>
      <c r="Z182" s="35" t="str">
        <f t="shared" si="50"/>
        <v/>
      </c>
      <c r="AA182" s="13">
        <f t="shared" si="49"/>
        <v>0</v>
      </c>
      <c r="AB182" s="13" t="str">
        <f>IF(AA182&gt;0,Y110&amp;Sprache!$E$111&amp;X110,"")</f>
        <v/>
      </c>
      <c r="AC182" s="2"/>
      <c r="AD182" s="143"/>
    </row>
    <row r="183" spans="25:30" x14ac:dyDescent="0.2">
      <c r="Y183" s="67" t="s">
        <v>71</v>
      </c>
      <c r="Z183" s="35" t="str">
        <f t="shared" si="50"/>
        <v/>
      </c>
      <c r="AA183" s="13">
        <f t="shared" si="49"/>
        <v>0</v>
      </c>
      <c r="AB183" s="13" t="str">
        <f>IF(AA183&gt;0,Y111&amp;Sprache!$E$111&amp;X111,"")</f>
        <v/>
      </c>
      <c r="AC183" s="2"/>
      <c r="AD183" s="143"/>
    </row>
    <row r="184" spans="25:30" x14ac:dyDescent="0.2">
      <c r="Y184" s="67" t="s">
        <v>72</v>
      </c>
      <c r="Z184" s="35" t="str">
        <f t="shared" si="50"/>
        <v/>
      </c>
      <c r="AA184" s="13">
        <f t="shared" si="49"/>
        <v>0</v>
      </c>
      <c r="AB184" s="13" t="str">
        <f>IF(AA184&gt;0,Y112&amp;Sprache!$E$111&amp;X112,"")</f>
        <v/>
      </c>
      <c r="AC184" s="2"/>
      <c r="AD184" s="143"/>
    </row>
    <row r="185" spans="25:30" x14ac:dyDescent="0.2">
      <c r="Y185" s="67" t="s">
        <v>73</v>
      </c>
      <c r="Z185" s="35" t="str">
        <f t="shared" si="50"/>
        <v/>
      </c>
      <c r="AA185" s="13">
        <f t="shared" si="49"/>
        <v>0</v>
      </c>
      <c r="AB185" s="13" t="str">
        <f>IF(AA185&gt;0,Y113&amp;Sprache!$E$111&amp;X113,"")</f>
        <v/>
      </c>
      <c r="AC185" s="2"/>
      <c r="AD185" s="143"/>
    </row>
    <row r="186" spans="25:30" x14ac:dyDescent="0.2">
      <c r="Y186" s="67" t="s">
        <v>74</v>
      </c>
      <c r="Z186" s="35" t="str">
        <f t="shared" si="50"/>
        <v/>
      </c>
      <c r="AA186" s="13">
        <f t="shared" si="49"/>
        <v>0</v>
      </c>
      <c r="AB186" s="13" t="str">
        <f>IF(AA186&gt;0,Y114&amp;Sprache!$E$111&amp;X114,"")</f>
        <v/>
      </c>
      <c r="AC186" s="2"/>
      <c r="AD186" s="143"/>
    </row>
    <row r="187" spans="25:30" x14ac:dyDescent="0.2">
      <c r="Y187" s="67" t="s">
        <v>75</v>
      </c>
      <c r="Z187" s="35" t="str">
        <f t="shared" si="50"/>
        <v/>
      </c>
      <c r="AA187" s="13">
        <f t="shared" si="49"/>
        <v>0</v>
      </c>
      <c r="AB187" s="13" t="str">
        <f>IF(AA187&gt;0,Y115&amp;Sprache!$E$111&amp;X115,"")</f>
        <v/>
      </c>
      <c r="AC187" s="2"/>
      <c r="AD187" s="143"/>
    </row>
    <row r="188" spans="25:30" x14ac:dyDescent="0.2">
      <c r="Y188" s="67" t="s">
        <v>76</v>
      </c>
      <c r="Z188" s="35" t="str">
        <f t="shared" si="50"/>
        <v/>
      </c>
      <c r="AA188" s="13">
        <f t="shared" si="49"/>
        <v>0</v>
      </c>
      <c r="AB188" s="13" t="str">
        <f>IF(AA188&gt;0,Y116&amp;Sprache!$E$111&amp;X116,"")</f>
        <v/>
      </c>
      <c r="AC188" s="2"/>
      <c r="AD188" s="143"/>
    </row>
    <row r="189" spans="25:30" x14ac:dyDescent="0.2">
      <c r="Y189" s="67" t="s">
        <v>77</v>
      </c>
      <c r="Z189" s="35" t="str">
        <f t="shared" si="50"/>
        <v/>
      </c>
      <c r="AA189" s="13">
        <f t="shared" si="49"/>
        <v>0</v>
      </c>
      <c r="AB189" s="13" t="str">
        <f>IF(AA189&gt;0,Y117&amp;Sprache!$E$111&amp;X117,"")</f>
        <v/>
      </c>
      <c r="AC189" s="2"/>
      <c r="AD189" s="143"/>
    </row>
    <row r="190" spans="25:30" x14ac:dyDescent="0.2">
      <c r="Y190" s="67" t="s">
        <v>78</v>
      </c>
      <c r="Z190" s="35" t="str">
        <f t="shared" si="50"/>
        <v/>
      </c>
      <c r="AA190" s="13">
        <f t="shared" si="49"/>
        <v>0</v>
      </c>
      <c r="AB190" s="13" t="str">
        <f>IF(AA190&gt;0,Y118&amp;Sprache!$E$111&amp;X118,"")</f>
        <v/>
      </c>
      <c r="AC190" s="2"/>
      <c r="AD190" s="143"/>
    </row>
    <row r="191" spans="25:30" x14ac:dyDescent="0.2">
      <c r="Y191" s="67" t="s">
        <v>79</v>
      </c>
      <c r="Z191" s="35" t="str">
        <f t="shared" si="50"/>
        <v/>
      </c>
      <c r="AA191" s="13">
        <f t="shared" si="49"/>
        <v>0</v>
      </c>
      <c r="AB191" s="13" t="str">
        <f>IF(AA191&gt;0,Y119&amp;Sprache!$E$111&amp;X119,"")</f>
        <v/>
      </c>
      <c r="AC191" s="2"/>
      <c r="AD191" s="143"/>
    </row>
    <row r="192" spans="25:30" x14ac:dyDescent="0.2">
      <c r="Y192" s="67" t="s">
        <v>80</v>
      </c>
      <c r="Z192" s="35" t="str">
        <f t="shared" si="50"/>
        <v/>
      </c>
      <c r="AA192" s="13">
        <f t="shared" si="49"/>
        <v>0</v>
      </c>
      <c r="AB192" s="13" t="str">
        <f>IF(AA192&gt;0,Y120&amp;Sprache!$E$111&amp;X120,"")</f>
        <v/>
      </c>
      <c r="AC192" s="2"/>
      <c r="AD192" s="143"/>
    </row>
    <row r="193" spans="25:30" x14ac:dyDescent="0.2">
      <c r="Y193" s="67" t="s">
        <v>81</v>
      </c>
      <c r="Z193" s="35" t="str">
        <f t="shared" si="50"/>
        <v/>
      </c>
      <c r="AA193" s="13">
        <f t="shared" si="49"/>
        <v>0</v>
      </c>
      <c r="AB193" s="13" t="str">
        <f>IF(AA193&gt;0,Y121&amp;Sprache!$E$111&amp;X121,"")</f>
        <v/>
      </c>
      <c r="AC193" s="2"/>
      <c r="AD193" s="143"/>
    </row>
    <row r="194" spans="25:30" x14ac:dyDescent="0.2">
      <c r="Y194" s="67" t="s">
        <v>82</v>
      </c>
      <c r="Z194" s="35" t="str">
        <f t="shared" si="50"/>
        <v/>
      </c>
      <c r="AA194" s="13">
        <f t="shared" si="49"/>
        <v>0</v>
      </c>
      <c r="AB194" s="13" t="str">
        <f>IF(AA194&gt;0,Y122&amp;Sprache!$E$111&amp;X122,"")</f>
        <v/>
      </c>
      <c r="AC194" s="2"/>
      <c r="AD194" s="143"/>
    </row>
    <row r="195" spans="25:30" x14ac:dyDescent="0.2">
      <c r="Y195" s="67" t="s">
        <v>83</v>
      </c>
      <c r="Z195" s="35" t="str">
        <f t="shared" si="50"/>
        <v/>
      </c>
      <c r="AA195" s="13">
        <f t="shared" si="49"/>
        <v>0</v>
      </c>
      <c r="AB195" s="13" t="str">
        <f>IF(AA195&gt;0,Y123&amp;Sprache!$E$111&amp;X123,"")</f>
        <v/>
      </c>
      <c r="AC195" s="2"/>
      <c r="AD195" s="143"/>
    </row>
    <row r="196" spans="25:30" x14ac:dyDescent="0.2">
      <c r="Y196" s="67" t="s">
        <v>84</v>
      </c>
      <c r="Z196" s="35" t="str">
        <f t="shared" si="50"/>
        <v/>
      </c>
      <c r="AA196" s="13">
        <f t="shared" si="49"/>
        <v>0</v>
      </c>
      <c r="AB196" s="13" t="str">
        <f>IF(AA196&gt;0,Y124&amp;Sprache!$E$111&amp;X124,"")</f>
        <v/>
      </c>
      <c r="AC196" s="2"/>
      <c r="AD196" s="143"/>
    </row>
    <row r="197" spans="25:30" x14ac:dyDescent="0.2">
      <c r="Y197" s="67" t="s">
        <v>85</v>
      </c>
      <c r="Z197" s="35" t="str">
        <f t="shared" si="50"/>
        <v/>
      </c>
      <c r="AA197" s="13">
        <f t="shared" si="49"/>
        <v>0</v>
      </c>
      <c r="AB197" s="13" t="str">
        <f>IF(AA197&gt;0,Y125&amp;Sprache!$E$111&amp;X125,"")</f>
        <v/>
      </c>
      <c r="AC197" s="2"/>
      <c r="AD197" s="143"/>
    </row>
    <row r="198" spans="25:30" x14ac:dyDescent="0.2">
      <c r="Y198" s="67" t="s">
        <v>86</v>
      </c>
      <c r="Z198" s="35" t="str">
        <f t="shared" si="50"/>
        <v/>
      </c>
      <c r="AA198" s="13">
        <f t="shared" si="49"/>
        <v>0</v>
      </c>
      <c r="AB198" s="13" t="str">
        <f>IF(AA198&gt;0,Y126&amp;Sprache!$E$111&amp;X126,"")</f>
        <v/>
      </c>
      <c r="AC198" s="2"/>
      <c r="AD198" s="143"/>
    </row>
    <row r="199" spans="25:30" x14ac:dyDescent="0.2">
      <c r="Y199" s="67" t="s">
        <v>87</v>
      </c>
      <c r="Z199" s="35" t="str">
        <f t="shared" si="50"/>
        <v/>
      </c>
      <c r="AA199" s="13">
        <f t="shared" si="49"/>
        <v>0</v>
      </c>
      <c r="AB199" s="13" t="str">
        <f>IF(AA199&gt;0,Y127&amp;Sprache!$E$111&amp;X127,"")</f>
        <v/>
      </c>
      <c r="AC199" s="2"/>
      <c r="AD199" s="143"/>
    </row>
    <row r="200" spans="25:30" x14ac:dyDescent="0.2">
      <c r="Y200" s="67" t="s">
        <v>88</v>
      </c>
      <c r="Z200" s="35" t="str">
        <f t="shared" si="50"/>
        <v/>
      </c>
      <c r="AA200" s="13">
        <f t="shared" si="49"/>
        <v>0</v>
      </c>
      <c r="AB200" s="13" t="str">
        <f>IF(AA200&gt;0,Y128&amp;Sprache!$E$111&amp;X128,"")</f>
        <v/>
      </c>
      <c r="AC200" s="2"/>
      <c r="AD200" s="143"/>
    </row>
    <row r="201" spans="25:30" x14ac:dyDescent="0.2">
      <c r="Y201" s="67" t="s">
        <v>89</v>
      </c>
      <c r="Z201" s="35" t="str">
        <f t="shared" si="50"/>
        <v/>
      </c>
      <c r="AA201" s="13">
        <f t="shared" ref="AA201:AA207" si="51">AA129</f>
        <v>0</v>
      </c>
      <c r="AB201" s="13" t="str">
        <f>IF(AA201&gt;0,Y129&amp;Sprache!$E$111&amp;X129,"")</f>
        <v/>
      </c>
      <c r="AC201" s="2"/>
      <c r="AD201" s="143"/>
    </row>
    <row r="202" spans="25:30" x14ac:dyDescent="0.2">
      <c r="Y202" s="67" t="s">
        <v>90</v>
      </c>
      <c r="Z202" s="35" t="str">
        <f t="shared" ref="Z202:Z206" si="52">W130&amp;V130</f>
        <v/>
      </c>
      <c r="AA202" s="13">
        <f t="shared" si="51"/>
        <v>0</v>
      </c>
      <c r="AB202" s="13" t="str">
        <f>IF(AA202&gt;0,Y130&amp;Sprache!$E$111&amp;X130,"")</f>
        <v/>
      </c>
      <c r="AC202" s="2"/>
      <c r="AD202" s="143"/>
    </row>
    <row r="203" spans="25:30" x14ac:dyDescent="0.2">
      <c r="Y203" s="67" t="s">
        <v>91</v>
      </c>
      <c r="Z203" s="35" t="str">
        <f t="shared" si="52"/>
        <v/>
      </c>
      <c r="AA203" s="13">
        <f t="shared" si="51"/>
        <v>0</v>
      </c>
      <c r="AB203" s="13" t="str">
        <f>IF(AA203&gt;0,Y131&amp;Sprache!$E$111&amp;X131,"")</f>
        <v/>
      </c>
      <c r="AC203" s="2"/>
      <c r="AD203" s="143"/>
    </row>
    <row r="204" spans="25:30" x14ac:dyDescent="0.2">
      <c r="Y204" s="67" t="s">
        <v>92</v>
      </c>
      <c r="Z204" s="35" t="str">
        <f t="shared" si="52"/>
        <v/>
      </c>
      <c r="AA204" s="13">
        <f t="shared" si="51"/>
        <v>0</v>
      </c>
      <c r="AB204" s="13" t="str">
        <f>IF(AA204&gt;0,Y132&amp;Sprache!$E$111&amp;X132,"")</f>
        <v/>
      </c>
      <c r="AC204" s="2"/>
      <c r="AD204" s="143"/>
    </row>
    <row r="205" spans="25:30" x14ac:dyDescent="0.2">
      <c r="Y205" s="67" t="s">
        <v>93</v>
      </c>
      <c r="Z205" s="35" t="str">
        <f t="shared" si="52"/>
        <v/>
      </c>
      <c r="AA205" s="13">
        <f t="shared" si="51"/>
        <v>0</v>
      </c>
      <c r="AB205" s="13" t="str">
        <f>IF(AA205&gt;0,Y133&amp;Sprache!$E$111&amp;X133,"")</f>
        <v/>
      </c>
      <c r="AC205" s="2"/>
      <c r="AD205" s="143"/>
    </row>
    <row r="206" spans="25:30" x14ac:dyDescent="0.2">
      <c r="Y206" s="67" t="s">
        <v>94</v>
      </c>
      <c r="Z206" s="35" t="str">
        <f t="shared" si="52"/>
        <v/>
      </c>
      <c r="AA206" s="13">
        <f t="shared" si="51"/>
        <v>0</v>
      </c>
      <c r="AB206" s="13" t="str">
        <f>IF(AA206&gt;0,Y134&amp;Sprache!$E$111&amp;X134,"")</f>
        <v/>
      </c>
      <c r="AC206" s="2"/>
      <c r="AD206" s="143"/>
    </row>
    <row r="207" spans="25:30" ht="12.75" thickBot="1" x14ac:dyDescent="0.25">
      <c r="Y207" s="68" t="s">
        <v>95</v>
      </c>
      <c r="Z207" s="37" t="str">
        <f>W135&amp;V135</f>
        <v/>
      </c>
      <c r="AA207" s="38">
        <f t="shared" si="51"/>
        <v>0</v>
      </c>
      <c r="AB207" s="144" t="str">
        <f>IF(AA207&gt;0,Y135&amp;Sprache!$E$111&amp;X135,"")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1</v>
      </c>
      <c r="D4" s="13">
        <f ca="1">E4+ROW()/1000+(F4="")*10</f>
        <v>11.004</v>
      </c>
      <c r="E4" s="251">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2</v>
      </c>
      <c r="D5" s="13">
        <f t="shared" ref="D5:D12" ca="1" si="8">E5+ROW()/1000+(F5="")*10</f>
        <v>11.004999999999999</v>
      </c>
      <c r="E5" s="251">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3</v>
      </c>
      <c r="D6" s="13">
        <f t="shared" ca="1" si="8"/>
        <v>11.006</v>
      </c>
      <c r="E6" s="251">
        <f t="shared" ca="1" si="9"/>
        <v>1</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4</v>
      </c>
      <c r="D7" s="13">
        <f t="shared" ca="1" si="8"/>
        <v>11.007</v>
      </c>
      <c r="E7" s="251">
        <f t="shared" ca="1" si="9"/>
        <v>1</v>
      </c>
      <c r="F7" s="1" t="str">
        <f t="shared" ca="1"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11.007999999999999</v>
      </c>
      <c r="E8" s="251">
        <f t="shared" ca="1" si="9"/>
        <v>1</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11.009</v>
      </c>
      <c r="E9" s="251">
        <f t="shared" ca="1" si="9"/>
        <v>1</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17.009999999999998</v>
      </c>
      <c r="E10" s="251">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17.010999999999999</v>
      </c>
      <c r="E11" s="251">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17.012</v>
      </c>
      <c r="E12" s="251">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(Einstellungen!$B$9=Sprache!$E$116)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1.0108999999999999</v>
      </c>
      <c r="Y17" s="13">
        <f>'Endrunde 4'!$AF12</f>
        <v>0</v>
      </c>
      <c r="Z17" s="1">
        <f ca="1">RANK($W17,$W$17:$W$25)+(9-$Y17)/10</f>
        <v>1.9</v>
      </c>
      <c r="AA17" s="1">
        <f ca="1">SUM(E30:BP30)</f>
        <v>0</v>
      </c>
      <c r="AB17" s="1">
        <f ca="1">SUM(E41:BP41)</f>
        <v>0</v>
      </c>
      <c r="AC17" s="1">
        <f ca="1">SUM(E52:BP52)</f>
        <v>0</v>
      </c>
      <c r="AD17" s="245">
        <f ca="1">RANK($K17,$K$17:$K$25)</f>
        <v>1</v>
      </c>
      <c r="AE17" s="30">
        <f t="shared" ref="AE17:AE22" ca="1" si="24">(J17+$H$65)*$F$65+H17*$F$66</f>
        <v>500000</v>
      </c>
      <c r="AF17" s="1">
        <f ca="1">RANK($AE17,$AE$17:$AE$25)</f>
        <v>1</v>
      </c>
      <c r="AG17" s="1">
        <f ca="1">RANK($W17,$W$17:$W$25)</f>
        <v>1</v>
      </c>
      <c r="AH17" s="247">
        <f ca="1">AD17+AG17/100+AF17/10000+(10-Y17)/1000000</f>
        <v>1.0101100000000001</v>
      </c>
      <c r="AI17" s="1"/>
    </row>
    <row r="18" spans="2:80" s="2" customFormat="1" x14ac:dyDescent="0.2">
      <c r="C18" s="2" t="str">
        <f t="shared" ref="C18:C25" ca="1" si="25">$Q65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6">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1.0108999999999999</v>
      </c>
      <c r="Y18" s="13">
        <f>'Endrunde 4'!$AF13</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1</v>
      </c>
      <c r="AE18" s="30">
        <f t="shared" ca="1" si="24"/>
        <v>500000</v>
      </c>
      <c r="AF18" s="1">
        <f t="shared" ref="AF18:AF25" ca="1" si="33">RANK($AE18,$AE$17:$AE$25)</f>
        <v>1</v>
      </c>
      <c r="AG18" s="1">
        <f t="shared" ref="AG18:AG25" ca="1" si="34">RANK($W18,$W$17:$W$25)</f>
        <v>1</v>
      </c>
      <c r="AH18" s="248">
        <f t="shared" ref="AH18:AH25" ca="1" si="35">AD18+AG18/100+AF18/10000+(10-Y18)/1000000</f>
        <v>1.0101100000000001</v>
      </c>
      <c r="AI18" s="1"/>
    </row>
    <row r="19" spans="2:80" s="2" customFormat="1" x14ac:dyDescent="0.2">
      <c r="C19" s="2" t="str">
        <f t="shared" ca="1" si="25"/>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6"/>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4'!$AF14</f>
        <v>0</v>
      </c>
      <c r="Z19" s="1">
        <f t="shared" ca="1" si="28"/>
        <v>1.9</v>
      </c>
      <c r="AA19" s="1">
        <f t="shared" ca="1" si="29"/>
        <v>0</v>
      </c>
      <c r="AB19" s="1">
        <f t="shared" ca="1" si="30"/>
        <v>0</v>
      </c>
      <c r="AC19" s="1">
        <f t="shared" ca="1" si="31"/>
        <v>0</v>
      </c>
      <c r="AD19" s="245">
        <f t="shared" ca="1" si="32"/>
        <v>1</v>
      </c>
      <c r="AE19" s="30">
        <f t="shared" ca="1" si="24"/>
        <v>500000</v>
      </c>
      <c r="AF19" s="1">
        <f t="shared" ca="1" si="33"/>
        <v>1</v>
      </c>
      <c r="AG19" s="1">
        <f t="shared" ca="1" si="34"/>
        <v>1</v>
      </c>
      <c r="AH19" s="248">
        <f t="shared" ca="1" si="35"/>
        <v>1.0101100000000001</v>
      </c>
      <c r="AI19" s="1"/>
    </row>
    <row r="20" spans="2:80" s="2" customFormat="1" x14ac:dyDescent="0.2">
      <c r="C20" s="2" t="str">
        <f t="shared" ca="1"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1.0108999999999999</v>
      </c>
      <c r="Y20" s="13">
        <f>'Endrunde 4'!$AF15</f>
        <v>0</v>
      </c>
      <c r="Z20" s="1">
        <f t="shared" ca="1" si="28"/>
        <v>1.9</v>
      </c>
      <c r="AA20" s="1">
        <f t="shared" ca="1" si="29"/>
        <v>0</v>
      </c>
      <c r="AB20" s="1">
        <f t="shared" ca="1" si="30"/>
        <v>0</v>
      </c>
      <c r="AC20" s="1">
        <f t="shared" ca="1" si="31"/>
        <v>0</v>
      </c>
      <c r="AD20" s="245">
        <f t="shared" ca="1" si="32"/>
        <v>1</v>
      </c>
      <c r="AE20" s="30">
        <f t="shared" ca="1" si="24"/>
        <v>500000</v>
      </c>
      <c r="AF20" s="1">
        <f t="shared" ca="1" si="33"/>
        <v>1</v>
      </c>
      <c r="AG20" s="1">
        <f t="shared" ca="1" si="34"/>
        <v>1</v>
      </c>
      <c r="AH20" s="248">
        <f t="shared" ca="1" si="35"/>
        <v>1.0101100000000001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1.0108999999999999</v>
      </c>
      <c r="Y21" s="13">
        <v>0</v>
      </c>
      <c r="Z21" s="1">
        <f t="shared" ca="1" si="28"/>
        <v>1.9</v>
      </c>
      <c r="AA21" s="1">
        <f t="shared" ca="1" si="29"/>
        <v>0</v>
      </c>
      <c r="AB21" s="1">
        <f t="shared" ca="1" si="30"/>
        <v>0</v>
      </c>
      <c r="AC21" s="1">
        <f t="shared" ca="1" si="31"/>
        <v>0</v>
      </c>
      <c r="AD21" s="245">
        <f t="shared" ca="1" si="32"/>
        <v>1</v>
      </c>
      <c r="AE21" s="30">
        <f t="shared" ca="1" si="24"/>
        <v>500000</v>
      </c>
      <c r="AF21" s="1">
        <f t="shared" ca="1" si="33"/>
        <v>1</v>
      </c>
      <c r="AG21" s="1">
        <f t="shared" ca="1" si="34"/>
        <v>1</v>
      </c>
      <c r="AH21" s="248">
        <f t="shared" ca="1" si="35"/>
        <v>1.0101100000000001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1.0108999999999999</v>
      </c>
      <c r="Y22" s="13">
        <v>0</v>
      </c>
      <c r="Z22" s="1">
        <f t="shared" ca="1" si="28"/>
        <v>1.9</v>
      </c>
      <c r="AA22" s="1">
        <f t="shared" ca="1" si="29"/>
        <v>0</v>
      </c>
      <c r="AB22" s="1">
        <f t="shared" ca="1" si="30"/>
        <v>0</v>
      </c>
      <c r="AC22" s="1">
        <f t="shared" ca="1" si="31"/>
        <v>0</v>
      </c>
      <c r="AD22" s="245">
        <f t="shared" ca="1" si="32"/>
        <v>1</v>
      </c>
      <c r="AE22" s="30">
        <f t="shared" ca="1" si="24"/>
        <v>500000</v>
      </c>
      <c r="AF22" s="1">
        <f t="shared" ca="1" si="33"/>
        <v>1</v>
      </c>
      <c r="AG22" s="1">
        <f t="shared" ca="1" si="34"/>
        <v>1</v>
      </c>
      <c r="AH22" s="248">
        <f t="shared" ca="1" si="35"/>
        <v>1.0101100000000001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1.0709</v>
      </c>
      <c r="Y23" s="13">
        <v>0</v>
      </c>
      <c r="Z23" s="1">
        <f t="shared" ca="1" si="28"/>
        <v>7.9</v>
      </c>
      <c r="AA23" s="1">
        <f t="shared" ca="1" si="29"/>
        <v>0</v>
      </c>
      <c r="AB23" s="1">
        <f t="shared" ca="1" si="30"/>
        <v>0</v>
      </c>
      <c r="AC23" s="1">
        <f t="shared" ca="1" si="31"/>
        <v>0</v>
      </c>
      <c r="AD23" s="245">
        <f t="shared" ca="1" si="32"/>
        <v>1</v>
      </c>
      <c r="AE23" s="30">
        <v>0</v>
      </c>
      <c r="AF23" s="1">
        <f t="shared" ca="1" si="33"/>
        <v>7</v>
      </c>
      <c r="AG23" s="1">
        <f t="shared" ca="1" si="34"/>
        <v>7</v>
      </c>
      <c r="AH23" s="248">
        <f t="shared" ca="1" si="35"/>
        <v>1.0707100000000001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1.0709</v>
      </c>
      <c r="Y24" s="13">
        <v>0</v>
      </c>
      <c r="Z24" s="1">
        <f t="shared" ca="1" si="28"/>
        <v>7.9</v>
      </c>
      <c r="AA24" s="1">
        <f t="shared" ca="1" si="29"/>
        <v>0</v>
      </c>
      <c r="AB24" s="1">
        <f t="shared" ca="1" si="30"/>
        <v>0</v>
      </c>
      <c r="AC24" s="1">
        <f t="shared" ca="1" si="31"/>
        <v>0</v>
      </c>
      <c r="AD24" s="245">
        <f t="shared" ca="1" si="32"/>
        <v>1</v>
      </c>
      <c r="AE24" s="30">
        <v>0</v>
      </c>
      <c r="AF24" s="1">
        <f t="shared" ca="1" si="33"/>
        <v>7</v>
      </c>
      <c r="AG24" s="1">
        <f t="shared" ca="1" si="34"/>
        <v>7</v>
      </c>
      <c r="AH24" s="248">
        <f t="shared" ca="1" si="35"/>
        <v>1.0707100000000001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1.0709</v>
      </c>
      <c r="Y25" s="13">
        <v>0</v>
      </c>
      <c r="Z25" s="1">
        <f t="shared" ca="1" si="28"/>
        <v>7.9</v>
      </c>
      <c r="AA25" s="1">
        <f t="shared" ca="1" si="29"/>
        <v>0</v>
      </c>
      <c r="AB25" s="1">
        <f t="shared" ca="1" si="30"/>
        <v>0</v>
      </c>
      <c r="AC25" s="1">
        <f t="shared" ca="1" si="31"/>
        <v>0</v>
      </c>
      <c r="AD25" s="245">
        <f t="shared" ca="1" si="32"/>
        <v>1</v>
      </c>
      <c r="AE25" s="30">
        <v>0</v>
      </c>
      <c r="AF25" s="1">
        <f t="shared" ca="1" si="33"/>
        <v>7</v>
      </c>
      <c r="AG25" s="1">
        <f t="shared" ca="1" si="34"/>
        <v>7</v>
      </c>
      <c r="AH25" s="249">
        <f t="shared" ca="1" si="35"/>
        <v>1.0707100000000001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
      </c>
      <c r="BT29" s="2" t="str">
        <f ca="1">$F$5</f>
        <v/>
      </c>
      <c r="BU29" s="2" t="str">
        <f ca="1">$F$6</f>
        <v/>
      </c>
      <c r="BV29" s="2" t="str">
        <f ca="1">$F$7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
      </c>
      <c r="BS31" s="9">
        <f t="shared" ref="BS31:BU38" ca="1" si="39">SUMIFS($X$64:$X$135,$V$64:$V$135,$BR31,$W$64:$W$135,BS$29)+SUMIFS($Y$64:$Y$135,$W$64:$W$135,$BR31,$V$64:$V$135,BS$29)</f>
        <v>0</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
      </c>
      <c r="BS32" s="9">
        <f t="shared" ca="1" si="39"/>
        <v>0</v>
      </c>
      <c r="BT32" s="9">
        <f t="shared" ca="1" si="39"/>
        <v>0</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 ca="1">$F$6</f>
        <v/>
      </c>
      <c r="BV40" s="2" t="str">
        <f ca="1">$F$7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 ca="1">$F$6</f>
        <v/>
      </c>
      <c r="BV51" s="2" t="str">
        <f ca="1">$F$7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
      </c>
      <c r="BS53" s="9">
        <f t="shared" ref="BS53:BU60" ca="1" si="44">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IF('Endrunde 4'!$AE12="","",'Endrunde 4'!$AE12)</f>
        <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1" t="str">
        <f ca="1">IF(AA64&gt;0,X64&amp;Sprache!$E$111&amp;Y64,"")</f>
        <v/>
      </c>
      <c r="AD64" s="142"/>
      <c r="AE64" s="147" t="str">
        <f ca="1">IF($AA64=0,"",IF($X64&gt;$Y64,Einstellungen!$C$4,IF($X64=$Y64,1,0)))</f>
        <v/>
      </c>
      <c r="AF64" s="142" t="str">
        <f ca="1">IF($AA64=0,"",IF($X64&lt;$Y64,Einstellungen!$C$4,IF($X64=$Y64,1,0)))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387</v>
      </c>
      <c r="P65" s="47" t="s">
        <v>8</v>
      </c>
      <c r="Q65" s="62" t="str">
        <f ca="1">IF('Endrunde 4'!$AE13="","",'Endrunde 4'!$AE13)</f>
        <v/>
      </c>
      <c r="U65" s="67" t="s">
        <v>8</v>
      </c>
      <c r="V65" s="41" t="str">
        <f ca="1">'Endrunde 4'!$I13</f>
        <v>Maibach 1822 eV</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5">V65&amp;W65</f>
        <v>Maibach 1822 eVSSV Wildbach</v>
      </c>
      <c r="AA65" s="13">
        <f t="shared" ref="AA65:AA128" ca="1" si="46">IF(AND(V65&lt;&gt;"",W65&lt;&gt;"",V65&lt;&gt;W65,X65&lt;&gt;"",Y65&lt;&gt;""),1,0)</f>
        <v>1</v>
      </c>
      <c r="AB65" s="13" t="str">
        <f ca="1">IF(AA65&gt;0,X65&amp;Sprache!$E$111&amp;Y65,"")</f>
        <v>2:4</v>
      </c>
      <c r="AD65" s="143"/>
      <c r="AE65" s="148">
        <f ca="1">IF($AA65=0,"",IF($X65&gt;$Y65,Einstellungen!$C$4,IF($X65=$Y65,1,0)))</f>
        <v>0</v>
      </c>
      <c r="AF65" s="143">
        <f ca="1">IF($AA65=0,"",IF($X65&lt;$Y65,Einstellungen!$C$4,IF($X65=$Y65,1,0)))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IF('Endrunde 4'!$AE14="","",'Endrunde 4'!$AE14)</f>
        <v/>
      </c>
      <c r="U66" s="67" t="s">
        <v>9</v>
      </c>
      <c r="V66" s="41" t="str">
        <f ca="1">'Endrunde 4'!$I14</f>
        <v>VFB Essenheim</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5"/>
        <v>VFB EssenheimFC Grönlingen</v>
      </c>
      <c r="AA66" s="13">
        <f t="shared" ca="1" si="46"/>
        <v>1</v>
      </c>
      <c r="AB66" s="13" t="str">
        <f ca="1">IF(AA66&gt;0,X66&amp;Sprache!$E$111&amp;Y66,"")</f>
        <v>2:1</v>
      </c>
      <c r="AD66" s="143"/>
      <c r="AE66" s="148">
        <f ca="1">IF($AA66=0,"",IF($X66&gt;$Y66,Einstellungen!$C$4,IF($X66=$Y66,1,0)))</f>
        <v>3</v>
      </c>
      <c r="AF66" s="143">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4'!$AE15="","",'Endrunde 4'!$AE15)</f>
        <v/>
      </c>
      <c r="U67" s="67" t="s">
        <v>10</v>
      </c>
      <c r="V67" s="41" t="str">
        <f ca="1">'Endrunde 4'!$I15</f>
        <v>1. FC Riedwald</v>
      </c>
      <c r="W67" s="13" t="str">
        <f ca="1">'Endrunde 4'!$K15</f>
        <v>Mainz 05</v>
      </c>
      <c r="X67" s="13">
        <f ca="1">IF(AND('Endrunde 4'!$L15&lt;&gt;"",'Endrunde 4'!$N15&lt;&gt;"",$V67&lt;&gt;$W67,$V67&lt;&gt;"",$W67&lt;&gt;""),'Endrunde 4'!$L15,"")</f>
        <v>0</v>
      </c>
      <c r="Y67" s="36">
        <f ca="1">IF(AND('Endrunde 4'!$L15&lt;&gt;"",'Endrunde 4'!$N15&lt;&gt;"",$V67&lt;&gt;$W67,$V67&lt;&gt;"",$W67&lt;&gt;""),'Endrunde 4'!$N15,"")</f>
        <v>0</v>
      </c>
      <c r="Z67" s="35" t="str">
        <f t="shared" ca="1" si="45"/>
        <v>1. FC RiedwaldMainz 05</v>
      </c>
      <c r="AA67" s="13">
        <f t="shared" ca="1" si="46"/>
        <v>1</v>
      </c>
      <c r="AB67" s="13" t="str">
        <f ca="1">IF(AA67&gt;0,X67&amp;Sprache!$E$111&amp;Y67,"")</f>
        <v>0:0</v>
      </c>
      <c r="AD67" s="143"/>
      <c r="AE67" s="148">
        <f ca="1">IF($AA67=0,"",IF($X67&gt;$Y67,Einstellungen!$C$4,IF($X67=$Y67,1,0)))</f>
        <v>1</v>
      </c>
      <c r="AF67" s="143">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Eintracht Frankfurt</v>
      </c>
      <c r="W68" s="13" t="str">
        <f ca="1">'Endrunde 4'!$K16</f>
        <v>Inter Mailand</v>
      </c>
      <c r="X68" s="13">
        <f ca="1">IF(AND('Endrunde 4'!$L16&lt;&gt;"",'Endrunde 4'!$N16&lt;&gt;"",$V68&lt;&gt;$W68,$V68&lt;&gt;"",$W68&lt;&gt;""),'Endrunde 4'!$L16,"")</f>
        <v>5</v>
      </c>
      <c r="Y68" s="36">
        <f ca="1">IF(AND('Endrunde 4'!$L16&lt;&gt;"",'Endrunde 4'!$N16&lt;&gt;"",$V68&lt;&gt;$W68,$V68&lt;&gt;"",$W68&lt;&gt;""),'Endrunde 4'!$N16,"")</f>
        <v>1</v>
      </c>
      <c r="Z68" s="35" t="str">
        <f t="shared" ca="1" si="45"/>
        <v>Eintracht FrankfurtInter Mailand</v>
      </c>
      <c r="AA68" s="13">
        <f t="shared" ca="1" si="46"/>
        <v>1</v>
      </c>
      <c r="AB68" s="13" t="str">
        <f ca="1">IF(AA68&gt;0,X68&amp;Sprache!$E$111&amp;Y68,"")</f>
        <v>5:1</v>
      </c>
      <c r="AD68" s="143"/>
      <c r="AE68" s="148">
        <f ca="1">IF($AA68=0,"",IF($X68&gt;$Y68,Einstellungen!$C$4,IF($X68=$Y68,1,0)))</f>
        <v>3</v>
      </c>
      <c r="AF68" s="143">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FC Barcelona</v>
      </c>
      <c r="W69" s="13" t="str">
        <f ca="1">'Endrunde 4'!$K17</f>
        <v>Manchester City</v>
      </c>
      <c r="X69" s="13">
        <f ca="1">IF(AND('Endrunde 4'!$L17&lt;&gt;"",'Endrunde 4'!$N17&lt;&gt;"",$V69&lt;&gt;$W69,$V69&lt;&gt;"",$W69&lt;&gt;""),'Endrunde 4'!$L17,"")</f>
        <v>2</v>
      </c>
      <c r="Y69" s="36">
        <f ca="1">IF(AND('Endrunde 4'!$L17&lt;&gt;"",'Endrunde 4'!$N17&lt;&gt;"",$V69&lt;&gt;$W69,$V69&lt;&gt;"",$W69&lt;&gt;""),'Endrunde 4'!$N17,"")</f>
        <v>3</v>
      </c>
      <c r="Z69" s="35" t="str">
        <f t="shared" ca="1" si="45"/>
        <v>FC BarcelonaManchester City</v>
      </c>
      <c r="AA69" s="13">
        <f t="shared" ca="1" si="46"/>
        <v>1</v>
      </c>
      <c r="AB69" s="13" t="str">
        <f ca="1">IF(AA69&gt;0,X69&amp;Sprache!$E$111&amp;Y69,"")</f>
        <v>2:3</v>
      </c>
      <c r="AD69" s="143"/>
      <c r="AE69" s="148">
        <f ca="1">IF($AA69=0,"",IF($X69&gt;$Y69,Einstellungen!$C$4,IF($X69=$Y69,1,0)))</f>
        <v>0</v>
      </c>
      <c r="AF69" s="143">
        <f ca="1">IF($AA69=0,"",IF($X69&lt;$Y69,Einstellungen!$C$4,IF($X69=$Y69,1,0)))</f>
        <v>3</v>
      </c>
      <c r="AH69" s="4"/>
      <c r="AI69" s="13"/>
      <c r="AJ69" s="13"/>
      <c r="AK69" s="13"/>
      <c r="AL69" s="13"/>
      <c r="AM69" s="4"/>
      <c r="AN69" s="13"/>
      <c r="AO69" s="13"/>
      <c r="AP69" s="13"/>
      <c r="AQ69" s="13"/>
    </row>
    <row r="70" spans="2:43" s="2" customFormat="1" x14ac:dyDescent="0.2">
      <c r="P70" s="47"/>
      <c r="Q70" s="62" t="str">
        <f>""</f>
        <v/>
      </c>
      <c r="U70" s="67" t="s">
        <v>17</v>
      </c>
      <c r="V70" s="41" t="str">
        <f ca="1">'Endrunde 4'!$I18</f>
        <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5"/>
        <v/>
      </c>
      <c r="AA70" s="13">
        <f t="shared" ca="1" si="46"/>
        <v>0</v>
      </c>
      <c r="AB70" s="13" t="str">
        <f ca="1">IF(AA70&gt;0,X70&amp;Sprache!$E$111&amp;Y70,"")</f>
        <v/>
      </c>
      <c r="AD70" s="143"/>
      <c r="AE70" s="148" t="str">
        <f ca="1">IF($AA70=0,"",IF($X70&gt;$Y70,Einstellungen!$C$4,IF($X70=$Y70,1,0)))</f>
        <v/>
      </c>
      <c r="AF70" s="143"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FSV Rauen</v>
      </c>
      <c r="W71" s="13" t="str">
        <f ca="1">'Endrunde 4'!$K19</f>
        <v>TSG Saalberg eV</v>
      </c>
      <c r="X71" s="13">
        <f ca="1">IF(AND('Endrunde 4'!$L19&lt;&gt;"",'Endrunde 4'!$N19&lt;&gt;"",$V71&lt;&gt;$W71,$V71&lt;&gt;"",$W71&lt;&gt;""),'Endrunde 4'!$L19,"")</f>
        <v>5</v>
      </c>
      <c r="Y71" s="36">
        <f ca="1">IF(AND('Endrunde 4'!$L19&lt;&gt;"",'Endrunde 4'!$N19&lt;&gt;"",$V71&lt;&gt;$W71,$V71&lt;&gt;"",$W71&lt;&gt;""),'Endrunde 4'!$N19,"")</f>
        <v>3</v>
      </c>
      <c r="Z71" s="35" t="str">
        <f t="shared" ca="1" si="45"/>
        <v>FSV RauenTSG Saalberg eV</v>
      </c>
      <c r="AA71" s="13">
        <f t="shared" ca="1" si="46"/>
        <v>1</v>
      </c>
      <c r="AB71" s="13" t="str">
        <f ca="1">IF(AA71&gt;0,X71&amp;Sprache!$E$111&amp;Y71,"")</f>
        <v>5:3</v>
      </c>
      <c r="AD71" s="143"/>
      <c r="AE71" s="148">
        <f ca="1">IF($AA71=0,"",IF($X71&gt;$Y71,Einstellungen!$C$4,IF($X71=$Y71,1,0)))</f>
        <v>3</v>
      </c>
      <c r="AF71" s="143">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Kickers Rodendorf</v>
      </c>
      <c r="W72" s="13" t="str">
        <f ca="1">'Endrunde 4'!$K20</f>
        <v>SV Oberredenburg</v>
      </c>
      <c r="X72" s="13">
        <f ca="1">IF(AND('Endrunde 4'!$L20&lt;&gt;"",'Endrunde 4'!$N20&lt;&gt;"",$V72&lt;&gt;$W72,$V72&lt;&gt;"",$W72&lt;&gt;""),'Endrunde 4'!$L20,"")</f>
        <v>2</v>
      </c>
      <c r="Y72" s="36">
        <f ca="1">IF(AND('Endrunde 4'!$L20&lt;&gt;"",'Endrunde 4'!$N20&lt;&gt;"",$V72&lt;&gt;$W72,$V72&lt;&gt;"",$W72&lt;&gt;""),'Endrunde 4'!$N20,"")</f>
        <v>1</v>
      </c>
      <c r="Z72" s="35" t="str">
        <f t="shared" ca="1" si="45"/>
        <v>Kickers RodendorfSV Oberredenburg</v>
      </c>
      <c r="AA72" s="13">
        <f t="shared" ca="1" si="46"/>
        <v>1</v>
      </c>
      <c r="AB72" s="13" t="str">
        <f ca="1">IF(AA72&gt;0,X72&amp;Sprache!$E$111&amp;Y72,"")</f>
        <v>2:1</v>
      </c>
      <c r="AD72" s="143"/>
      <c r="AE72" s="148">
        <f ca="1">IF($AA72=0,"",IF($X72&gt;$Y72,Einstellungen!$C$4,IF($X72=$Y72,1,0)))</f>
        <v>3</v>
      </c>
      <c r="AF72" s="143">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1. FC Nürnberg</v>
      </c>
      <c r="W73" s="13" t="str">
        <f ca="1">'Endrunde 4'!$K21</f>
        <v>HSV</v>
      </c>
      <c r="X73" s="13">
        <f ca="1">IF(AND('Endrunde 4'!$L21&lt;&gt;"",'Endrunde 4'!$N21&lt;&gt;"",$V73&lt;&gt;$W73,$V73&lt;&gt;"",$W73&lt;&gt;""),'Endrunde 4'!$L21,"")</f>
        <v>3</v>
      </c>
      <c r="Y73" s="36">
        <f ca="1">IF(AND('Endrunde 4'!$L21&lt;&gt;"",'Endrunde 4'!$N21&lt;&gt;"",$V73&lt;&gt;$W73,$V73&lt;&gt;"",$W73&lt;&gt;""),'Endrunde 4'!$N21,"")</f>
        <v>1</v>
      </c>
      <c r="Z73" s="35" t="str">
        <f t="shared" ca="1" si="45"/>
        <v>1. FC NürnbergHSV</v>
      </c>
      <c r="AA73" s="13">
        <f t="shared" ca="1" si="46"/>
        <v>1</v>
      </c>
      <c r="AB73" s="13" t="str">
        <f ca="1">IF(AA73&gt;0,X73&amp;Sprache!$E$111&amp;Y73,"")</f>
        <v>3:1</v>
      </c>
      <c r="AD73" s="143"/>
      <c r="AE73" s="148">
        <f ca="1">IF($AA73=0,"",IF($X73&gt;$Y73,Einstellungen!$C$4,IF($X73=$Y73,1,0)))</f>
        <v>3</v>
      </c>
      <c r="AF73" s="143">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Real Madrid</v>
      </c>
      <c r="W74" s="13" t="str">
        <f ca="1">'Endrunde 4'!$K22</f>
        <v>RB Leipzig</v>
      </c>
      <c r="X74" s="13">
        <f ca="1">IF(AND('Endrunde 4'!$L22&lt;&gt;"",'Endrunde 4'!$N22&lt;&gt;"",$V74&lt;&gt;$W74,$V74&lt;&gt;"",$W74&lt;&gt;""),'Endrunde 4'!$L22,"")</f>
        <v>4</v>
      </c>
      <c r="Y74" s="36">
        <f ca="1">IF(AND('Endrunde 4'!$L22&lt;&gt;"",'Endrunde 4'!$N22&lt;&gt;"",$V74&lt;&gt;$W74,$V74&lt;&gt;"",$W74&lt;&gt;""),'Endrunde 4'!$N22,"")</f>
        <v>2</v>
      </c>
      <c r="Z74" s="35" t="str">
        <f ca="1">V74&amp;W74</f>
        <v>Real MadridRB Leipzig</v>
      </c>
      <c r="AA74" s="13">
        <f t="shared" ca="1" si="46"/>
        <v>1</v>
      </c>
      <c r="AB74" s="13" t="str">
        <f ca="1">IF(AA74&gt;0,X74&amp;Sprache!$E$111&amp;Y74,"")</f>
        <v>4:2</v>
      </c>
      <c r="AD74" s="143"/>
      <c r="AE74" s="148">
        <f ca="1">IF($AA74=0,"",IF($X74&gt;$Y74,Einstellungen!$C$4,IF($X74=$Y74,1,0)))</f>
        <v>3</v>
      </c>
      <c r="AF74" s="143">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Borussia Dortmund</v>
      </c>
      <c r="W75" s="13" t="str">
        <f ca="1">'Endrunde 4'!$K23</f>
        <v>Paris St. Germain</v>
      </c>
      <c r="X75" s="13">
        <f ca="1">IF(AND('Endrunde 4'!$L23&lt;&gt;"",'Endrunde 4'!$N23&lt;&gt;"",$V75&lt;&gt;$W75,$V75&lt;&gt;"",$W75&lt;&gt;""),'Endrunde 4'!$L23,"")</f>
        <v>1</v>
      </c>
      <c r="Y75" s="36">
        <f ca="1">IF(AND('Endrunde 4'!$L23&lt;&gt;"",'Endrunde 4'!$N23&lt;&gt;"",$V75&lt;&gt;$W75,$V75&lt;&gt;"",$W75&lt;&gt;""),'Endrunde 4'!$N23,"")</f>
        <v>3</v>
      </c>
      <c r="Z75" s="35" t="str">
        <f t="shared" ref="Z75:Z108" ca="1" si="47">V75&amp;W75</f>
        <v>Borussia DortmundParis St. Germain</v>
      </c>
      <c r="AA75" s="13">
        <f t="shared" ca="1" si="46"/>
        <v>1</v>
      </c>
      <c r="AB75" s="13" t="str">
        <f ca="1">IF(AA75&gt;0,X75&amp;Sprache!$E$111&amp;Y75,"")</f>
        <v>1:3</v>
      </c>
      <c r="AD75" s="143"/>
      <c r="AE75" s="148">
        <f ca="1">IF($AA75=0,"",IF($X75&gt;$Y75,Einstellungen!$C$4,IF($X75=$Y75,1,0)))</f>
        <v>0</v>
      </c>
      <c r="AF75" s="143">
        <f ca="1">IF($AA75=0,"",IF($X75&lt;$Y75,Einstellungen!$C$4,IF($X75=$Y75,1,0)))</f>
        <v>3</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7"/>
        <v/>
      </c>
      <c r="AA76" s="13">
        <f t="shared" ca="1" si="46"/>
        <v>0</v>
      </c>
      <c r="AB76" s="13" t="str">
        <f ca="1">IF(AA76&gt;0,X76&amp;Sprache!$E$111&amp;Y76,"")</f>
        <v/>
      </c>
      <c r="AD76" s="143"/>
      <c r="AE76" s="148" t="str">
        <f ca="1">IF($AA76=0,"",IF($X76&gt;$Y76,Einstellungen!$C$4,IF($X76=$Y76,1,0)))</f>
        <v/>
      </c>
      <c r="AF76" s="143"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Maibach 1822 eV</v>
      </c>
      <c r="W77" s="13" t="str">
        <f ca="1">'Endrunde 4'!$K25</f>
        <v>FSV Rauen</v>
      </c>
      <c r="X77" s="13">
        <f ca="1">IF(AND('Endrunde 4'!$L25&lt;&gt;"",'Endrunde 4'!$N25&lt;&gt;"",$V77&lt;&gt;$W77,$V77&lt;&gt;"",$W77&lt;&gt;""),'Endrunde 4'!$L25,"")</f>
        <v>1</v>
      </c>
      <c r="Y77" s="36">
        <f ca="1">IF(AND('Endrunde 4'!$L25&lt;&gt;"",'Endrunde 4'!$N25&lt;&gt;"",$V77&lt;&gt;$W77,$V77&lt;&gt;"",$W77&lt;&gt;""),'Endrunde 4'!$N25,"")</f>
        <v>5</v>
      </c>
      <c r="Z77" s="35" t="str">
        <f t="shared" ca="1" si="47"/>
        <v>Maibach 1822 eVFSV Rauen</v>
      </c>
      <c r="AA77" s="13">
        <f t="shared" ca="1" si="46"/>
        <v>1</v>
      </c>
      <c r="AB77" s="13" t="str">
        <f ca="1">IF(AA77&gt;0,X77&amp;Sprache!$E$111&amp;Y77,"")</f>
        <v>1:5</v>
      </c>
      <c r="AD77" s="143"/>
      <c r="AE77" s="148">
        <f ca="1">IF($AA77=0,"",IF($X77&gt;$Y77,Einstellungen!$C$4,IF($X77=$Y77,1,0)))</f>
        <v>0</v>
      </c>
      <c r="AF77" s="143">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VFB Essenheim</v>
      </c>
      <c r="W78" s="13" t="str">
        <f ca="1">'Endrunde 4'!$K26</f>
        <v>Kickers Rodendorf</v>
      </c>
      <c r="X78" s="13">
        <f ca="1">IF(AND('Endrunde 4'!$L26&lt;&gt;"",'Endrunde 4'!$N26&lt;&gt;"",$V78&lt;&gt;$W78,$V78&lt;&gt;"",$W78&lt;&gt;""),'Endrunde 4'!$L26,"")</f>
        <v>4</v>
      </c>
      <c r="Y78" s="36">
        <f ca="1">IF(AND('Endrunde 4'!$L26&lt;&gt;"",'Endrunde 4'!$N26&lt;&gt;"",$V78&lt;&gt;$W78,$V78&lt;&gt;"",$W78&lt;&gt;""),'Endrunde 4'!$N26,"")</f>
        <v>4</v>
      </c>
      <c r="Z78" s="35" t="str">
        <f t="shared" ca="1" si="47"/>
        <v>VFB EssenheimKickers Rodendorf</v>
      </c>
      <c r="AA78" s="13">
        <f t="shared" ca="1" si="46"/>
        <v>1</v>
      </c>
      <c r="AB78" s="13" t="str">
        <f ca="1">IF(AA78&gt;0,X78&amp;Sprache!$E$111&amp;Y78,"")</f>
        <v>4:4</v>
      </c>
      <c r="AD78" s="143"/>
      <c r="AE78" s="148">
        <f ca="1">IF($AA78=0,"",IF($X78&gt;$Y78,Einstellungen!$C$4,IF($X78=$Y78,1,0)))</f>
        <v>1</v>
      </c>
      <c r="AF78" s="143">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1. FC Riedwald</v>
      </c>
      <c r="W79" s="13" t="str">
        <f ca="1">'Endrunde 4'!$K27</f>
        <v>1. FC Nürnberg</v>
      </c>
      <c r="X79" s="13">
        <f ca="1">IF(AND('Endrunde 4'!$L27&lt;&gt;"",'Endrunde 4'!$N27&lt;&gt;"",$V79&lt;&gt;$W79,$V79&lt;&gt;"",$W79&lt;&gt;""),'Endrunde 4'!$L27,"")</f>
        <v>0</v>
      </c>
      <c r="Y79" s="36">
        <f ca="1">IF(AND('Endrunde 4'!$L27&lt;&gt;"",'Endrunde 4'!$N27&lt;&gt;"",$V79&lt;&gt;$W79,$V79&lt;&gt;"",$W79&lt;&gt;""),'Endrunde 4'!$N27,"")</f>
        <v>7</v>
      </c>
      <c r="Z79" s="35" t="str">
        <f t="shared" ca="1" si="47"/>
        <v>1. FC Riedwald1. FC Nürnberg</v>
      </c>
      <c r="AA79" s="13">
        <f t="shared" ca="1" si="46"/>
        <v>1</v>
      </c>
      <c r="AB79" s="13" t="str">
        <f ca="1">IF(AA79&gt;0,X79&amp;Sprache!$E$111&amp;Y79,"")</f>
        <v>0:7</v>
      </c>
      <c r="AD79" s="143"/>
      <c r="AE79" s="148">
        <f ca="1">IF($AA79=0,"",IF($X79&gt;$Y79,Einstellungen!$C$4,IF($X79=$Y79,1,0)))</f>
        <v>0</v>
      </c>
      <c r="AF79" s="143">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Eintracht Frankfurt</v>
      </c>
      <c r="W80" s="13" t="str">
        <f ca="1">'Endrunde 4'!$K28</f>
        <v>Real Madrid</v>
      </c>
      <c r="X80" s="13">
        <f ca="1">IF(AND('Endrunde 4'!$L28&lt;&gt;"",'Endrunde 4'!$N28&lt;&gt;"",$V80&lt;&gt;$W80,$V80&lt;&gt;"",$W80&lt;&gt;""),'Endrunde 4'!$L28,"")</f>
        <v>2</v>
      </c>
      <c r="Y80" s="36">
        <f ca="1">IF(AND('Endrunde 4'!$L28&lt;&gt;"",'Endrunde 4'!$N28&lt;&gt;"",$V80&lt;&gt;$W80,$V80&lt;&gt;"",$W80&lt;&gt;""),'Endrunde 4'!$N28,"")</f>
        <v>8</v>
      </c>
      <c r="Z80" s="35" t="str">
        <f t="shared" ca="1" si="47"/>
        <v>Eintracht FrankfurtReal Madrid</v>
      </c>
      <c r="AA80" s="13">
        <f t="shared" ca="1" si="46"/>
        <v>1</v>
      </c>
      <c r="AB80" s="13" t="str">
        <f ca="1">IF(AA80&gt;0,X80&amp;Sprache!$E$111&amp;Y80,"")</f>
        <v>2:8</v>
      </c>
      <c r="AD80" s="143"/>
      <c r="AE80" s="148">
        <f ca="1">IF($AA80=0,"",IF($X80&gt;$Y80,Einstellungen!$C$4,IF($X80=$Y80,1,0)))</f>
        <v>0</v>
      </c>
      <c r="AF80" s="143">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FC Barcelona</v>
      </c>
      <c r="W81" s="13" t="str">
        <f ca="1">'Endrunde 4'!$K29</f>
        <v>Borussia Dortmund</v>
      </c>
      <c r="X81" s="13">
        <f ca="1">IF(AND('Endrunde 4'!$L29&lt;&gt;"",'Endrunde 4'!$N29&lt;&gt;"",$V81&lt;&gt;$W81,$V81&lt;&gt;"",$W81&lt;&gt;""),'Endrunde 4'!$L29,"")</f>
        <v>4</v>
      </c>
      <c r="Y81" s="36">
        <f ca="1">IF(AND('Endrunde 4'!$L29&lt;&gt;"",'Endrunde 4'!$N29&lt;&gt;"",$V81&lt;&gt;$W81,$V81&lt;&gt;"",$W81&lt;&gt;""),'Endrunde 4'!$N29,"")</f>
        <v>0</v>
      </c>
      <c r="Z81" s="35" t="str">
        <f t="shared" ca="1" si="47"/>
        <v>FC BarcelonaBorussia Dortmund</v>
      </c>
      <c r="AA81" s="13">
        <f t="shared" ca="1" si="46"/>
        <v>1</v>
      </c>
      <c r="AB81" s="13" t="str">
        <f ca="1">IF(AA81&gt;0,X81&amp;Sprache!$E$111&amp;Y81,"")</f>
        <v>4:0</v>
      </c>
      <c r="AD81" s="143"/>
      <c r="AE81" s="148">
        <f ca="1">IF($AA81=0,"",IF($X81&gt;$Y81,Einstellungen!$C$4,IF($X81=$Y81,1,0)))</f>
        <v>3</v>
      </c>
      <c r="AF81" s="143">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'Endrunde 4'!$I30</f>
        <v/>
      </c>
      <c r="W82" s="13" t="str">
        <f ca="1">'Endrunde 4'!$K30</f>
        <v/>
      </c>
      <c r="X82" s="13" t="str">
        <f ca="1">IF(AND('Endrunde 4'!$L30&lt;&gt;"",'Endrunde 4'!$N30&lt;&gt;"",$V82&lt;&gt;$W82,$V82&lt;&gt;"",$W82&lt;&gt;""),'Endrunde 4'!$L30,"")</f>
        <v/>
      </c>
      <c r="Y82" s="36" t="str">
        <f ca="1">IF(AND('Endrunde 4'!$L30&lt;&gt;"",'Endrunde 4'!$N30&lt;&gt;"",$V82&lt;&gt;$W82,$V82&lt;&gt;"",$W82&lt;&gt;""),'Endrunde 4'!$N30,"")</f>
        <v/>
      </c>
      <c r="Z82" s="35" t="str">
        <f t="shared" ca="1" si="47"/>
        <v/>
      </c>
      <c r="AA82" s="13">
        <f t="shared" ca="1" si="46"/>
        <v>0</v>
      </c>
      <c r="AB82" s="13" t="str">
        <f ca="1">IF(AA82&gt;0,X82&amp;Sprache!$E$111&amp;Y82,"")</f>
        <v/>
      </c>
      <c r="AD82" s="143"/>
      <c r="AE82" s="148" t="str">
        <f ca="1">IF($AA82=0,"",IF($X82&gt;$Y82,Einstellungen!$C$4,IF($X82=$Y82,1,0)))</f>
        <v/>
      </c>
      <c r="AF82" s="143" t="str">
        <f ca="1">IF($AA82=0,"",IF($X82&lt;$Y82,Einstellungen!$C$4,IF($X82=$Y82,1,0)))</f>
        <v/>
      </c>
    </row>
    <row r="83" spans="2:32" s="2" customFormat="1" x14ac:dyDescent="0.2">
      <c r="B83" s="4"/>
      <c r="C83" s="4"/>
      <c r="D83" s="4"/>
      <c r="E83" s="4"/>
      <c r="F83" s="13"/>
      <c r="G83" s="13"/>
      <c r="H83" s="13"/>
      <c r="I83" s="13"/>
      <c r="J83" s="13"/>
      <c r="K83" s="13"/>
      <c r="L83" s="13"/>
      <c r="M83" s="13"/>
      <c r="U83" s="67" t="s">
        <v>35</v>
      </c>
      <c r="V83" s="41" t="str">
        <f ca="1">'Endrunde 4'!$I31</f>
        <v>TSG Saalberg eV</v>
      </c>
      <c r="W83" s="13" t="str">
        <f ca="1">'Endrunde 4'!$K31</f>
        <v>SSV Wildbach</v>
      </c>
      <c r="X83" s="13">
        <f ca="1">IF(AND('Endrunde 4'!$L31&lt;&gt;"",'Endrunde 4'!$N31&lt;&gt;"",$V83&lt;&gt;$W83,$V83&lt;&gt;"",$W83&lt;&gt;""),'Endrunde 4'!$L31,"")</f>
        <v>4</v>
      </c>
      <c r="Y83" s="36">
        <f ca="1">IF(AND('Endrunde 4'!$L31&lt;&gt;"",'Endrunde 4'!$N31&lt;&gt;"",$V83&lt;&gt;$W83,$V83&lt;&gt;"",$W83&lt;&gt;""),'Endrunde 4'!$N31,"")</f>
        <v>1</v>
      </c>
      <c r="Z83" s="35" t="str">
        <f t="shared" ca="1" si="47"/>
        <v>TSG Saalberg eVSSV Wildbach</v>
      </c>
      <c r="AA83" s="13">
        <f t="shared" ca="1" si="46"/>
        <v>1</v>
      </c>
      <c r="AB83" s="13" t="str">
        <f ca="1">IF(AA83&gt;0,X83&amp;Sprache!$E$111&amp;Y83,"")</f>
        <v>4:1</v>
      </c>
      <c r="AD83" s="143"/>
      <c r="AE83" s="148">
        <f ca="1">IF($AA83=0,"",IF($X83&gt;$Y83,Einstellungen!$C$4,IF($X83=$Y83,1,0)))</f>
        <v>3</v>
      </c>
      <c r="AF83" s="143">
        <f ca="1">IF($AA83=0,"",IF($X83&lt;$Y83,Einstellungen!$C$4,IF($X83=$Y83,1,0)))</f>
        <v>0</v>
      </c>
    </row>
    <row r="84" spans="2:32" s="2" customFormat="1" x14ac:dyDescent="0.2">
      <c r="B84" s="4"/>
      <c r="C84" s="4"/>
      <c r="D84" s="4"/>
      <c r="E84" s="4"/>
      <c r="F84" s="13"/>
      <c r="G84" s="13"/>
      <c r="H84" s="13"/>
      <c r="I84" s="13"/>
      <c r="J84" s="13"/>
      <c r="K84" s="13"/>
      <c r="L84" s="13"/>
      <c r="M84" s="13"/>
      <c r="U84" s="67" t="s">
        <v>36</v>
      </c>
      <c r="V84" s="41" t="str">
        <f ca="1">'Endrunde 4'!$I32</f>
        <v>SV Oberredenburg</v>
      </c>
      <c r="W84" s="13" t="str">
        <f ca="1">'Endrunde 4'!$K32</f>
        <v>FC Grönlingen</v>
      </c>
      <c r="X84" s="13">
        <f ca="1">IF(AND('Endrunde 4'!$L32&lt;&gt;"",'Endrunde 4'!$N32&lt;&gt;"",$V84&lt;&gt;$W84,$V84&lt;&gt;"",$W84&lt;&gt;""),'Endrunde 4'!$L32,"")</f>
        <v>3</v>
      </c>
      <c r="Y84" s="36">
        <f ca="1">IF(AND('Endrunde 4'!$L32&lt;&gt;"",'Endrunde 4'!$N32&lt;&gt;"",$V84&lt;&gt;$W84,$V84&lt;&gt;"",$W84&lt;&gt;""),'Endrunde 4'!$N32,"")</f>
        <v>2</v>
      </c>
      <c r="Z84" s="35" t="str">
        <f t="shared" ca="1" si="47"/>
        <v>SV OberredenburgFC Grönlingen</v>
      </c>
      <c r="AA84" s="13">
        <f t="shared" ca="1" si="46"/>
        <v>1</v>
      </c>
      <c r="AB84" s="13" t="str">
        <f ca="1">IF(AA84&gt;0,X84&amp;Sprache!$E$111&amp;Y84,"")</f>
        <v>3:2</v>
      </c>
      <c r="AD84" s="143"/>
      <c r="AE84" s="148">
        <f ca="1">IF($AA84=0,"",IF($X84&gt;$Y84,Einstellungen!$C$4,IF($X84=$Y84,1,0)))</f>
        <v>3</v>
      </c>
      <c r="AF84" s="143">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'Endrunde 4'!$I33</f>
        <v>HSV</v>
      </c>
      <c r="W85" s="13" t="str">
        <f ca="1">'Endrunde 4'!$K33</f>
        <v>Mainz 05</v>
      </c>
      <c r="X85" s="13">
        <f ca="1">IF(AND('Endrunde 4'!$L33&lt;&gt;"",'Endrunde 4'!$N33&lt;&gt;"",$V85&lt;&gt;$W85,$V85&lt;&gt;"",$W85&lt;&gt;""),'Endrunde 4'!$L33,"")</f>
        <v>0</v>
      </c>
      <c r="Y85" s="36">
        <f ca="1">IF(AND('Endrunde 4'!$L33&lt;&gt;"",'Endrunde 4'!$N33&lt;&gt;"",$V85&lt;&gt;$W85,$V85&lt;&gt;"",$W85&lt;&gt;""),'Endrunde 4'!$N33,"")</f>
        <v>3</v>
      </c>
      <c r="Z85" s="35" t="str">
        <f t="shared" ca="1" si="47"/>
        <v>HSVMainz 05</v>
      </c>
      <c r="AA85" s="13">
        <f t="shared" ca="1" si="46"/>
        <v>1</v>
      </c>
      <c r="AB85" s="13" t="str">
        <f ca="1">IF(AA85&gt;0,X85&amp;Sprache!$E$111&amp;Y85,"")</f>
        <v>0:3</v>
      </c>
      <c r="AD85" s="143"/>
      <c r="AE85" s="148">
        <f ca="1">IF($AA85=0,"",IF($X85&gt;$Y85,Einstellungen!$C$4,IF($X85=$Y85,1,0)))</f>
        <v>0</v>
      </c>
      <c r="AF85" s="143">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RB Leipzig</v>
      </c>
      <c r="W86" s="13" t="str">
        <f ca="1">'Endrunde 4'!$K34</f>
        <v>Inter Mailand</v>
      </c>
      <c r="X86" s="13">
        <f ca="1">IF(AND('Endrunde 4'!$L34&lt;&gt;"",'Endrunde 4'!$N34&lt;&gt;"",$V86&lt;&gt;$W86,$V86&lt;&gt;"",$W86&lt;&gt;""),'Endrunde 4'!$L34,"")</f>
        <v>1</v>
      </c>
      <c r="Y86" s="36">
        <f ca="1">IF(AND('Endrunde 4'!$L34&lt;&gt;"",'Endrunde 4'!$N34&lt;&gt;"",$V86&lt;&gt;$W86,$V86&lt;&gt;"",$W86&lt;&gt;""),'Endrunde 4'!$N34,"")</f>
        <v>1</v>
      </c>
      <c r="Z86" s="35" t="str">
        <f t="shared" ca="1" si="47"/>
        <v>RB LeipzigInter Mailand</v>
      </c>
      <c r="AA86" s="13">
        <f t="shared" ca="1" si="46"/>
        <v>1</v>
      </c>
      <c r="AB86" s="13" t="str">
        <f ca="1">IF(AA86&gt;0,X86&amp;Sprache!$E$111&amp;Y86,"")</f>
        <v>1:1</v>
      </c>
      <c r="AD86" s="143"/>
      <c r="AE86" s="148">
        <f ca="1">IF($AA86=0,"",IF($X86&gt;$Y86,Einstellungen!$C$4,IF($X86=$Y86,1,0)))</f>
        <v>1</v>
      </c>
      <c r="AF86" s="143">
        <f ca="1">IF($AA86=0,"",IF($X86&lt;$Y86,Einstellungen!$C$4,IF($X86=$Y86,1,0)))</f>
        <v>1</v>
      </c>
    </row>
    <row r="87" spans="2:32" s="2" customFormat="1" x14ac:dyDescent="0.2">
      <c r="B87" s="4"/>
      <c r="C87" s="4"/>
      <c r="D87" s="4"/>
      <c r="E87" s="4"/>
      <c r="F87" s="13"/>
      <c r="G87" s="13"/>
      <c r="H87" s="13"/>
      <c r="I87" s="13"/>
      <c r="J87" s="13"/>
      <c r="K87" s="13"/>
      <c r="L87" s="13"/>
      <c r="M87" s="13"/>
      <c r="U87" s="67" t="s">
        <v>39</v>
      </c>
      <c r="V87" s="41" t="str">
        <f ca="1">'Endrunde 4'!$I35</f>
        <v>Paris St. Germain</v>
      </c>
      <c r="W87" s="13" t="str">
        <f ca="1">'Endrunde 4'!$K35</f>
        <v>Manchester City</v>
      </c>
      <c r="X87" s="13">
        <f ca="1">IF(AND('Endrunde 4'!$L35&lt;&gt;"",'Endrunde 4'!$N35&lt;&gt;"",$V87&lt;&gt;$W87,$V87&lt;&gt;"",$W87&lt;&gt;""),'Endrunde 4'!$L35,"")</f>
        <v>3</v>
      </c>
      <c r="Y87" s="36">
        <f ca="1">IF(AND('Endrunde 4'!$L35&lt;&gt;"",'Endrunde 4'!$N35&lt;&gt;"",$V87&lt;&gt;$W87,$V87&lt;&gt;"",$W87&lt;&gt;""),'Endrunde 4'!$N35,"")</f>
        <v>2</v>
      </c>
      <c r="Z87" s="35" t="str">
        <f t="shared" ca="1" si="47"/>
        <v>Paris St. GermainManchester City</v>
      </c>
      <c r="AA87" s="13">
        <f t="shared" ca="1" si="46"/>
        <v>1</v>
      </c>
      <c r="AB87" s="13" t="str">
        <f ca="1">IF(AA87&gt;0,X87&amp;Sprache!$E$111&amp;Y87,"")</f>
        <v>3:2</v>
      </c>
      <c r="AD87" s="143"/>
      <c r="AE87" s="148">
        <f ca="1">IF($AA87=0,"",IF($X87&gt;$Y87,Einstellungen!$C$4,IF($X87=$Y87,1,0)))</f>
        <v>3</v>
      </c>
      <c r="AF87" s="143">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'Endrunde 4'!$I36</f>
        <v/>
      </c>
      <c r="W88" s="13" t="str">
        <f ca="1">'Endrunde 4'!$K36</f>
        <v/>
      </c>
      <c r="X88" s="13" t="str">
        <f ca="1">IF(AND('Endrunde 4'!$L36&lt;&gt;"",'Endrunde 4'!$N36&lt;&gt;"",$V88&lt;&gt;$W88,$V88&lt;&gt;"",$W88&lt;&gt;""),'Endrunde 4'!$L36,"")</f>
        <v/>
      </c>
      <c r="Y88" s="36" t="str">
        <f ca="1">IF(AND('Endrunde 4'!$L36&lt;&gt;"",'Endrunde 4'!$N36&lt;&gt;"",$V88&lt;&gt;$W88,$V88&lt;&gt;"",$W88&lt;&gt;""),'Endrunde 4'!$N36,"")</f>
        <v/>
      </c>
      <c r="Z88" s="35" t="str">
        <f t="shared" ca="1" si="47"/>
        <v/>
      </c>
      <c r="AA88" s="13">
        <f t="shared" ca="1" si="46"/>
        <v>0</v>
      </c>
      <c r="AB88" s="13" t="str">
        <f ca="1">IF(AA88&gt;0,X88&amp;Sprache!$E$111&amp;Y88,"")</f>
        <v/>
      </c>
      <c r="AD88" s="143"/>
      <c r="AE88" s="148" t="str">
        <f ca="1">IF($AA88=0,"",IF($X88&gt;$Y88,Einstellungen!$C$4,IF($X88=$Y88,1,0)))</f>
        <v/>
      </c>
      <c r="AF88" s="143"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'Endrunde 4'!$I37</f>
        <v>TSG Saalberg eV</v>
      </c>
      <c r="W89" s="13" t="str">
        <f ca="1">'Endrunde 4'!$K37</f>
        <v>Maibach 1822 eV</v>
      </c>
      <c r="X89" s="13">
        <f ca="1">IF(AND('Endrunde 4'!$L37&lt;&gt;"",'Endrunde 4'!$N37&lt;&gt;"",$V89&lt;&gt;$W89,$V89&lt;&gt;"",$W89&lt;&gt;""),'Endrunde 4'!$L37,"")</f>
        <v>2</v>
      </c>
      <c r="Y89" s="36">
        <f ca="1">IF(AND('Endrunde 4'!$L37&lt;&gt;"",'Endrunde 4'!$N37&lt;&gt;"",$V89&lt;&gt;$W89,$V89&lt;&gt;"",$W89&lt;&gt;""),'Endrunde 4'!$N37,"")</f>
        <v>0</v>
      </c>
      <c r="Z89" s="35" t="str">
        <f t="shared" ca="1" si="47"/>
        <v>TSG Saalberg eVMaibach 1822 eV</v>
      </c>
      <c r="AA89" s="13">
        <f t="shared" ca="1" si="46"/>
        <v>1</v>
      </c>
      <c r="AB89" s="13" t="str">
        <f ca="1">IF(AA89&gt;0,X89&amp;Sprache!$E$111&amp;Y89,"")</f>
        <v>2:0</v>
      </c>
      <c r="AD89" s="143"/>
      <c r="AE89" s="148">
        <f ca="1">IF($AA89=0,"",IF($X89&gt;$Y89,Einstellungen!$C$4,IF($X89=$Y89,1,0)))</f>
        <v>3</v>
      </c>
      <c r="AF89" s="143">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'Endrunde 4'!$I38</f>
        <v>SV Oberredenburg</v>
      </c>
      <c r="W90" s="13" t="str">
        <f ca="1">'Endrunde 4'!$K38</f>
        <v>VFB Essenheim</v>
      </c>
      <c r="X90" s="13">
        <f ca="1">IF(AND('Endrunde 4'!$L38&lt;&gt;"",'Endrunde 4'!$N38&lt;&gt;"",$V90&lt;&gt;$W90,$V90&lt;&gt;"",$W90&lt;&gt;""),'Endrunde 4'!$L38,"")</f>
        <v>1</v>
      </c>
      <c r="Y90" s="36">
        <f ca="1">IF(AND('Endrunde 4'!$L38&lt;&gt;"",'Endrunde 4'!$N38&lt;&gt;"",$V90&lt;&gt;$W90,$V90&lt;&gt;"",$W90&lt;&gt;""),'Endrunde 4'!$N38,"")</f>
        <v>0</v>
      </c>
      <c r="Z90" s="35" t="str">
        <f t="shared" ca="1" si="47"/>
        <v>SV OberredenburgVFB Essenheim</v>
      </c>
      <c r="AA90" s="13">
        <f t="shared" ca="1" si="46"/>
        <v>1</v>
      </c>
      <c r="AB90" s="13" t="str">
        <f ca="1">IF(AA90&gt;0,X90&amp;Sprache!$E$111&amp;Y90,"")</f>
        <v>1:0</v>
      </c>
      <c r="AD90" s="143"/>
      <c r="AE90" s="148">
        <f ca="1">IF($AA90=0,"",IF($X90&gt;$Y90,Einstellungen!$C$4,IF($X90=$Y90,1,0)))</f>
        <v>3</v>
      </c>
      <c r="AF90" s="143">
        <f ca="1">IF($AA90=0,"",IF($X90&lt;$Y90,Einstellungen!$C$4,IF($X90=$Y90,1,0)))</f>
        <v>0</v>
      </c>
    </row>
    <row r="91" spans="2:32" s="2" customFormat="1" x14ac:dyDescent="0.2">
      <c r="B91" s="4"/>
      <c r="C91" s="4"/>
      <c r="D91" s="4"/>
      <c r="E91" s="4"/>
      <c r="F91" s="13"/>
      <c r="G91" s="13"/>
      <c r="H91" s="13"/>
      <c r="I91" s="13"/>
      <c r="J91" s="13"/>
      <c r="K91" s="13"/>
      <c r="L91" s="13"/>
      <c r="M91" s="13"/>
      <c r="U91" s="67" t="s">
        <v>43</v>
      </c>
      <c r="V91" s="41" t="str">
        <f ca="1">'Endrunde 4'!$I39</f>
        <v>HSV</v>
      </c>
      <c r="W91" s="13" t="str">
        <f ca="1">'Endrunde 4'!$K39</f>
        <v>1. FC Riedwald</v>
      </c>
      <c r="X91" s="13">
        <f ca="1">IF(AND('Endrunde 4'!$L39&lt;&gt;"",'Endrunde 4'!$N39&lt;&gt;"",$V91&lt;&gt;$W91,$V91&lt;&gt;"",$W91&lt;&gt;""),'Endrunde 4'!$L39,"")</f>
        <v>2</v>
      </c>
      <c r="Y91" s="36">
        <f ca="1">IF(AND('Endrunde 4'!$L39&lt;&gt;"",'Endrunde 4'!$N39&lt;&gt;"",$V91&lt;&gt;$W91,$V91&lt;&gt;"",$W91&lt;&gt;""),'Endrunde 4'!$N39,"")</f>
        <v>0</v>
      </c>
      <c r="Z91" s="35" t="str">
        <f t="shared" ca="1" si="47"/>
        <v>HSV1. FC Riedwald</v>
      </c>
      <c r="AA91" s="13">
        <f t="shared" ca="1" si="46"/>
        <v>1</v>
      </c>
      <c r="AB91" s="13" t="str">
        <f ca="1">IF(AA91&gt;0,X91&amp;Sprache!$E$111&amp;Y91,"")</f>
        <v>2:0</v>
      </c>
      <c r="AD91" s="143"/>
      <c r="AE91" s="148">
        <f ca="1">IF($AA91=0,"",IF($X91&gt;$Y91,Einstellungen!$C$4,IF($X91=$Y91,1,0)))</f>
        <v>3</v>
      </c>
      <c r="AF91" s="143">
        <f ca="1">IF($AA91=0,"",IF($X91&lt;$Y91,Einstellungen!$C$4,IF($X91=$Y91,1,0)))</f>
        <v>0</v>
      </c>
    </row>
    <row r="92" spans="2:32" s="2" customFormat="1" x14ac:dyDescent="0.2">
      <c r="B92" s="4"/>
      <c r="C92" s="4"/>
      <c r="D92" s="4"/>
      <c r="E92" s="4"/>
      <c r="F92" s="13"/>
      <c r="G92" s="13"/>
      <c r="H92" s="13"/>
      <c r="I92" s="13"/>
      <c r="J92" s="13"/>
      <c r="K92" s="13"/>
      <c r="L92" s="13"/>
      <c r="M92" s="13"/>
      <c r="U92" s="67" t="s">
        <v>44</v>
      </c>
      <c r="V92" s="41" t="str">
        <f ca="1">'Endrunde 4'!$I40</f>
        <v>RB Leipzig</v>
      </c>
      <c r="W92" s="13" t="str">
        <f ca="1">'Endrunde 4'!$K40</f>
        <v>Eintracht Frankfurt</v>
      </c>
      <c r="X92" s="13">
        <f ca="1">IF(AND('Endrunde 4'!$L40&lt;&gt;"",'Endrunde 4'!$N40&lt;&gt;"",$V92&lt;&gt;$W92,$V92&lt;&gt;"",$W92&lt;&gt;""),'Endrunde 4'!$L40,"")</f>
        <v>1</v>
      </c>
      <c r="Y92" s="36">
        <f ca="1">IF(AND('Endrunde 4'!$L40&lt;&gt;"",'Endrunde 4'!$N40&lt;&gt;"",$V92&lt;&gt;$W92,$V92&lt;&gt;"",$W92&lt;&gt;""),'Endrunde 4'!$N40,"")</f>
        <v>1</v>
      </c>
      <c r="Z92" s="35" t="str">
        <f t="shared" ca="1" si="47"/>
        <v>RB LeipzigEintracht Frankfurt</v>
      </c>
      <c r="AA92" s="13">
        <f t="shared" ca="1" si="46"/>
        <v>1</v>
      </c>
      <c r="AB92" s="13" t="str">
        <f ca="1">IF(AA92&gt;0,X92&amp;Sprache!$E$111&amp;Y92,"")</f>
        <v>1:1</v>
      </c>
      <c r="AD92" s="143"/>
      <c r="AE92" s="148">
        <f ca="1">IF($AA92=0,"",IF($X92&gt;$Y92,Einstellungen!$C$4,IF($X92=$Y92,1,0)))</f>
        <v>1</v>
      </c>
      <c r="AF92" s="143">
        <f ca="1">IF($AA92=0,"",IF($X92&lt;$Y92,Einstellungen!$C$4,IF($X92=$Y92,1,0)))</f>
        <v>1</v>
      </c>
    </row>
    <row r="93" spans="2:32" s="2" customFormat="1" x14ac:dyDescent="0.2">
      <c r="B93" s="4"/>
      <c r="C93" s="4"/>
      <c r="D93" s="4"/>
      <c r="E93" s="4"/>
      <c r="F93" s="13"/>
      <c r="G93" s="13"/>
      <c r="H93" s="13"/>
      <c r="I93" s="13"/>
      <c r="J93" s="13"/>
      <c r="K93" s="13"/>
      <c r="L93" s="13"/>
      <c r="M93" s="13"/>
      <c r="U93" s="67" t="s">
        <v>45</v>
      </c>
      <c r="V93" s="41" t="str">
        <f ca="1">'Endrunde 4'!$I41</f>
        <v>Paris St. Germain</v>
      </c>
      <c r="W93" s="13" t="str">
        <f ca="1">'Endrunde 4'!$K41</f>
        <v>FC Barcelona</v>
      </c>
      <c r="X93" s="13">
        <f ca="1">IF(AND('Endrunde 4'!$L41&lt;&gt;"",'Endrunde 4'!$N41&lt;&gt;"",$V93&lt;&gt;$W93,$V93&lt;&gt;"",$W93&lt;&gt;""),'Endrunde 4'!$L41,"")</f>
        <v>1</v>
      </c>
      <c r="Y93" s="36">
        <f ca="1">IF(AND('Endrunde 4'!$L41&lt;&gt;"",'Endrunde 4'!$N41&lt;&gt;"",$V93&lt;&gt;$W93,$V93&lt;&gt;"",$W93&lt;&gt;""),'Endrunde 4'!$N41,"")</f>
        <v>2</v>
      </c>
      <c r="Z93" s="35" t="str">
        <f t="shared" ca="1" si="47"/>
        <v>Paris St. GermainFC Barcelona</v>
      </c>
      <c r="AA93" s="13">
        <f t="shared" ca="1" si="46"/>
        <v>1</v>
      </c>
      <c r="AB93" s="13" t="str">
        <f ca="1">IF(AA93&gt;0,X93&amp;Sprache!$E$111&amp;Y93,"")</f>
        <v>1:2</v>
      </c>
      <c r="AD93" s="143"/>
      <c r="AE93" s="148">
        <f ca="1">IF($AA93=0,"",IF($X93&gt;$Y93,Einstellungen!$C$4,IF($X93=$Y93,1,0)))</f>
        <v>0</v>
      </c>
      <c r="AF93" s="143">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'Endrunde 4'!$I42</f>
        <v/>
      </c>
      <c r="W94" s="13" t="str">
        <f ca="1">'Endrunde 4'!$K42</f>
        <v/>
      </c>
      <c r="X94" s="13" t="str">
        <f ca="1">IF(AND('Endrunde 4'!$L42&lt;&gt;"",'Endrunde 4'!$N42&lt;&gt;"",$V94&lt;&gt;$W94,$V94&lt;&gt;"",$W94&lt;&gt;""),'Endrunde 4'!$L42,"")</f>
        <v/>
      </c>
      <c r="Y94" s="36" t="str">
        <f ca="1">IF(AND('Endrunde 4'!$L42&lt;&gt;"",'Endrunde 4'!$N42&lt;&gt;"",$V94&lt;&gt;$W94,$V94&lt;&gt;"",$W94&lt;&gt;""),'Endrunde 4'!$N42,"")</f>
        <v/>
      </c>
      <c r="Z94" s="35" t="str">
        <f t="shared" ca="1" si="47"/>
        <v/>
      </c>
      <c r="AA94" s="13">
        <f t="shared" ca="1" si="46"/>
        <v>0</v>
      </c>
      <c r="AB94" s="13" t="str">
        <f ca="1">IF(AA94&gt;0,X94&amp;Sprache!$E$111&amp;Y94,"")</f>
        <v/>
      </c>
      <c r="AD94" s="143"/>
      <c r="AE94" s="148" t="str">
        <f ca="1">IF($AA94=0,"",IF($X94&gt;$Y94,Einstellungen!$C$4,IF($X94=$Y94,1,0)))</f>
        <v/>
      </c>
      <c r="AF94" s="143"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'Endrunde 4'!$I43</f>
        <v>SSV Wildbach</v>
      </c>
      <c r="W95" s="13" t="str">
        <f ca="1">'Endrunde 4'!$K43</f>
        <v>FSV Rauen</v>
      </c>
      <c r="X95" s="13">
        <f ca="1">IF(AND('Endrunde 4'!$L43&lt;&gt;"",'Endrunde 4'!$N43&lt;&gt;"",$V95&lt;&gt;$W95,$V95&lt;&gt;"",$W95&lt;&gt;""),'Endrunde 4'!$L43,"")</f>
        <v>3</v>
      </c>
      <c r="Y95" s="36">
        <f ca="1">IF(AND('Endrunde 4'!$L43&lt;&gt;"",'Endrunde 4'!$N43&lt;&gt;"",$V95&lt;&gt;$W95,$V95&lt;&gt;"",$W95&lt;&gt;""),'Endrunde 4'!$N43,"")</f>
        <v>1</v>
      </c>
      <c r="Z95" s="35" t="str">
        <f t="shared" ca="1" si="47"/>
        <v>SSV WildbachFSV Rauen</v>
      </c>
      <c r="AA95" s="13">
        <f t="shared" ca="1" si="46"/>
        <v>1</v>
      </c>
      <c r="AB95" s="13" t="str">
        <f ca="1">IF(AA95&gt;0,X95&amp;Sprache!$E$111&amp;Y95,"")</f>
        <v>3:1</v>
      </c>
      <c r="AD95" s="143"/>
      <c r="AE95" s="148">
        <f ca="1">IF($AA95=0,"",IF($X95&gt;$Y95,Einstellungen!$C$4,IF($X95=$Y95,1,0)))</f>
        <v>3</v>
      </c>
      <c r="AF95" s="143">
        <f ca="1">IF($AA95=0,"",IF($X95&lt;$Y95,Einstellungen!$C$4,IF($X95=$Y95,1,0)))</f>
        <v>0</v>
      </c>
    </row>
    <row r="96" spans="2:32" s="2" customFormat="1" x14ac:dyDescent="0.2">
      <c r="B96" s="4"/>
      <c r="C96" s="4"/>
      <c r="D96" s="4"/>
      <c r="E96" s="4"/>
      <c r="F96" s="13"/>
      <c r="G96" s="13"/>
      <c r="H96" s="13"/>
      <c r="I96" s="13"/>
      <c r="J96" s="13"/>
      <c r="K96" s="13"/>
      <c r="L96" s="13"/>
      <c r="M96" s="13"/>
      <c r="U96" s="67" t="s">
        <v>48</v>
      </c>
      <c r="V96" s="41" t="str">
        <f ca="1">'Endrunde 4'!$I44</f>
        <v>FC Grönlingen</v>
      </c>
      <c r="W96" s="13" t="str">
        <f ca="1">'Endrunde 4'!$K44</f>
        <v>Kickers Rodendorf</v>
      </c>
      <c r="X96" s="13">
        <f ca="1">IF(AND('Endrunde 4'!$L44&lt;&gt;"",'Endrunde 4'!$N44&lt;&gt;"",$V96&lt;&gt;$W96,$V96&lt;&gt;"",$W96&lt;&gt;""),'Endrunde 4'!$L44,"")</f>
        <v>4</v>
      </c>
      <c r="Y96" s="36">
        <f ca="1">IF(AND('Endrunde 4'!$L44&lt;&gt;"",'Endrunde 4'!$N44&lt;&gt;"",$V96&lt;&gt;$W96,$V96&lt;&gt;"",$W96&lt;&gt;""),'Endrunde 4'!$N44,"")</f>
        <v>3</v>
      </c>
      <c r="Z96" s="35" t="str">
        <f t="shared" ca="1" si="47"/>
        <v>FC GrönlingenKickers Rodendorf</v>
      </c>
      <c r="AA96" s="13">
        <f t="shared" ca="1" si="46"/>
        <v>1</v>
      </c>
      <c r="AB96" s="13" t="str">
        <f ca="1">IF(AA96&gt;0,X96&amp;Sprache!$E$111&amp;Y96,"")</f>
        <v>4:3</v>
      </c>
      <c r="AD96" s="143"/>
      <c r="AE96" s="148">
        <f ca="1">IF($AA96=0,"",IF($X96&gt;$Y96,Einstellungen!$C$4,IF($X96=$Y96,1,0)))</f>
        <v>3</v>
      </c>
      <c r="AF96" s="143">
        <f ca="1">IF($AA96=0,"",IF($X96&lt;$Y96,Einstellungen!$C$4,IF($X96=$Y96,1,0)))</f>
        <v>0</v>
      </c>
    </row>
    <row r="97" spans="2:32" s="2" customFormat="1" x14ac:dyDescent="0.2">
      <c r="B97" s="4"/>
      <c r="C97" s="4"/>
      <c r="D97" s="4"/>
      <c r="E97" s="4"/>
      <c r="F97" s="13"/>
      <c r="G97" s="13"/>
      <c r="H97" s="13"/>
      <c r="I97" s="13"/>
      <c r="J97" s="13"/>
      <c r="K97" s="13"/>
      <c r="L97" s="13"/>
      <c r="M97" s="13"/>
      <c r="U97" s="67" t="s">
        <v>49</v>
      </c>
      <c r="V97" s="41" t="str">
        <f ca="1">'Endrunde 4'!$I45</f>
        <v>Mainz 05</v>
      </c>
      <c r="W97" s="13" t="str">
        <f ca="1">'Endrunde 4'!$K45</f>
        <v>1. FC Nürnberg</v>
      </c>
      <c r="X97" s="13">
        <f ca="1">IF(AND('Endrunde 4'!$L45&lt;&gt;"",'Endrunde 4'!$N45&lt;&gt;"",$V97&lt;&gt;$W97,$V97&lt;&gt;"",$W97&lt;&gt;""),'Endrunde 4'!$L45,"")</f>
        <v>1</v>
      </c>
      <c r="Y97" s="36">
        <f ca="1">IF(AND('Endrunde 4'!$L45&lt;&gt;"",'Endrunde 4'!$N45&lt;&gt;"",$V97&lt;&gt;$W97,$V97&lt;&gt;"",$W97&lt;&gt;""),'Endrunde 4'!$N45,"")</f>
        <v>1</v>
      </c>
      <c r="Z97" s="35" t="str">
        <f t="shared" ca="1" si="47"/>
        <v>Mainz 051. FC Nürnberg</v>
      </c>
      <c r="AA97" s="13">
        <f t="shared" ca="1" si="46"/>
        <v>1</v>
      </c>
      <c r="AB97" s="13" t="str">
        <f ca="1">IF(AA97&gt;0,X97&amp;Sprache!$E$111&amp;Y97,"")</f>
        <v>1:1</v>
      </c>
      <c r="AD97" s="143"/>
      <c r="AE97" s="148">
        <f ca="1">IF($AA97=0,"",IF($X97&gt;$Y97,Einstellungen!$C$4,IF($X97=$Y97,1,0)))</f>
        <v>1</v>
      </c>
      <c r="AF97" s="143">
        <f ca="1">IF($AA97=0,"",IF($X97&lt;$Y97,Einstellungen!$C$4,IF($X97=$Y97,1,0)))</f>
        <v>1</v>
      </c>
    </row>
    <row r="98" spans="2:32" s="2" customFormat="1" x14ac:dyDescent="0.2">
      <c r="B98" s="4"/>
      <c r="C98" s="4"/>
      <c r="D98" s="4"/>
      <c r="E98" s="4"/>
      <c r="F98" s="13"/>
      <c r="G98" s="13"/>
      <c r="H98" s="13"/>
      <c r="I98" s="13"/>
      <c r="J98" s="13"/>
      <c r="K98" s="13"/>
      <c r="L98" s="13"/>
      <c r="M98" s="13"/>
      <c r="U98" s="67" t="s">
        <v>50</v>
      </c>
      <c r="V98" s="41" t="str">
        <f ca="1">'Endrunde 4'!$I46</f>
        <v>Inter Mailand</v>
      </c>
      <c r="W98" s="13" t="str">
        <f ca="1">'Endrunde 4'!$K46</f>
        <v>Real Madrid</v>
      </c>
      <c r="X98" s="13">
        <f ca="1">IF(AND('Endrunde 4'!$L46&lt;&gt;"",'Endrunde 4'!$N46&lt;&gt;"",$V98&lt;&gt;$W98,$V98&lt;&gt;"",$W98&lt;&gt;""),'Endrunde 4'!$L46,"")</f>
        <v>1</v>
      </c>
      <c r="Y98" s="36">
        <f ca="1">IF(AND('Endrunde 4'!$L46&lt;&gt;"",'Endrunde 4'!$N46&lt;&gt;"",$V98&lt;&gt;$W98,$V98&lt;&gt;"",$W98&lt;&gt;""),'Endrunde 4'!$N46,"")</f>
        <v>4</v>
      </c>
      <c r="Z98" s="35" t="str">
        <f t="shared" ca="1" si="47"/>
        <v>Inter MailandReal Madrid</v>
      </c>
      <c r="AA98" s="13">
        <f t="shared" ca="1" si="46"/>
        <v>1</v>
      </c>
      <c r="AB98" s="13" t="str">
        <f ca="1">IF(AA98&gt;0,X98&amp;Sprache!$E$111&amp;Y98,"")</f>
        <v>1:4</v>
      </c>
      <c r="AD98" s="143"/>
      <c r="AE98" s="148">
        <f ca="1">IF($AA98=0,"",IF($X98&gt;$Y98,Einstellungen!$C$4,IF($X98=$Y98,1,0)))</f>
        <v>0</v>
      </c>
      <c r="AF98" s="143">
        <f ca="1">IF($AA98=0,"",IF($X98&lt;$Y98,Einstellungen!$C$4,IF($X98=$Y98,1,0)))</f>
        <v>3</v>
      </c>
    </row>
    <row r="99" spans="2:32" s="2" customFormat="1" ht="12.75" thickBot="1" x14ac:dyDescent="0.25">
      <c r="B99" s="4"/>
      <c r="C99" s="4"/>
      <c r="D99" s="4"/>
      <c r="E99" s="4"/>
      <c r="F99" s="13"/>
      <c r="G99" s="13"/>
      <c r="H99" s="13"/>
      <c r="I99" s="13"/>
      <c r="J99" s="13"/>
      <c r="K99" s="13"/>
      <c r="L99" s="13"/>
      <c r="M99" s="13"/>
      <c r="U99" s="67" t="s">
        <v>51</v>
      </c>
      <c r="V99" s="41" t="str">
        <f ca="1">'Endrunde 4'!$I47</f>
        <v>Manchester City</v>
      </c>
      <c r="W99" s="13" t="str">
        <f ca="1">'Endrunde 4'!$K47</f>
        <v>Borussia Dortmund</v>
      </c>
      <c r="X99" s="13">
        <f ca="1">IF(AND('Endrunde 4'!$L47&lt;&gt;"",'Endrunde 4'!$N47&lt;&gt;"",$V99&lt;&gt;$W99,$V99&lt;&gt;"",$W99&lt;&gt;""),'Endrunde 4'!$L47,"")</f>
        <v>2</v>
      </c>
      <c r="Y99" s="36">
        <f ca="1">IF(AND('Endrunde 4'!$L47&lt;&gt;"",'Endrunde 4'!$N47&lt;&gt;"",$V99&lt;&gt;$W99,$V99&lt;&gt;"",$W99&lt;&gt;""),'Endrunde 4'!$N47,"")</f>
        <v>2</v>
      </c>
      <c r="Z99" s="35" t="str">
        <f t="shared" ca="1" si="47"/>
        <v>Manchester CityBorussia Dortmund</v>
      </c>
      <c r="AA99" s="13">
        <f t="shared" ca="1" si="46"/>
        <v>1</v>
      </c>
      <c r="AB99" s="13" t="str">
        <f ca="1">IF(AA99&gt;0,X99&amp;Sprache!$E$111&amp;Y99,"")</f>
        <v>2:2</v>
      </c>
      <c r="AD99" s="143"/>
      <c r="AE99" s="148">
        <f ca="1">IF($AA99=0,"",IF($X99&gt;$Y99,Einstellungen!$C$4,IF($X99=$Y99,1,0)))</f>
        <v>1</v>
      </c>
      <c r="AF99" s="143">
        <f ca="1">IF($AA99=0,"",IF($X99&lt;$Y99,Einstellungen!$C$4,IF($X99=$Y99,1,0)))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IF(AA100&gt;0,X100&amp;Sprache!$E$111&amp;Y100,"")</f>
        <v/>
      </c>
      <c r="AC100" s="296"/>
      <c r="AD100" s="297"/>
      <c r="AE100" s="298" t="str">
        <f>IF($AA100=0,"",IF($X100&gt;$Y100,Einstellungen!$C$4,IF($X100=$Y100,1,0)))</f>
        <v/>
      </c>
      <c r="AF100" s="297"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IF(AA101&gt;0,X101&amp;Sprache!$E$111&amp;Y101,"")</f>
        <v/>
      </c>
      <c r="AD101" s="143"/>
      <c r="AE101" s="148" t="str">
        <f>IF($AA101=0,"",IF($X101&gt;$Y101,Einstellungen!$C$4,IF($X101=$Y101,1,0)))</f>
        <v/>
      </c>
      <c r="AF101" s="143"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IF(AA102&gt;0,X102&amp;Sprache!$E$111&amp;Y102,"")</f>
        <v/>
      </c>
      <c r="AD102" s="143"/>
      <c r="AE102" s="148" t="str">
        <f>IF($AA102=0,"",IF($X102&gt;$Y102,Einstellungen!$C$4,IF($X102=$Y102,1,0)))</f>
        <v/>
      </c>
      <c r="AF102" s="143"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IF(AA103&gt;0,X103&amp;Sprache!$E$111&amp;Y103,"")</f>
        <v/>
      </c>
      <c r="AD103" s="143"/>
      <c r="AE103" s="148" t="str">
        <f>IF($AA103=0,"",IF($X103&gt;$Y103,Einstellungen!$C$4,IF($X103=$Y103,1,0)))</f>
        <v/>
      </c>
      <c r="AF103" s="143"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IF(AA104&gt;0,X104&amp;Sprache!$E$111&amp;Y104,"")</f>
        <v/>
      </c>
      <c r="AD104" s="143"/>
      <c r="AE104" s="148" t="str">
        <f>IF($AA104=0,"",IF($X104&gt;$Y104,Einstellungen!$C$4,IF($X104=$Y104,1,0)))</f>
        <v/>
      </c>
      <c r="AF104" s="143"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IF(AA105&gt;0,X105&amp;Sprache!$E$111&amp;Y105,"")</f>
        <v/>
      </c>
      <c r="AD105" s="143"/>
      <c r="AE105" s="148" t="str">
        <f>IF($AA105=0,"",IF($X105&gt;$Y105,Einstellungen!$C$4,IF($X105=$Y105,1,0)))</f>
        <v/>
      </c>
      <c r="AF105" s="143"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IF(AA106&gt;0,X106&amp;Sprache!$E$111&amp;Y106,"")</f>
        <v/>
      </c>
      <c r="AD106" s="143"/>
      <c r="AE106" s="148" t="str">
        <f>IF($AA106=0,"",IF($X106&gt;$Y106,Einstellungen!$C$4,IF($X106=$Y106,1,0)))</f>
        <v/>
      </c>
      <c r="AF106" s="143"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IF(AA107&gt;0,X107&amp;Sprache!$E$111&amp;Y107,"")</f>
        <v/>
      </c>
      <c r="AD107" s="143"/>
      <c r="AE107" s="148" t="str">
        <f>IF($AA107=0,"",IF($X107&gt;$Y107,Einstellungen!$C$4,IF($X107=$Y107,1,0)))</f>
        <v/>
      </c>
      <c r="AF107" s="143"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IF(AA108&gt;0,X108&amp;Sprache!$E$111&amp;Y108,"")</f>
        <v/>
      </c>
      <c r="AD108" s="143"/>
      <c r="AE108" s="148" t="str">
        <f>IF($AA108=0,"",IF($X108&gt;$Y108,Einstellungen!$C$4,IF($X108=$Y108,1,0)))</f>
        <v/>
      </c>
      <c r="AF108" s="143"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IF($AA109=0,"",IF($X109&gt;$Y109,Einstellungen!$C$4,IF($X109=$Y109,1,0)))</f>
        <v/>
      </c>
      <c r="AF109" s="143"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IF($AA110=0,"",IF($X110&gt;$Y110,Einstellungen!$C$4,IF($X110=$Y110,1,0)))</f>
        <v/>
      </c>
      <c r="AF110" s="143"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IF($AA111=0,"",IF($X111&gt;$Y111,Einstellungen!$C$4,IF($X111=$Y111,1,0)))</f>
        <v/>
      </c>
      <c r="AF111" s="143"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IF($AA112=0,"",IF($X112&gt;$Y112,Einstellungen!$C$4,IF($X112=$Y112,1,0)))</f>
        <v/>
      </c>
      <c r="AF112" s="143"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IF($AA113=0,"",IF($X113&gt;$Y113,Einstellungen!$C$4,IF($X113=$Y113,1,0)))</f>
        <v/>
      </c>
      <c r="AF113" s="143"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IF($AA114=0,"",IF($X114&gt;$Y114,Einstellungen!$C$4,IF($X114=$Y114,1,0)))</f>
        <v/>
      </c>
      <c r="AF114" s="143"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IF($AA115=0,"",IF($X115&gt;$Y115,Einstellungen!$C$4,IF($X115=$Y115,1,0)))</f>
        <v/>
      </c>
      <c r="AF115" s="143"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IF($AA116=0,"",IF($X116&gt;$Y116,Einstellungen!$C$4,IF($X116=$Y116,1,0)))</f>
        <v/>
      </c>
      <c r="AF116" s="143"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IF($AA117=0,"",IF($X117&gt;$Y117,Einstellungen!$C$4,IF($X117=$Y117,1,0)))</f>
        <v/>
      </c>
      <c r="AF117" s="143"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IF($AA118=0,"",IF($X118&gt;$Y118,Einstellungen!$C$4,IF($X118=$Y118,1,0)))</f>
        <v/>
      </c>
      <c r="AF118" s="143"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IF($AA119=0,"",IF($X119&gt;$Y119,Einstellungen!$C$4,IF($X119=$Y119,1,0)))</f>
        <v/>
      </c>
      <c r="AF119" s="143"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IF($AA120=0,"",IF($X120&gt;$Y120,Einstellungen!$C$4,IF($X120=$Y120,1,0)))</f>
        <v/>
      </c>
      <c r="AF120" s="143"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IF($AA121=0,"",IF($X121&gt;$Y121,Einstellungen!$C$4,IF($X121=$Y121,1,0)))</f>
        <v/>
      </c>
      <c r="AF121" s="143"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IF($AA122=0,"",IF($X122&gt;$Y122,Einstellungen!$C$4,IF($X122=$Y122,1,0)))</f>
        <v/>
      </c>
      <c r="AF122" s="143"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IF($AA123=0,"",IF($X123&gt;$Y123,Einstellungen!$C$4,IF($X123=$Y123,1,0)))</f>
        <v/>
      </c>
      <c r="AF123" s="143"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IF($AA124=0,"",IF($X124&gt;$Y124,Einstellungen!$C$4,IF($X124=$Y124,1,0)))</f>
        <v/>
      </c>
      <c r="AF124" s="143"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IF($AA125=0,"",IF($X125&gt;$Y125,Einstellungen!$C$4,IF($X125=$Y125,1,0)))</f>
        <v/>
      </c>
      <c r="AF125" s="143"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IF($AA126=0,"",IF($X126&gt;$Y126,Einstellungen!$C$4,IF($X126=$Y126,1,0)))</f>
        <v/>
      </c>
      <c r="AF126" s="143"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IF($AA127=0,"",IF($X127&gt;$Y127,Einstellungen!$C$4,IF($X127=$Y127,1,0)))</f>
        <v/>
      </c>
      <c r="AF127" s="143"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IF($AA128=0,"",IF($X128&gt;$Y128,Einstellungen!$C$4,IF($X128=$Y128,1,0)))</f>
        <v/>
      </c>
      <c r="AF128" s="143"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IF($AA129=0,"",IF($X129&gt;$Y129,Einstellungen!$C$4,IF($X129=$Y129,1,0)))</f>
        <v/>
      </c>
      <c r="AF129" s="143"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IF($AA130=0,"",IF($X130&gt;$Y130,Einstellungen!$C$4,IF($X130=$Y130,1,0)))</f>
        <v/>
      </c>
      <c r="AF130" s="143"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IF($AA131=0,"",IF($X131&gt;$Y131,Einstellungen!$C$4,IF($X131=$Y131,1,0)))</f>
        <v/>
      </c>
      <c r="AF131" s="143"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IF($AA132=0,"",IF($X132&gt;$Y132,Einstellungen!$C$4,IF($X132=$Y132,1,0)))</f>
        <v/>
      </c>
      <c r="AF132" s="143"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IF($AA133=0,"",IF($X133&gt;$Y133,Einstellungen!$C$4,IF($X133=$Y133,1,0)))</f>
        <v/>
      </c>
      <c r="AF133" s="143"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IF($AA134=0,"",IF($X134&gt;$Y134,Einstellungen!$C$4,IF($X134=$Y134,1,0)))</f>
        <v/>
      </c>
      <c r="AF134" s="143"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IF($AA135=0,"",IF($X135&gt;$Y135,Einstellungen!$C$4,IF($X135=$Y135,1,0)))</f>
        <v/>
      </c>
      <c r="AF135" s="145"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IF(AA136&gt;0,Y64&amp;Sprache!$E$111&amp;X64,"")</f>
        <v/>
      </c>
      <c r="AD136" s="143"/>
    </row>
    <row r="137" spans="2:32" x14ac:dyDescent="0.2">
      <c r="Y137" s="67" t="s">
        <v>8</v>
      </c>
      <c r="Z137" s="35" t="str">
        <f ca="1">W65&amp;V65</f>
        <v>SSV WildbachMaibach 1822 eV</v>
      </c>
      <c r="AA137" s="13">
        <f t="shared" ref="AA137:AA200" ca="1" si="49">AA65</f>
        <v>1</v>
      </c>
      <c r="AB137" s="13" t="str">
        <f ca="1">IF(AA137&gt;0,Y65&amp;Sprache!$E$111&amp;X65,"")</f>
        <v>4:2</v>
      </c>
      <c r="AC137" s="2"/>
      <c r="AD137" s="143"/>
    </row>
    <row r="138" spans="2:32" x14ac:dyDescent="0.2">
      <c r="Y138" s="67" t="s">
        <v>9</v>
      </c>
      <c r="Z138" s="35" t="str">
        <f t="shared" ref="Z138:Z201" ca="1" si="50">W66&amp;V66</f>
        <v>FC GrönlingenVFB Essenheim</v>
      </c>
      <c r="AA138" s="13">
        <f t="shared" ca="1" si="49"/>
        <v>1</v>
      </c>
      <c r="AB138" s="13" t="str">
        <f ca="1">IF(AA138&gt;0,Y66&amp;Sprache!$E$111&amp;X66,"")</f>
        <v>1:2</v>
      </c>
      <c r="AC138" s="2"/>
      <c r="AD138" s="143"/>
    </row>
    <row r="139" spans="2:32" x14ac:dyDescent="0.2">
      <c r="Y139" s="67" t="s">
        <v>10</v>
      </c>
      <c r="Z139" s="35" t="str">
        <f t="shared" ca="1" si="50"/>
        <v>Mainz 051. FC Riedwald</v>
      </c>
      <c r="AA139" s="13">
        <f t="shared" ca="1" si="49"/>
        <v>1</v>
      </c>
      <c r="AB139" s="13" t="str">
        <f ca="1">IF(AA139&gt;0,Y67&amp;Sprache!$E$111&amp;X67,"")</f>
        <v>0:0</v>
      </c>
      <c r="AC139" s="2"/>
      <c r="AD139" s="143"/>
    </row>
    <row r="140" spans="2:32" x14ac:dyDescent="0.2">
      <c r="Y140" s="67" t="s">
        <v>11</v>
      </c>
      <c r="Z140" s="35" t="str">
        <f t="shared" ca="1" si="50"/>
        <v>Inter MailandEintracht Frankfurt</v>
      </c>
      <c r="AA140" s="13">
        <f t="shared" ca="1" si="49"/>
        <v>1</v>
      </c>
      <c r="AB140" s="13" t="str">
        <f ca="1">IF(AA140&gt;0,Y68&amp;Sprache!$E$111&amp;X68,"")</f>
        <v>1:5</v>
      </c>
      <c r="AC140" s="2"/>
      <c r="AD140" s="143"/>
    </row>
    <row r="141" spans="2:32" x14ac:dyDescent="0.2">
      <c r="Y141" s="67" t="s">
        <v>12</v>
      </c>
      <c r="Z141" s="35" t="str">
        <f t="shared" ca="1" si="50"/>
        <v>Manchester CityFC Barcelona</v>
      </c>
      <c r="AA141" s="13">
        <f t="shared" ca="1" si="49"/>
        <v>1</v>
      </c>
      <c r="AB141" s="13" t="str">
        <f ca="1">IF(AA141&gt;0,Y69&amp;Sprache!$E$111&amp;X69,"")</f>
        <v>3:2</v>
      </c>
      <c r="AC141" s="2"/>
      <c r="AD141" s="143"/>
    </row>
    <row r="142" spans="2:32" x14ac:dyDescent="0.2">
      <c r="Y142" s="67" t="s">
        <v>17</v>
      </c>
      <c r="Z142" s="35" t="str">
        <f t="shared" ca="1" si="50"/>
        <v/>
      </c>
      <c r="AA142" s="13">
        <f t="shared" ca="1" si="49"/>
        <v>0</v>
      </c>
      <c r="AB142" s="13" t="str">
        <f ca="1">IF(AA142&gt;0,Y70&amp;Sprache!$E$111&amp;X70,"")</f>
        <v/>
      </c>
      <c r="AC142" s="2"/>
      <c r="AD142" s="143"/>
    </row>
    <row r="143" spans="2:32" x14ac:dyDescent="0.2">
      <c r="Y143" s="67" t="s">
        <v>18</v>
      </c>
      <c r="Z143" s="35" t="str">
        <f t="shared" ca="1" si="50"/>
        <v>TSG Saalberg eVFSV Rauen</v>
      </c>
      <c r="AA143" s="13">
        <f t="shared" ca="1" si="49"/>
        <v>1</v>
      </c>
      <c r="AB143" s="13" t="str">
        <f ca="1">IF(AA143&gt;0,Y71&amp;Sprache!$E$111&amp;X71,"")</f>
        <v>3:5</v>
      </c>
      <c r="AC143" s="2"/>
      <c r="AD143" s="143"/>
    </row>
    <row r="144" spans="2:32" x14ac:dyDescent="0.2">
      <c r="Y144" s="67" t="s">
        <v>19</v>
      </c>
      <c r="Z144" s="35" t="str">
        <f t="shared" ca="1" si="50"/>
        <v>SV OberredenburgKickers Rodendorf</v>
      </c>
      <c r="AA144" s="13">
        <f t="shared" ca="1" si="49"/>
        <v>1</v>
      </c>
      <c r="AB144" s="13" t="str">
        <f ca="1">IF(AA144&gt;0,Y72&amp;Sprache!$E$111&amp;X72,"")</f>
        <v>1:2</v>
      </c>
      <c r="AC144" s="2"/>
      <c r="AD144" s="143"/>
    </row>
    <row r="145" spans="25:30" x14ac:dyDescent="0.2">
      <c r="Y145" s="67" t="s">
        <v>25</v>
      </c>
      <c r="Z145" s="35" t="str">
        <f t="shared" ca="1" si="50"/>
        <v>HSV1. FC Nürnberg</v>
      </c>
      <c r="AA145" s="13">
        <f t="shared" ca="1" si="49"/>
        <v>1</v>
      </c>
      <c r="AB145" s="13" t="str">
        <f ca="1">IF(AA145&gt;0,Y73&amp;Sprache!$E$111&amp;X73,"")</f>
        <v>1:3</v>
      </c>
      <c r="AC145" s="2"/>
      <c r="AD145" s="143"/>
    </row>
    <row r="146" spans="25:30" x14ac:dyDescent="0.2">
      <c r="Y146" s="67" t="s">
        <v>26</v>
      </c>
      <c r="Z146" s="35" t="str">
        <f t="shared" ca="1" si="50"/>
        <v>RB LeipzigReal Madrid</v>
      </c>
      <c r="AA146" s="13">
        <f t="shared" ca="1" si="49"/>
        <v>1</v>
      </c>
      <c r="AB146" s="13" t="str">
        <f ca="1">IF(AA146&gt;0,Y74&amp;Sprache!$E$111&amp;X74,"")</f>
        <v>2:4</v>
      </c>
      <c r="AC146" s="2"/>
      <c r="AD146" s="143"/>
    </row>
    <row r="147" spans="25:30" x14ac:dyDescent="0.2">
      <c r="Y147" s="67" t="s">
        <v>27</v>
      </c>
      <c r="Z147" s="35" t="str">
        <f t="shared" ca="1" si="50"/>
        <v>Paris St. GermainBorussia Dortmund</v>
      </c>
      <c r="AA147" s="13">
        <f t="shared" ca="1" si="49"/>
        <v>1</v>
      </c>
      <c r="AB147" s="13" t="str">
        <f ca="1">IF(AA147&gt;0,Y75&amp;Sprache!$E$111&amp;X75,"")</f>
        <v>3:1</v>
      </c>
      <c r="AC147" s="2"/>
      <c r="AD147" s="143"/>
    </row>
    <row r="148" spans="25:30" x14ac:dyDescent="0.2">
      <c r="Y148" s="67" t="s">
        <v>28</v>
      </c>
      <c r="Z148" s="35" t="str">
        <f t="shared" ca="1" si="50"/>
        <v/>
      </c>
      <c r="AA148" s="13">
        <f t="shared" ca="1" si="49"/>
        <v>0</v>
      </c>
      <c r="AB148" s="13" t="str">
        <f ca="1">IF(AA148&gt;0,Y76&amp;Sprache!$E$111&amp;X76,"")</f>
        <v/>
      </c>
      <c r="AC148" s="2"/>
      <c r="AD148" s="143"/>
    </row>
    <row r="149" spans="25:30" x14ac:dyDescent="0.2">
      <c r="Y149" s="67" t="s">
        <v>29</v>
      </c>
      <c r="Z149" s="35" t="str">
        <f t="shared" ca="1" si="50"/>
        <v>FSV RauenMaibach 1822 eV</v>
      </c>
      <c r="AA149" s="13">
        <f t="shared" ca="1" si="49"/>
        <v>1</v>
      </c>
      <c r="AB149" s="13" t="str">
        <f ca="1">IF(AA149&gt;0,Y77&amp;Sprache!$E$111&amp;X77,"")</f>
        <v>5:1</v>
      </c>
      <c r="AC149" s="2"/>
      <c r="AD149" s="143"/>
    </row>
    <row r="150" spans="25:30" x14ac:dyDescent="0.2">
      <c r="Y150" s="67" t="s">
        <v>30</v>
      </c>
      <c r="Z150" s="35" t="str">
        <f t="shared" ca="1" si="50"/>
        <v>Kickers RodendorfVFB Essenheim</v>
      </c>
      <c r="AA150" s="13">
        <f t="shared" ca="1" si="49"/>
        <v>1</v>
      </c>
      <c r="AB150" s="13" t="str">
        <f ca="1">IF(AA150&gt;0,Y78&amp;Sprache!$E$111&amp;X78,"")</f>
        <v>4:4</v>
      </c>
      <c r="AC150" s="2"/>
      <c r="AD150" s="143"/>
    </row>
    <row r="151" spans="25:30" x14ac:dyDescent="0.2">
      <c r="Y151" s="67" t="s">
        <v>31</v>
      </c>
      <c r="Z151" s="35" t="str">
        <f t="shared" ca="1" si="50"/>
        <v>1. FC Nürnberg1. FC Riedwald</v>
      </c>
      <c r="AA151" s="13">
        <f t="shared" ca="1" si="49"/>
        <v>1</v>
      </c>
      <c r="AB151" s="13" t="str">
        <f ca="1">IF(AA151&gt;0,Y79&amp;Sprache!$E$111&amp;X79,"")</f>
        <v>7:0</v>
      </c>
      <c r="AC151" s="2"/>
      <c r="AD151" s="143"/>
    </row>
    <row r="152" spans="25:30" x14ac:dyDescent="0.2">
      <c r="Y152" s="67" t="s">
        <v>32</v>
      </c>
      <c r="Z152" s="35" t="str">
        <f t="shared" ca="1" si="50"/>
        <v>Real MadridEintracht Frankfurt</v>
      </c>
      <c r="AA152" s="13">
        <f t="shared" ca="1" si="49"/>
        <v>1</v>
      </c>
      <c r="AB152" s="13" t="str">
        <f ca="1">IF(AA152&gt;0,Y80&amp;Sprache!$E$111&amp;X80,"")</f>
        <v>8:2</v>
      </c>
      <c r="AC152" s="2"/>
      <c r="AD152" s="143"/>
    </row>
    <row r="153" spans="25:30" x14ac:dyDescent="0.2">
      <c r="Y153" s="67" t="s">
        <v>33</v>
      </c>
      <c r="Z153" s="35" t="str">
        <f t="shared" ca="1" si="50"/>
        <v>Borussia DortmundFC Barcelona</v>
      </c>
      <c r="AA153" s="13">
        <f t="shared" ca="1" si="49"/>
        <v>1</v>
      </c>
      <c r="AB153" s="13" t="str">
        <f ca="1">IF(AA153&gt;0,Y81&amp;Sprache!$E$111&amp;X81,"")</f>
        <v>0:4</v>
      </c>
      <c r="AC153" s="2"/>
      <c r="AD153" s="143"/>
    </row>
    <row r="154" spans="25:30" x14ac:dyDescent="0.2">
      <c r="Y154" s="67" t="s">
        <v>34</v>
      </c>
      <c r="Z154" s="35" t="str">
        <f t="shared" ca="1" si="50"/>
        <v/>
      </c>
      <c r="AA154" s="13">
        <f t="shared" ca="1" si="49"/>
        <v>0</v>
      </c>
      <c r="AB154" s="13" t="str">
        <f ca="1">IF(AA154&gt;0,Y82&amp;Sprache!$E$111&amp;X82,"")</f>
        <v/>
      </c>
      <c r="AC154" s="2"/>
      <c r="AD154" s="143"/>
    </row>
    <row r="155" spans="25:30" x14ac:dyDescent="0.2">
      <c r="Y155" s="67" t="s">
        <v>35</v>
      </c>
      <c r="Z155" s="35" t="str">
        <f t="shared" ca="1" si="50"/>
        <v>SSV WildbachTSG Saalberg eV</v>
      </c>
      <c r="AA155" s="13">
        <f t="shared" ca="1" si="49"/>
        <v>1</v>
      </c>
      <c r="AB155" s="13" t="str">
        <f ca="1">IF(AA155&gt;0,Y83&amp;Sprache!$E$111&amp;X83,"")</f>
        <v>1:4</v>
      </c>
      <c r="AC155" s="2"/>
      <c r="AD155" s="143"/>
    </row>
    <row r="156" spans="25:30" x14ac:dyDescent="0.2">
      <c r="Y156" s="67" t="s">
        <v>36</v>
      </c>
      <c r="Z156" s="35" t="str">
        <f t="shared" ca="1" si="50"/>
        <v>FC GrönlingenSV Oberredenburg</v>
      </c>
      <c r="AA156" s="13">
        <f t="shared" ca="1" si="49"/>
        <v>1</v>
      </c>
      <c r="AB156" s="13" t="str">
        <f ca="1">IF(AA156&gt;0,Y84&amp;Sprache!$E$111&amp;X84,"")</f>
        <v>2:3</v>
      </c>
      <c r="AC156" s="2"/>
      <c r="AD156" s="143"/>
    </row>
    <row r="157" spans="25:30" x14ac:dyDescent="0.2">
      <c r="Y157" s="67" t="s">
        <v>37</v>
      </c>
      <c r="Z157" s="35" t="str">
        <f t="shared" ca="1" si="50"/>
        <v>Mainz 05HSV</v>
      </c>
      <c r="AA157" s="13">
        <f t="shared" ca="1" si="49"/>
        <v>1</v>
      </c>
      <c r="AB157" s="13" t="str">
        <f ca="1">IF(AA157&gt;0,Y85&amp;Sprache!$E$111&amp;X85,"")</f>
        <v>3:0</v>
      </c>
      <c r="AC157" s="2"/>
      <c r="AD157" s="143"/>
    </row>
    <row r="158" spans="25:30" x14ac:dyDescent="0.2">
      <c r="Y158" s="67" t="s">
        <v>38</v>
      </c>
      <c r="Z158" s="35" t="str">
        <f t="shared" ca="1" si="50"/>
        <v>Inter MailandRB Leipzig</v>
      </c>
      <c r="AA158" s="13">
        <f t="shared" ca="1" si="49"/>
        <v>1</v>
      </c>
      <c r="AB158" s="13" t="str">
        <f ca="1">IF(AA158&gt;0,Y86&amp;Sprache!$E$111&amp;X86,"")</f>
        <v>1:1</v>
      </c>
      <c r="AC158" s="2"/>
      <c r="AD158" s="143"/>
    </row>
    <row r="159" spans="25:30" x14ac:dyDescent="0.2">
      <c r="Y159" s="67" t="s">
        <v>39</v>
      </c>
      <c r="Z159" s="35" t="str">
        <f t="shared" ca="1" si="50"/>
        <v>Manchester CityParis St. Germain</v>
      </c>
      <c r="AA159" s="13">
        <f t="shared" ca="1" si="49"/>
        <v>1</v>
      </c>
      <c r="AB159" s="13" t="str">
        <f ca="1">IF(AA159&gt;0,Y87&amp;Sprache!$E$111&amp;X87,"")</f>
        <v>2:3</v>
      </c>
      <c r="AC159" s="2"/>
      <c r="AD159" s="143"/>
    </row>
    <row r="160" spans="25:30" x14ac:dyDescent="0.2">
      <c r="Y160" s="67" t="s">
        <v>40</v>
      </c>
      <c r="Z160" s="35" t="str">
        <f t="shared" ca="1" si="50"/>
        <v/>
      </c>
      <c r="AA160" s="13">
        <f t="shared" ca="1" si="49"/>
        <v>0</v>
      </c>
      <c r="AB160" s="13" t="str">
        <f ca="1">IF(AA160&gt;0,Y88&amp;Sprache!$E$111&amp;X88,"")</f>
        <v/>
      </c>
      <c r="AC160" s="2"/>
      <c r="AD160" s="143"/>
    </row>
    <row r="161" spans="25:30" x14ac:dyDescent="0.2">
      <c r="Y161" s="67" t="s">
        <v>41</v>
      </c>
      <c r="Z161" s="35" t="str">
        <f t="shared" ca="1" si="50"/>
        <v>Maibach 1822 eVTSG Saalberg eV</v>
      </c>
      <c r="AA161" s="13">
        <f t="shared" ca="1" si="49"/>
        <v>1</v>
      </c>
      <c r="AB161" s="13" t="str">
        <f ca="1">IF(AA161&gt;0,Y89&amp;Sprache!$E$111&amp;X89,"")</f>
        <v>0:2</v>
      </c>
      <c r="AC161" s="2"/>
      <c r="AD161" s="143"/>
    </row>
    <row r="162" spans="25:30" x14ac:dyDescent="0.2">
      <c r="Y162" s="67" t="s">
        <v>42</v>
      </c>
      <c r="Z162" s="35" t="str">
        <f t="shared" ca="1" si="50"/>
        <v>VFB EssenheimSV Oberredenburg</v>
      </c>
      <c r="AA162" s="13">
        <f t="shared" ca="1" si="49"/>
        <v>1</v>
      </c>
      <c r="AB162" s="13" t="str">
        <f ca="1">IF(AA162&gt;0,Y90&amp;Sprache!$E$111&amp;X90,"")</f>
        <v>0:1</v>
      </c>
      <c r="AC162" s="2"/>
      <c r="AD162" s="143"/>
    </row>
    <row r="163" spans="25:30" x14ac:dyDescent="0.2">
      <c r="Y163" s="67" t="s">
        <v>43</v>
      </c>
      <c r="Z163" s="35" t="str">
        <f t="shared" ca="1" si="50"/>
        <v>1. FC RiedwaldHSV</v>
      </c>
      <c r="AA163" s="13">
        <f t="shared" ca="1" si="49"/>
        <v>1</v>
      </c>
      <c r="AB163" s="13" t="str">
        <f ca="1">IF(AA163&gt;0,Y91&amp;Sprache!$E$111&amp;X91,"")</f>
        <v>0:2</v>
      </c>
      <c r="AC163" s="2"/>
      <c r="AD163" s="143"/>
    </row>
    <row r="164" spans="25:30" x14ac:dyDescent="0.2">
      <c r="Y164" s="67" t="s">
        <v>44</v>
      </c>
      <c r="Z164" s="35" t="str">
        <f t="shared" ca="1" si="50"/>
        <v>Eintracht FrankfurtRB Leipzig</v>
      </c>
      <c r="AA164" s="13">
        <f t="shared" ca="1" si="49"/>
        <v>1</v>
      </c>
      <c r="AB164" s="13" t="str">
        <f ca="1">IF(AA164&gt;0,Y92&amp;Sprache!$E$111&amp;X92,"")</f>
        <v>1:1</v>
      </c>
      <c r="AC164" s="2"/>
      <c r="AD164" s="143"/>
    </row>
    <row r="165" spans="25:30" x14ac:dyDescent="0.2">
      <c r="Y165" s="67" t="s">
        <v>45</v>
      </c>
      <c r="Z165" s="35" t="str">
        <f t="shared" ca="1" si="50"/>
        <v>FC BarcelonaParis St. Germain</v>
      </c>
      <c r="AA165" s="13">
        <f t="shared" ca="1" si="49"/>
        <v>1</v>
      </c>
      <c r="AB165" s="13" t="str">
        <f ca="1">IF(AA165&gt;0,Y93&amp;Sprache!$E$111&amp;X93,"")</f>
        <v>2:1</v>
      </c>
      <c r="AC165" s="2"/>
      <c r="AD165" s="143"/>
    </row>
    <row r="166" spans="25:30" x14ac:dyDescent="0.2">
      <c r="Y166" s="67" t="s">
        <v>46</v>
      </c>
      <c r="Z166" s="35" t="str">
        <f t="shared" ca="1" si="50"/>
        <v/>
      </c>
      <c r="AA166" s="13">
        <f t="shared" ca="1" si="49"/>
        <v>0</v>
      </c>
      <c r="AB166" s="13" t="str">
        <f ca="1">IF(AA166&gt;0,Y94&amp;Sprache!$E$111&amp;X94,"")</f>
        <v/>
      </c>
      <c r="AC166" s="2"/>
      <c r="AD166" s="143"/>
    </row>
    <row r="167" spans="25:30" x14ac:dyDescent="0.2">
      <c r="Y167" s="67" t="s">
        <v>47</v>
      </c>
      <c r="Z167" s="35" t="str">
        <f t="shared" ca="1" si="50"/>
        <v>FSV RauenSSV Wildbach</v>
      </c>
      <c r="AA167" s="13">
        <f t="shared" ca="1" si="49"/>
        <v>1</v>
      </c>
      <c r="AB167" s="13" t="str">
        <f ca="1">IF(AA167&gt;0,Y95&amp;Sprache!$E$111&amp;X95,"")</f>
        <v>1:3</v>
      </c>
      <c r="AC167" s="2"/>
      <c r="AD167" s="143"/>
    </row>
    <row r="168" spans="25:30" x14ac:dyDescent="0.2">
      <c r="Y168" s="67" t="s">
        <v>48</v>
      </c>
      <c r="Z168" s="35" t="str">
        <f t="shared" ca="1" si="50"/>
        <v>Kickers RodendorfFC Grönlingen</v>
      </c>
      <c r="AA168" s="13">
        <f t="shared" ca="1" si="49"/>
        <v>1</v>
      </c>
      <c r="AB168" s="13" t="str">
        <f ca="1">IF(AA168&gt;0,Y96&amp;Sprache!$E$111&amp;X96,"")</f>
        <v>3:4</v>
      </c>
      <c r="AC168" s="2"/>
      <c r="AD168" s="143"/>
    </row>
    <row r="169" spans="25:30" x14ac:dyDescent="0.2">
      <c r="Y169" s="67" t="s">
        <v>49</v>
      </c>
      <c r="Z169" s="35" t="str">
        <f t="shared" ca="1" si="50"/>
        <v>1. FC NürnbergMainz 05</v>
      </c>
      <c r="AA169" s="13">
        <f t="shared" ca="1" si="49"/>
        <v>1</v>
      </c>
      <c r="AB169" s="13" t="str">
        <f ca="1">IF(AA169&gt;0,Y97&amp;Sprache!$E$111&amp;X97,"")</f>
        <v>1:1</v>
      </c>
      <c r="AC169" s="2"/>
      <c r="AD169" s="143"/>
    </row>
    <row r="170" spans="25:30" x14ac:dyDescent="0.2">
      <c r="Y170" s="67" t="s">
        <v>50</v>
      </c>
      <c r="Z170" s="35" t="str">
        <f t="shared" ca="1" si="50"/>
        <v>Real MadridInter Mailand</v>
      </c>
      <c r="AA170" s="13">
        <f t="shared" ca="1" si="49"/>
        <v>1</v>
      </c>
      <c r="AB170" s="13" t="str">
        <f ca="1">IF(AA170&gt;0,Y98&amp;Sprache!$E$111&amp;X98,"")</f>
        <v>4:1</v>
      </c>
      <c r="AC170" s="2"/>
      <c r="AD170" s="143"/>
    </row>
    <row r="171" spans="25:30" x14ac:dyDescent="0.2">
      <c r="Y171" s="67" t="s">
        <v>51</v>
      </c>
      <c r="Z171" s="35" t="str">
        <f t="shared" ca="1" si="50"/>
        <v>Borussia DortmundManchester City</v>
      </c>
      <c r="AA171" s="13">
        <f t="shared" ca="1" si="49"/>
        <v>1</v>
      </c>
      <c r="AB171" s="13" t="str">
        <f ca="1">IF(AA171&gt;0,Y99&amp;Sprache!$E$111&amp;X99,"")</f>
        <v>2:2</v>
      </c>
      <c r="AC171" s="2"/>
      <c r="AD171" s="143"/>
    </row>
    <row r="172" spans="25:30" x14ac:dyDescent="0.2">
      <c r="Y172" s="67" t="s">
        <v>60</v>
      </c>
      <c r="Z172" s="35" t="str">
        <f t="shared" si="50"/>
        <v/>
      </c>
      <c r="AA172" s="13">
        <f t="shared" si="49"/>
        <v>0</v>
      </c>
      <c r="AB172" s="13" t="str">
        <f>IF(AA172&gt;0,Y100&amp;Sprache!$E$111&amp;X100,"")</f>
        <v/>
      </c>
      <c r="AC172" s="2"/>
      <c r="AD172" s="143"/>
    </row>
    <row r="173" spans="25:30" x14ac:dyDescent="0.2">
      <c r="Y173" s="67" t="s">
        <v>61</v>
      </c>
      <c r="Z173" s="35" t="str">
        <f t="shared" si="50"/>
        <v/>
      </c>
      <c r="AA173" s="13">
        <f t="shared" si="49"/>
        <v>0</v>
      </c>
      <c r="AB173" s="13" t="str">
        <f>IF(AA173&gt;0,Y101&amp;Sprache!$E$111&amp;X101,"")</f>
        <v/>
      </c>
      <c r="AC173" s="2"/>
      <c r="AD173" s="143"/>
    </row>
    <row r="174" spans="25:30" x14ac:dyDescent="0.2">
      <c r="Y174" s="67" t="s">
        <v>62</v>
      </c>
      <c r="Z174" s="35" t="str">
        <f t="shared" si="50"/>
        <v/>
      </c>
      <c r="AA174" s="13">
        <f t="shared" si="49"/>
        <v>0</v>
      </c>
      <c r="AB174" s="13" t="str">
        <f>IF(AA174&gt;0,Y102&amp;Sprache!$E$111&amp;X102,"")</f>
        <v/>
      </c>
      <c r="AC174" s="2"/>
      <c r="AD174" s="143"/>
    </row>
    <row r="175" spans="25:30" x14ac:dyDescent="0.2">
      <c r="Y175" s="67" t="s">
        <v>63</v>
      </c>
      <c r="Z175" s="35" t="str">
        <f t="shared" si="50"/>
        <v/>
      </c>
      <c r="AA175" s="13">
        <f t="shared" si="49"/>
        <v>0</v>
      </c>
      <c r="AB175" s="13" t="str">
        <f>IF(AA175&gt;0,Y103&amp;Sprache!$E$111&amp;X103,"")</f>
        <v/>
      </c>
      <c r="AC175" s="2"/>
      <c r="AD175" s="143"/>
    </row>
    <row r="176" spans="25:30" x14ac:dyDescent="0.2">
      <c r="Y176" s="67" t="s">
        <v>64</v>
      </c>
      <c r="Z176" s="35" t="str">
        <f t="shared" si="50"/>
        <v/>
      </c>
      <c r="AA176" s="13">
        <f t="shared" si="49"/>
        <v>0</v>
      </c>
      <c r="AB176" s="13" t="str">
        <f>IF(AA176&gt;0,Y104&amp;Sprache!$E$111&amp;X104,"")</f>
        <v/>
      </c>
      <c r="AC176" s="2"/>
      <c r="AD176" s="143"/>
    </row>
    <row r="177" spans="25:30" x14ac:dyDescent="0.2">
      <c r="Y177" s="67" t="s">
        <v>65</v>
      </c>
      <c r="Z177" s="35" t="str">
        <f t="shared" si="50"/>
        <v/>
      </c>
      <c r="AA177" s="13">
        <f t="shared" si="49"/>
        <v>0</v>
      </c>
      <c r="AB177" s="13" t="str">
        <f>IF(AA177&gt;0,Y105&amp;Sprache!$E$111&amp;X105,"")</f>
        <v/>
      </c>
      <c r="AC177" s="2"/>
      <c r="AD177" s="143"/>
    </row>
    <row r="178" spans="25:30" x14ac:dyDescent="0.2">
      <c r="Y178" s="67" t="s">
        <v>66</v>
      </c>
      <c r="Z178" s="35" t="str">
        <f t="shared" si="50"/>
        <v/>
      </c>
      <c r="AA178" s="13">
        <f t="shared" si="49"/>
        <v>0</v>
      </c>
      <c r="AB178" s="13" t="str">
        <f>IF(AA178&gt;0,Y106&amp;Sprache!$E$111&amp;X106,"")</f>
        <v/>
      </c>
      <c r="AC178" s="2"/>
      <c r="AD178" s="143"/>
    </row>
    <row r="179" spans="25:30" x14ac:dyDescent="0.2">
      <c r="Y179" s="67" t="s">
        <v>67</v>
      </c>
      <c r="Z179" s="35" t="str">
        <f t="shared" si="50"/>
        <v/>
      </c>
      <c r="AA179" s="13">
        <f t="shared" si="49"/>
        <v>0</v>
      </c>
      <c r="AB179" s="13" t="str">
        <f>IF(AA179&gt;0,Y107&amp;Sprache!$E$111&amp;X107,"")</f>
        <v/>
      </c>
      <c r="AC179" s="2"/>
      <c r="AD179" s="143"/>
    </row>
    <row r="180" spans="25:30" x14ac:dyDescent="0.2">
      <c r="Y180" s="67" t="s">
        <v>68</v>
      </c>
      <c r="Z180" s="35" t="str">
        <f t="shared" si="50"/>
        <v/>
      </c>
      <c r="AA180" s="13">
        <f t="shared" si="49"/>
        <v>0</v>
      </c>
      <c r="AB180" s="13" t="str">
        <f>IF(AA180&gt;0,Y108&amp;Sprache!$E$111&amp;X108,"")</f>
        <v/>
      </c>
      <c r="AC180" s="2"/>
      <c r="AD180" s="143"/>
    </row>
    <row r="181" spans="25:30" x14ac:dyDescent="0.2">
      <c r="Y181" s="67" t="s">
        <v>69</v>
      </c>
      <c r="Z181" s="35" t="str">
        <f t="shared" si="50"/>
        <v/>
      </c>
      <c r="AA181" s="13">
        <f t="shared" si="49"/>
        <v>0</v>
      </c>
      <c r="AB181" s="13" t="str">
        <f>IF(AA181&gt;0,Y109&amp;Sprache!$E$111&amp;X109,"")</f>
        <v/>
      </c>
      <c r="AC181" s="2"/>
      <c r="AD181" s="143"/>
    </row>
    <row r="182" spans="25:30" x14ac:dyDescent="0.2">
      <c r="Y182" s="67" t="s">
        <v>70</v>
      </c>
      <c r="Z182" s="35" t="str">
        <f t="shared" si="50"/>
        <v/>
      </c>
      <c r="AA182" s="13">
        <f t="shared" si="49"/>
        <v>0</v>
      </c>
      <c r="AB182" s="13" t="str">
        <f>IF(AA182&gt;0,Y110&amp;Sprache!$E$111&amp;X110,"")</f>
        <v/>
      </c>
      <c r="AC182" s="2"/>
      <c r="AD182" s="143"/>
    </row>
    <row r="183" spans="25:30" x14ac:dyDescent="0.2">
      <c r="Y183" s="67" t="s">
        <v>71</v>
      </c>
      <c r="Z183" s="35" t="str">
        <f t="shared" si="50"/>
        <v/>
      </c>
      <c r="AA183" s="13">
        <f t="shared" si="49"/>
        <v>0</v>
      </c>
      <c r="AB183" s="13" t="str">
        <f>IF(AA183&gt;0,Y111&amp;Sprache!$E$111&amp;X111,"")</f>
        <v/>
      </c>
      <c r="AC183" s="2"/>
      <c r="AD183" s="143"/>
    </row>
    <row r="184" spans="25:30" x14ac:dyDescent="0.2">
      <c r="Y184" s="67" t="s">
        <v>72</v>
      </c>
      <c r="Z184" s="35" t="str">
        <f t="shared" si="50"/>
        <v/>
      </c>
      <c r="AA184" s="13">
        <f t="shared" si="49"/>
        <v>0</v>
      </c>
      <c r="AB184" s="13" t="str">
        <f>IF(AA184&gt;0,Y112&amp;Sprache!$E$111&amp;X112,"")</f>
        <v/>
      </c>
      <c r="AC184" s="2"/>
      <c r="AD184" s="143"/>
    </row>
    <row r="185" spans="25:30" x14ac:dyDescent="0.2">
      <c r="Y185" s="67" t="s">
        <v>73</v>
      </c>
      <c r="Z185" s="35" t="str">
        <f t="shared" si="50"/>
        <v/>
      </c>
      <c r="AA185" s="13">
        <f t="shared" si="49"/>
        <v>0</v>
      </c>
      <c r="AB185" s="13" t="str">
        <f>IF(AA185&gt;0,Y113&amp;Sprache!$E$111&amp;X113,"")</f>
        <v/>
      </c>
      <c r="AC185" s="2"/>
      <c r="AD185" s="143"/>
    </row>
    <row r="186" spans="25:30" x14ac:dyDescent="0.2">
      <c r="Y186" s="67" t="s">
        <v>74</v>
      </c>
      <c r="Z186" s="35" t="str">
        <f t="shared" si="50"/>
        <v/>
      </c>
      <c r="AA186" s="13">
        <f t="shared" si="49"/>
        <v>0</v>
      </c>
      <c r="AB186" s="13" t="str">
        <f>IF(AA186&gt;0,Y114&amp;Sprache!$E$111&amp;X114,"")</f>
        <v/>
      </c>
      <c r="AC186" s="2"/>
      <c r="AD186" s="143"/>
    </row>
    <row r="187" spans="25:30" x14ac:dyDescent="0.2">
      <c r="Y187" s="67" t="s">
        <v>75</v>
      </c>
      <c r="Z187" s="35" t="str">
        <f t="shared" si="50"/>
        <v/>
      </c>
      <c r="AA187" s="13">
        <f t="shared" si="49"/>
        <v>0</v>
      </c>
      <c r="AB187" s="13" t="str">
        <f>IF(AA187&gt;0,Y115&amp;Sprache!$E$111&amp;X115,"")</f>
        <v/>
      </c>
      <c r="AC187" s="2"/>
      <c r="AD187" s="143"/>
    </row>
    <row r="188" spans="25:30" x14ac:dyDescent="0.2">
      <c r="Y188" s="67" t="s">
        <v>76</v>
      </c>
      <c r="Z188" s="35" t="str">
        <f t="shared" si="50"/>
        <v/>
      </c>
      <c r="AA188" s="13">
        <f t="shared" si="49"/>
        <v>0</v>
      </c>
      <c r="AB188" s="13" t="str">
        <f>IF(AA188&gt;0,Y116&amp;Sprache!$E$111&amp;X116,"")</f>
        <v/>
      </c>
      <c r="AC188" s="2"/>
      <c r="AD188" s="143"/>
    </row>
    <row r="189" spans="25:30" x14ac:dyDescent="0.2">
      <c r="Y189" s="67" t="s">
        <v>77</v>
      </c>
      <c r="Z189" s="35" t="str">
        <f t="shared" si="50"/>
        <v/>
      </c>
      <c r="AA189" s="13">
        <f t="shared" si="49"/>
        <v>0</v>
      </c>
      <c r="AB189" s="13" t="str">
        <f>IF(AA189&gt;0,Y117&amp;Sprache!$E$111&amp;X117,"")</f>
        <v/>
      </c>
      <c r="AC189" s="2"/>
      <c r="AD189" s="143"/>
    </row>
    <row r="190" spans="25:30" x14ac:dyDescent="0.2">
      <c r="Y190" s="67" t="s">
        <v>78</v>
      </c>
      <c r="Z190" s="35" t="str">
        <f t="shared" si="50"/>
        <v/>
      </c>
      <c r="AA190" s="13">
        <f t="shared" si="49"/>
        <v>0</v>
      </c>
      <c r="AB190" s="13" t="str">
        <f>IF(AA190&gt;0,Y118&amp;Sprache!$E$111&amp;X118,"")</f>
        <v/>
      </c>
      <c r="AC190" s="2"/>
      <c r="AD190" s="143"/>
    </row>
    <row r="191" spans="25:30" x14ac:dyDescent="0.2">
      <c r="Y191" s="67" t="s">
        <v>79</v>
      </c>
      <c r="Z191" s="35" t="str">
        <f t="shared" si="50"/>
        <v/>
      </c>
      <c r="AA191" s="13">
        <f t="shared" si="49"/>
        <v>0</v>
      </c>
      <c r="AB191" s="13" t="str">
        <f>IF(AA191&gt;0,Y119&amp;Sprache!$E$111&amp;X119,"")</f>
        <v/>
      </c>
      <c r="AC191" s="2"/>
      <c r="AD191" s="143"/>
    </row>
    <row r="192" spans="25:30" x14ac:dyDescent="0.2">
      <c r="Y192" s="67" t="s">
        <v>80</v>
      </c>
      <c r="Z192" s="35" t="str">
        <f t="shared" si="50"/>
        <v/>
      </c>
      <c r="AA192" s="13">
        <f t="shared" si="49"/>
        <v>0</v>
      </c>
      <c r="AB192" s="13" t="str">
        <f>IF(AA192&gt;0,Y120&amp;Sprache!$E$111&amp;X120,"")</f>
        <v/>
      </c>
      <c r="AC192" s="2"/>
      <c r="AD192" s="143"/>
    </row>
    <row r="193" spans="25:30" x14ac:dyDescent="0.2">
      <c r="Y193" s="67" t="s">
        <v>81</v>
      </c>
      <c r="Z193" s="35" t="str">
        <f t="shared" si="50"/>
        <v/>
      </c>
      <c r="AA193" s="13">
        <f t="shared" si="49"/>
        <v>0</v>
      </c>
      <c r="AB193" s="13" t="str">
        <f>IF(AA193&gt;0,Y121&amp;Sprache!$E$111&amp;X121,"")</f>
        <v/>
      </c>
      <c r="AC193" s="2"/>
      <c r="AD193" s="143"/>
    </row>
    <row r="194" spans="25:30" x14ac:dyDescent="0.2">
      <c r="Y194" s="67" t="s">
        <v>82</v>
      </c>
      <c r="Z194" s="35" t="str">
        <f t="shared" si="50"/>
        <v/>
      </c>
      <c r="AA194" s="13">
        <f t="shared" si="49"/>
        <v>0</v>
      </c>
      <c r="AB194" s="13" t="str">
        <f>IF(AA194&gt;0,Y122&amp;Sprache!$E$111&amp;X122,"")</f>
        <v/>
      </c>
      <c r="AC194" s="2"/>
      <c r="AD194" s="143"/>
    </row>
    <row r="195" spans="25:30" x14ac:dyDescent="0.2">
      <c r="Y195" s="67" t="s">
        <v>83</v>
      </c>
      <c r="Z195" s="35" t="str">
        <f t="shared" si="50"/>
        <v/>
      </c>
      <c r="AA195" s="13">
        <f t="shared" si="49"/>
        <v>0</v>
      </c>
      <c r="AB195" s="13" t="str">
        <f>IF(AA195&gt;0,Y123&amp;Sprache!$E$111&amp;X123,"")</f>
        <v/>
      </c>
      <c r="AC195" s="2"/>
      <c r="AD195" s="143"/>
    </row>
    <row r="196" spans="25:30" x14ac:dyDescent="0.2">
      <c r="Y196" s="67" t="s">
        <v>84</v>
      </c>
      <c r="Z196" s="35" t="str">
        <f t="shared" si="50"/>
        <v/>
      </c>
      <c r="AA196" s="13">
        <f t="shared" si="49"/>
        <v>0</v>
      </c>
      <c r="AB196" s="13" t="str">
        <f>IF(AA196&gt;0,Y124&amp;Sprache!$E$111&amp;X124,"")</f>
        <v/>
      </c>
      <c r="AC196" s="2"/>
      <c r="AD196" s="143"/>
    </row>
    <row r="197" spans="25:30" x14ac:dyDescent="0.2">
      <c r="Y197" s="67" t="s">
        <v>85</v>
      </c>
      <c r="Z197" s="35" t="str">
        <f t="shared" si="50"/>
        <v/>
      </c>
      <c r="AA197" s="13">
        <f t="shared" si="49"/>
        <v>0</v>
      </c>
      <c r="AB197" s="13" t="str">
        <f>IF(AA197&gt;0,Y125&amp;Sprache!$E$111&amp;X125,"")</f>
        <v/>
      </c>
      <c r="AC197" s="2"/>
      <c r="AD197" s="143"/>
    </row>
    <row r="198" spans="25:30" x14ac:dyDescent="0.2">
      <c r="Y198" s="67" t="s">
        <v>86</v>
      </c>
      <c r="Z198" s="35" t="str">
        <f t="shared" si="50"/>
        <v/>
      </c>
      <c r="AA198" s="13">
        <f t="shared" si="49"/>
        <v>0</v>
      </c>
      <c r="AB198" s="13" t="str">
        <f>IF(AA198&gt;0,Y126&amp;Sprache!$E$111&amp;X126,"")</f>
        <v/>
      </c>
      <c r="AC198" s="2"/>
      <c r="AD198" s="143"/>
    </row>
    <row r="199" spans="25:30" x14ac:dyDescent="0.2">
      <c r="Y199" s="67" t="s">
        <v>87</v>
      </c>
      <c r="Z199" s="35" t="str">
        <f t="shared" si="50"/>
        <v/>
      </c>
      <c r="AA199" s="13">
        <f t="shared" si="49"/>
        <v>0</v>
      </c>
      <c r="AB199" s="13" t="str">
        <f>IF(AA199&gt;0,Y127&amp;Sprache!$E$111&amp;X127,"")</f>
        <v/>
      </c>
      <c r="AC199" s="2"/>
      <c r="AD199" s="143"/>
    </row>
    <row r="200" spans="25:30" x14ac:dyDescent="0.2">
      <c r="Y200" s="67" t="s">
        <v>88</v>
      </c>
      <c r="Z200" s="35" t="str">
        <f t="shared" si="50"/>
        <v/>
      </c>
      <c r="AA200" s="13">
        <f t="shared" si="49"/>
        <v>0</v>
      </c>
      <c r="AB200" s="13" t="str">
        <f>IF(AA200&gt;0,Y128&amp;Sprache!$E$111&amp;X128,"")</f>
        <v/>
      </c>
      <c r="AC200" s="2"/>
      <c r="AD200" s="143"/>
    </row>
    <row r="201" spans="25:30" x14ac:dyDescent="0.2">
      <c r="Y201" s="67" t="s">
        <v>89</v>
      </c>
      <c r="Z201" s="35" t="str">
        <f t="shared" si="50"/>
        <v/>
      </c>
      <c r="AA201" s="13">
        <f t="shared" ref="AA201:AA207" si="51">AA129</f>
        <v>0</v>
      </c>
      <c r="AB201" s="13" t="str">
        <f>IF(AA201&gt;0,Y129&amp;Sprache!$E$111&amp;X129,"")</f>
        <v/>
      </c>
      <c r="AC201" s="2"/>
      <c r="AD201" s="143"/>
    </row>
    <row r="202" spans="25:30" x14ac:dyDescent="0.2">
      <c r="Y202" s="67" t="s">
        <v>90</v>
      </c>
      <c r="Z202" s="35" t="str">
        <f t="shared" ref="Z202:Z206" si="52">W130&amp;V130</f>
        <v/>
      </c>
      <c r="AA202" s="13">
        <f t="shared" si="51"/>
        <v>0</v>
      </c>
      <c r="AB202" s="13" t="str">
        <f>IF(AA202&gt;0,Y130&amp;Sprache!$E$111&amp;X130,"")</f>
        <v/>
      </c>
      <c r="AC202" s="2"/>
      <c r="AD202" s="143"/>
    </row>
    <row r="203" spans="25:30" x14ac:dyDescent="0.2">
      <c r="Y203" s="67" t="s">
        <v>91</v>
      </c>
      <c r="Z203" s="35" t="str">
        <f t="shared" si="52"/>
        <v/>
      </c>
      <c r="AA203" s="13">
        <f t="shared" si="51"/>
        <v>0</v>
      </c>
      <c r="AB203" s="13" t="str">
        <f>IF(AA203&gt;0,Y131&amp;Sprache!$E$111&amp;X131,"")</f>
        <v/>
      </c>
      <c r="AC203" s="2"/>
      <c r="AD203" s="143"/>
    </row>
    <row r="204" spans="25:30" x14ac:dyDescent="0.2">
      <c r="Y204" s="67" t="s">
        <v>92</v>
      </c>
      <c r="Z204" s="35" t="str">
        <f t="shared" si="52"/>
        <v/>
      </c>
      <c r="AA204" s="13">
        <f t="shared" si="51"/>
        <v>0</v>
      </c>
      <c r="AB204" s="13" t="str">
        <f>IF(AA204&gt;0,Y132&amp;Sprache!$E$111&amp;X132,"")</f>
        <v/>
      </c>
      <c r="AC204" s="2"/>
      <c r="AD204" s="143"/>
    </row>
    <row r="205" spans="25:30" x14ac:dyDescent="0.2">
      <c r="Y205" s="67" t="s">
        <v>93</v>
      </c>
      <c r="Z205" s="35" t="str">
        <f t="shared" si="52"/>
        <v/>
      </c>
      <c r="AA205" s="13">
        <f t="shared" si="51"/>
        <v>0</v>
      </c>
      <c r="AB205" s="13" t="str">
        <f>IF(AA205&gt;0,Y133&amp;Sprache!$E$111&amp;X133,"")</f>
        <v/>
      </c>
      <c r="AC205" s="2"/>
      <c r="AD205" s="143"/>
    </row>
    <row r="206" spans="25:30" x14ac:dyDescent="0.2">
      <c r="Y206" s="67" t="s">
        <v>94</v>
      </c>
      <c r="Z206" s="35" t="str">
        <f t="shared" si="52"/>
        <v/>
      </c>
      <c r="AA206" s="13">
        <f t="shared" si="51"/>
        <v>0</v>
      </c>
      <c r="AB206" s="13" t="str">
        <f>IF(AA206&gt;0,Y134&amp;Sprache!$E$111&amp;X134,"")</f>
        <v/>
      </c>
      <c r="AC206" s="2"/>
      <c r="AD206" s="143"/>
    </row>
    <row r="207" spans="25:30" ht="12.75" thickBot="1" x14ac:dyDescent="0.25">
      <c r="Y207" s="68" t="s">
        <v>95</v>
      </c>
      <c r="Z207" s="37" t="str">
        <f>W135&amp;V135</f>
        <v/>
      </c>
      <c r="AA207" s="38">
        <f t="shared" si="51"/>
        <v>0</v>
      </c>
      <c r="AB207" s="144" t="str">
        <f>IF(AA207&gt;0,Y135&amp;Sprache!$E$111&amp;X135,"")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72"/>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780" t="str">
        <f>Sprache!$E$50</f>
        <v>Spielpaarungen</v>
      </c>
      <c r="C1" s="237" t="s">
        <v>187</v>
      </c>
      <c r="D1" s="243" t="s">
        <v>206</v>
      </c>
      <c r="E1" s="243" t="s">
        <v>210</v>
      </c>
      <c r="G1" s="237" t="s">
        <v>178</v>
      </c>
      <c r="H1" s="75" t="s">
        <v>208</v>
      </c>
      <c r="I1" s="75" t="s">
        <v>212</v>
      </c>
      <c r="K1" s="237" t="s">
        <v>179</v>
      </c>
      <c r="L1" s="75" t="s">
        <v>214</v>
      </c>
      <c r="M1" s="75" t="s">
        <v>210</v>
      </c>
      <c r="O1" s="237" t="s">
        <v>180</v>
      </c>
      <c r="P1" s="75" t="s">
        <v>208</v>
      </c>
      <c r="Q1" s="75" t="s">
        <v>216</v>
      </c>
    </row>
    <row r="2" spans="1:17" x14ac:dyDescent="0.2">
      <c r="A2" s="780"/>
      <c r="C2" s="303"/>
      <c r="D2" s="243" t="s">
        <v>207</v>
      </c>
      <c r="E2" s="243" t="s">
        <v>211</v>
      </c>
      <c r="G2" s="303"/>
      <c r="H2" s="75" t="s">
        <v>209</v>
      </c>
      <c r="I2" s="75" t="s">
        <v>213</v>
      </c>
      <c r="K2" s="303"/>
      <c r="L2" s="75" t="s">
        <v>215</v>
      </c>
      <c r="M2" s="75" t="s">
        <v>211</v>
      </c>
      <c r="N2" s="75"/>
      <c r="O2" s="303"/>
      <c r="P2" s="75" t="s">
        <v>209</v>
      </c>
      <c r="Q2" s="75" t="s">
        <v>217</v>
      </c>
    </row>
    <row r="3" spans="1:17" x14ac:dyDescent="0.2">
      <c r="A3" s="780"/>
      <c r="C3" s="303"/>
      <c r="D3" s="243" t="s">
        <v>286</v>
      </c>
      <c r="E3" s="243" t="s">
        <v>287</v>
      </c>
      <c r="G3" s="303"/>
      <c r="H3" s="75" t="s">
        <v>288</v>
      </c>
      <c r="I3" s="75" t="s">
        <v>289</v>
      </c>
      <c r="K3" s="303"/>
      <c r="L3" s="75" t="s">
        <v>290</v>
      </c>
      <c r="M3" s="75" t="s">
        <v>287</v>
      </c>
      <c r="O3" s="303"/>
      <c r="P3" s="75" t="s">
        <v>288</v>
      </c>
      <c r="Q3" s="75" t="s">
        <v>291</v>
      </c>
    </row>
    <row r="4" spans="1:17" x14ac:dyDescent="0.2">
      <c r="A4" s="780"/>
      <c r="C4" s="303"/>
      <c r="D4" s="243" t="s">
        <v>327</v>
      </c>
      <c r="E4" s="243" t="s">
        <v>326</v>
      </c>
      <c r="G4" s="303"/>
      <c r="H4" s="75" t="s">
        <v>325</v>
      </c>
      <c r="I4" s="75" t="s">
        <v>328</v>
      </c>
      <c r="K4" s="303"/>
      <c r="L4" s="75" t="s">
        <v>329</v>
      </c>
      <c r="M4" s="75" t="s">
        <v>326</v>
      </c>
      <c r="O4" s="303"/>
      <c r="P4" s="75" t="s">
        <v>325</v>
      </c>
      <c r="Q4" s="75" t="s">
        <v>330</v>
      </c>
    </row>
    <row r="5" spans="1:17" ht="12.75" customHeight="1" x14ac:dyDescent="0.2">
      <c r="A5" s="780"/>
      <c r="C5" s="300"/>
      <c r="D5" s="243" t="s">
        <v>206</v>
      </c>
      <c r="E5" s="243" t="s">
        <v>208</v>
      </c>
      <c r="G5" s="300"/>
      <c r="H5" s="75" t="s">
        <v>206</v>
      </c>
      <c r="I5" s="75" t="s">
        <v>210</v>
      </c>
      <c r="K5" s="301"/>
      <c r="L5" s="75" t="s">
        <v>206</v>
      </c>
      <c r="M5" s="75" t="s">
        <v>212</v>
      </c>
      <c r="O5" s="167"/>
      <c r="P5" s="75" t="s">
        <v>214</v>
      </c>
      <c r="Q5" s="75" t="s">
        <v>210</v>
      </c>
    </row>
    <row r="6" spans="1:17" ht="12.75" customHeight="1" x14ac:dyDescent="0.2">
      <c r="A6" s="780"/>
      <c r="C6" s="300"/>
      <c r="D6" s="243" t="s">
        <v>207</v>
      </c>
      <c r="E6" s="243" t="s">
        <v>209</v>
      </c>
      <c r="G6" s="300"/>
      <c r="H6" s="75" t="s">
        <v>207</v>
      </c>
      <c r="I6" s="75" t="s">
        <v>211</v>
      </c>
      <c r="K6" s="301"/>
      <c r="L6" s="75" t="s">
        <v>207</v>
      </c>
      <c r="M6" s="75" t="s">
        <v>213</v>
      </c>
      <c r="O6" s="167"/>
      <c r="P6" s="75" t="s">
        <v>215</v>
      </c>
      <c r="Q6" s="75" t="s">
        <v>211</v>
      </c>
    </row>
    <row r="7" spans="1:17" ht="12.75" customHeight="1" x14ac:dyDescent="0.2">
      <c r="A7" s="780"/>
      <c r="C7" s="300"/>
      <c r="D7" s="243" t="s">
        <v>286</v>
      </c>
      <c r="E7" s="243" t="s">
        <v>288</v>
      </c>
      <c r="G7" s="300"/>
      <c r="H7" s="75" t="s">
        <v>286</v>
      </c>
      <c r="I7" s="75" t="s">
        <v>287</v>
      </c>
      <c r="K7" s="301"/>
      <c r="L7" s="75" t="s">
        <v>286</v>
      </c>
      <c r="M7" s="75" t="s">
        <v>289</v>
      </c>
      <c r="N7" s="75"/>
      <c r="O7" s="167"/>
      <c r="P7" s="75" t="s">
        <v>290</v>
      </c>
      <c r="Q7" s="75" t="s">
        <v>287</v>
      </c>
    </row>
    <row r="8" spans="1:17" ht="12.75" customHeight="1" x14ac:dyDescent="0.2">
      <c r="A8" s="780"/>
      <c r="C8" s="300"/>
      <c r="D8" s="243" t="s">
        <v>327</v>
      </c>
      <c r="E8" s="243" t="s">
        <v>325</v>
      </c>
      <c r="G8" s="300"/>
      <c r="H8" s="75" t="s">
        <v>327</v>
      </c>
      <c r="I8" s="75" t="s">
        <v>326</v>
      </c>
      <c r="K8" s="301"/>
      <c r="L8" s="75" t="s">
        <v>327</v>
      </c>
      <c r="M8" s="75" t="s">
        <v>328</v>
      </c>
      <c r="O8" s="167"/>
      <c r="P8" s="75" t="s">
        <v>329</v>
      </c>
      <c r="Q8" s="75" t="s">
        <v>326</v>
      </c>
    </row>
    <row r="9" spans="1:17" x14ac:dyDescent="0.2">
      <c r="A9" s="780"/>
      <c r="C9" s="300"/>
      <c r="D9" s="243" t="s">
        <v>208</v>
      </c>
      <c r="E9" s="243" t="s">
        <v>210</v>
      </c>
      <c r="G9" s="300"/>
      <c r="H9" s="75" t="s">
        <v>206</v>
      </c>
      <c r="I9" s="75" t="s">
        <v>208</v>
      </c>
      <c r="K9" s="302"/>
      <c r="L9" s="75" t="s">
        <v>214</v>
      </c>
      <c r="M9" s="75" t="s">
        <v>208</v>
      </c>
      <c r="P9" s="75" t="s">
        <v>206</v>
      </c>
      <c r="Q9" s="75" t="s">
        <v>212</v>
      </c>
    </row>
    <row r="10" spans="1:17" x14ac:dyDescent="0.2">
      <c r="A10" s="780"/>
      <c r="C10" s="300"/>
      <c r="D10" s="243" t="s">
        <v>209</v>
      </c>
      <c r="E10" s="243" t="s">
        <v>211</v>
      </c>
      <c r="G10" s="300"/>
      <c r="H10" s="75" t="s">
        <v>207</v>
      </c>
      <c r="I10" s="75" t="s">
        <v>209</v>
      </c>
      <c r="J10" s="75"/>
      <c r="K10" s="75"/>
      <c r="L10" s="75" t="s">
        <v>215</v>
      </c>
      <c r="M10" s="75" t="s">
        <v>209</v>
      </c>
      <c r="P10" s="75" t="s">
        <v>207</v>
      </c>
      <c r="Q10" s="75" t="s">
        <v>213</v>
      </c>
    </row>
    <row r="11" spans="1:17" x14ac:dyDescent="0.2">
      <c r="A11" s="780"/>
      <c r="C11" s="300"/>
      <c r="D11" s="243" t="s">
        <v>288</v>
      </c>
      <c r="E11" s="243" t="s">
        <v>287</v>
      </c>
      <c r="G11" s="300"/>
      <c r="H11" s="75" t="s">
        <v>286</v>
      </c>
      <c r="I11" s="75" t="s">
        <v>288</v>
      </c>
      <c r="J11" s="75"/>
      <c r="K11" s="75"/>
      <c r="L11" s="75" t="s">
        <v>290</v>
      </c>
      <c r="M11" s="75" t="s">
        <v>288</v>
      </c>
      <c r="P11" s="75" t="s">
        <v>286</v>
      </c>
      <c r="Q11" s="75" t="s">
        <v>289</v>
      </c>
    </row>
    <row r="12" spans="1:17" x14ac:dyDescent="0.2">
      <c r="A12" s="780"/>
      <c r="C12" s="300"/>
      <c r="D12" s="243" t="s">
        <v>325</v>
      </c>
      <c r="E12" s="243" t="s">
        <v>326</v>
      </c>
      <c r="G12" s="300"/>
      <c r="H12" s="75" t="s">
        <v>327</v>
      </c>
      <c r="I12" s="75" t="s">
        <v>325</v>
      </c>
      <c r="K12" s="302"/>
      <c r="L12" s="75" t="s">
        <v>329</v>
      </c>
      <c r="M12" s="75" t="s">
        <v>325</v>
      </c>
      <c r="P12" s="75" t="s">
        <v>327</v>
      </c>
      <c r="Q12" s="75" t="s">
        <v>328</v>
      </c>
    </row>
    <row r="13" spans="1:17" ht="12.75" customHeight="1" x14ac:dyDescent="0.2">
      <c r="A13" s="780"/>
      <c r="C13" s="300"/>
      <c r="D13" s="243"/>
      <c r="E13" s="243"/>
      <c r="G13" s="300"/>
      <c r="H13" s="75" t="s">
        <v>210</v>
      </c>
      <c r="I13" s="75" t="s">
        <v>212</v>
      </c>
      <c r="K13" s="302"/>
      <c r="L13" s="75" t="s">
        <v>210</v>
      </c>
      <c r="M13" s="75" t="s">
        <v>206</v>
      </c>
      <c r="P13" s="75" t="s">
        <v>214</v>
      </c>
      <c r="Q13" s="75" t="s">
        <v>208</v>
      </c>
    </row>
    <row r="14" spans="1:17" ht="12.75" customHeight="1" x14ac:dyDescent="0.2">
      <c r="A14" s="780"/>
      <c r="C14" s="300"/>
      <c r="D14" s="243"/>
      <c r="E14" s="243"/>
      <c r="G14" s="300"/>
      <c r="H14" s="75" t="s">
        <v>211</v>
      </c>
      <c r="I14" s="75" t="s">
        <v>213</v>
      </c>
      <c r="K14" s="302"/>
      <c r="L14" s="75" t="s">
        <v>211</v>
      </c>
      <c r="M14" s="75" t="s">
        <v>207</v>
      </c>
      <c r="P14" s="75" t="s">
        <v>215</v>
      </c>
      <c r="Q14" s="75" t="s">
        <v>209</v>
      </c>
    </row>
    <row r="15" spans="1:17" ht="12.75" customHeight="1" x14ac:dyDescent="0.2">
      <c r="A15" s="780"/>
      <c r="C15" s="300"/>
      <c r="D15" s="243"/>
      <c r="E15" s="243"/>
      <c r="G15" s="300"/>
      <c r="H15" s="75" t="s">
        <v>287</v>
      </c>
      <c r="I15" s="75" t="s">
        <v>289</v>
      </c>
      <c r="K15" s="302"/>
      <c r="L15" s="75" t="s">
        <v>287</v>
      </c>
      <c r="M15" s="75" t="s">
        <v>286</v>
      </c>
      <c r="P15" s="75" t="s">
        <v>290</v>
      </c>
      <c r="Q15" s="75" t="s">
        <v>288</v>
      </c>
    </row>
    <row r="16" spans="1:17" ht="12.75" customHeight="1" x14ac:dyDescent="0.2">
      <c r="A16" s="780"/>
      <c r="C16" s="300"/>
      <c r="D16" s="243"/>
      <c r="E16" s="243"/>
      <c r="G16" s="300"/>
      <c r="H16" s="75" t="s">
        <v>326</v>
      </c>
      <c r="I16" s="75" t="s">
        <v>328</v>
      </c>
      <c r="K16" s="302"/>
      <c r="L16" s="75" t="s">
        <v>326</v>
      </c>
      <c r="M16" s="75" t="s">
        <v>327</v>
      </c>
      <c r="P16" s="75" t="s">
        <v>329</v>
      </c>
      <c r="Q16" s="75" t="s">
        <v>325</v>
      </c>
    </row>
    <row r="17" spans="1:17" x14ac:dyDescent="0.2">
      <c r="A17" s="780"/>
      <c r="C17" s="300"/>
      <c r="D17" s="243"/>
      <c r="E17" s="243"/>
      <c r="G17" s="300"/>
      <c r="H17" s="75" t="s">
        <v>208</v>
      </c>
      <c r="I17" s="75" t="s">
        <v>210</v>
      </c>
      <c r="K17" s="302"/>
      <c r="L17" s="75" t="s">
        <v>208</v>
      </c>
      <c r="M17" s="75" t="s">
        <v>212</v>
      </c>
      <c r="P17" s="75" t="s">
        <v>212</v>
      </c>
      <c r="Q17" s="75" t="s">
        <v>216</v>
      </c>
    </row>
    <row r="18" spans="1:17" x14ac:dyDescent="0.2">
      <c r="A18" s="780"/>
      <c r="C18" s="300"/>
      <c r="D18" s="243"/>
      <c r="E18" s="243"/>
      <c r="G18" s="300"/>
      <c r="H18" s="75" t="s">
        <v>209</v>
      </c>
      <c r="I18" s="75" t="s">
        <v>211</v>
      </c>
      <c r="K18" s="302"/>
      <c r="L18" s="75" t="s">
        <v>209</v>
      </c>
      <c r="M18" s="75" t="s">
        <v>213</v>
      </c>
      <c r="P18" s="75" t="s">
        <v>213</v>
      </c>
      <c r="Q18" s="75" t="s">
        <v>217</v>
      </c>
    </row>
    <row r="19" spans="1:17" x14ac:dyDescent="0.2">
      <c r="A19" s="780"/>
      <c r="C19" s="300"/>
      <c r="D19" s="243"/>
      <c r="E19" s="243"/>
      <c r="G19" s="300"/>
      <c r="H19" s="75" t="s">
        <v>288</v>
      </c>
      <c r="I19" s="75" t="s">
        <v>287</v>
      </c>
      <c r="K19" s="302"/>
      <c r="L19" s="75" t="s">
        <v>288</v>
      </c>
      <c r="M19" s="75" t="s">
        <v>289</v>
      </c>
      <c r="P19" s="75" t="s">
        <v>289</v>
      </c>
      <c r="Q19" s="75" t="s">
        <v>291</v>
      </c>
    </row>
    <row r="20" spans="1:17" x14ac:dyDescent="0.2">
      <c r="A20" s="780"/>
      <c r="C20" s="300"/>
      <c r="D20" s="243"/>
      <c r="E20" s="243"/>
      <c r="G20" s="300"/>
      <c r="H20" s="75" t="s">
        <v>325</v>
      </c>
      <c r="I20" s="75" t="s">
        <v>326</v>
      </c>
      <c r="K20" s="302"/>
      <c r="L20" s="75" t="s">
        <v>325</v>
      </c>
      <c r="M20" s="75" t="s">
        <v>328</v>
      </c>
      <c r="P20" s="75" t="s">
        <v>328</v>
      </c>
      <c r="Q20" s="75" t="s">
        <v>330</v>
      </c>
    </row>
    <row r="21" spans="1:17" ht="13.5" customHeight="1" x14ac:dyDescent="0.2">
      <c r="A21" s="780"/>
      <c r="C21" s="300"/>
      <c r="D21" s="243"/>
      <c r="E21" s="243"/>
      <c r="G21" s="300"/>
      <c r="H21" s="75" t="s">
        <v>212</v>
      </c>
      <c r="I21" s="75" t="s">
        <v>206</v>
      </c>
      <c r="K21" s="300"/>
      <c r="L21" s="75" t="s">
        <v>206</v>
      </c>
      <c r="M21" s="75" t="s">
        <v>214</v>
      </c>
      <c r="P21" s="75" t="s">
        <v>210</v>
      </c>
      <c r="Q21" s="75" t="s">
        <v>206</v>
      </c>
    </row>
    <row r="22" spans="1:17" ht="13.5" customHeight="1" x14ac:dyDescent="0.2">
      <c r="A22" s="780"/>
      <c r="C22" s="300"/>
      <c r="D22" s="243"/>
      <c r="E22" s="243"/>
      <c r="G22" s="300"/>
      <c r="H22" s="75" t="s">
        <v>213</v>
      </c>
      <c r="I22" s="75" t="s">
        <v>207</v>
      </c>
      <c r="K22" s="300"/>
      <c r="L22" s="75" t="s">
        <v>207</v>
      </c>
      <c r="M22" s="75" t="s">
        <v>215</v>
      </c>
      <c r="P22" s="75" t="s">
        <v>211</v>
      </c>
      <c r="Q22" s="75" t="s">
        <v>207</v>
      </c>
    </row>
    <row r="23" spans="1:17" ht="13.5" customHeight="1" x14ac:dyDescent="0.2">
      <c r="A23" s="780"/>
      <c r="C23" s="300"/>
      <c r="D23" s="243"/>
      <c r="E23" s="243"/>
      <c r="G23" s="300"/>
      <c r="H23" s="75" t="s">
        <v>289</v>
      </c>
      <c r="I23" s="75" t="s">
        <v>286</v>
      </c>
      <c r="K23" s="300"/>
      <c r="L23" s="75" t="s">
        <v>286</v>
      </c>
      <c r="M23" s="75" t="s">
        <v>290</v>
      </c>
      <c r="P23" s="75" t="s">
        <v>287</v>
      </c>
      <c r="Q23" s="75" t="s">
        <v>286</v>
      </c>
    </row>
    <row r="24" spans="1:17" ht="13.5" customHeight="1" x14ac:dyDescent="0.2">
      <c r="A24" s="780"/>
      <c r="C24" s="300"/>
      <c r="D24" s="243"/>
      <c r="E24" s="243"/>
      <c r="G24" s="300"/>
      <c r="H24" s="75" t="s">
        <v>328</v>
      </c>
      <c r="I24" s="75" t="s">
        <v>327</v>
      </c>
      <c r="K24" s="300"/>
      <c r="L24" s="75" t="s">
        <v>327</v>
      </c>
      <c r="M24" s="75" t="s">
        <v>329</v>
      </c>
      <c r="P24" s="75" t="s">
        <v>326</v>
      </c>
      <c r="Q24" s="75" t="s">
        <v>327</v>
      </c>
    </row>
    <row r="25" spans="1:17" ht="12.75" customHeight="1" x14ac:dyDescent="0.2">
      <c r="A25" s="780"/>
      <c r="D25" s="75"/>
      <c r="E25" s="75"/>
      <c r="G25" s="300"/>
      <c r="H25" s="75"/>
      <c r="I25" s="75"/>
      <c r="K25" s="300"/>
      <c r="L25" s="75" t="s">
        <v>210</v>
      </c>
      <c r="M25" s="75" t="s">
        <v>212</v>
      </c>
      <c r="P25" s="75" t="s">
        <v>208</v>
      </c>
      <c r="Q25" s="75" t="s">
        <v>212</v>
      </c>
    </row>
    <row r="26" spans="1:17" ht="12.75" customHeight="1" x14ac:dyDescent="0.2">
      <c r="A26" s="780"/>
      <c r="D26" s="75"/>
      <c r="E26" s="75"/>
      <c r="G26" s="300"/>
      <c r="H26" s="75"/>
      <c r="I26" s="75"/>
      <c r="K26" s="300"/>
      <c r="L26" s="75" t="s">
        <v>211</v>
      </c>
      <c r="M26" s="75" t="s">
        <v>213</v>
      </c>
      <c r="P26" s="75" t="s">
        <v>209</v>
      </c>
      <c r="Q26" s="75" t="s">
        <v>213</v>
      </c>
    </row>
    <row r="27" spans="1:17" ht="12.75" customHeight="1" x14ac:dyDescent="0.2">
      <c r="A27" s="780"/>
      <c r="D27" s="75"/>
      <c r="E27" s="75"/>
      <c r="G27" s="300"/>
      <c r="H27" s="75"/>
      <c r="I27" s="75"/>
      <c r="K27" s="300"/>
      <c r="L27" s="75" t="s">
        <v>287</v>
      </c>
      <c r="M27" s="75" t="s">
        <v>289</v>
      </c>
      <c r="P27" s="75" t="s">
        <v>288</v>
      </c>
      <c r="Q27" s="75" t="s">
        <v>289</v>
      </c>
    </row>
    <row r="28" spans="1:17" ht="12.75" customHeight="1" x14ac:dyDescent="0.2">
      <c r="A28" s="780"/>
      <c r="D28" s="75"/>
      <c r="E28" s="75"/>
      <c r="G28" s="300"/>
      <c r="H28" s="75"/>
      <c r="I28" s="75"/>
      <c r="K28" s="300"/>
      <c r="L28" s="75" t="s">
        <v>326</v>
      </c>
      <c r="M28" s="75" t="s">
        <v>328</v>
      </c>
      <c r="P28" s="75" t="s">
        <v>325</v>
      </c>
      <c r="Q28" s="75" t="s">
        <v>328</v>
      </c>
    </row>
    <row r="29" spans="1:17" x14ac:dyDescent="0.2">
      <c r="A29" s="780"/>
      <c r="C29" s="244"/>
      <c r="D29" s="75"/>
      <c r="E29" s="75"/>
      <c r="G29" s="300"/>
      <c r="H29" s="75"/>
      <c r="I29" s="75"/>
      <c r="K29" s="300"/>
      <c r="L29" s="75" t="s">
        <v>206</v>
      </c>
      <c r="M29" s="75" t="s">
        <v>208</v>
      </c>
      <c r="P29" s="75" t="s">
        <v>206</v>
      </c>
      <c r="Q29" s="75" t="s">
        <v>214</v>
      </c>
    </row>
    <row r="30" spans="1:17" x14ac:dyDescent="0.2">
      <c r="A30" s="780"/>
      <c r="C30" s="244"/>
      <c r="D30" s="75"/>
      <c r="E30" s="75"/>
      <c r="G30" s="300"/>
      <c r="H30" s="75"/>
      <c r="I30" s="75"/>
      <c r="K30" s="300"/>
      <c r="L30" s="75" t="s">
        <v>207</v>
      </c>
      <c r="M30" s="75" t="s">
        <v>209</v>
      </c>
      <c r="P30" s="75" t="s">
        <v>207</v>
      </c>
      <c r="Q30" s="75" t="s">
        <v>215</v>
      </c>
    </row>
    <row r="31" spans="1:17" x14ac:dyDescent="0.2">
      <c r="A31" s="780"/>
      <c r="C31" s="244"/>
      <c r="D31" s="75"/>
      <c r="E31" s="75"/>
      <c r="G31" s="300"/>
      <c r="H31" s="75"/>
      <c r="I31" s="75"/>
      <c r="K31" s="300"/>
      <c r="L31" s="75" t="s">
        <v>286</v>
      </c>
      <c r="M31" s="75" t="s">
        <v>288</v>
      </c>
      <c r="P31" s="75" t="s">
        <v>286</v>
      </c>
      <c r="Q31" s="75" t="s">
        <v>290</v>
      </c>
    </row>
    <row r="32" spans="1:17" x14ac:dyDescent="0.2">
      <c r="A32" s="780"/>
      <c r="C32" s="244"/>
      <c r="D32" s="75"/>
      <c r="E32" s="75"/>
      <c r="G32" s="300"/>
      <c r="H32" s="75"/>
      <c r="I32" s="75"/>
      <c r="K32" s="300"/>
      <c r="L32" s="75" t="s">
        <v>327</v>
      </c>
      <c r="M32" s="75" t="s">
        <v>325</v>
      </c>
      <c r="P32" s="75" t="s">
        <v>327</v>
      </c>
      <c r="Q32" s="75" t="s">
        <v>329</v>
      </c>
    </row>
    <row r="33" spans="1:17" x14ac:dyDescent="0.2">
      <c r="A33" s="780"/>
      <c r="C33" s="244"/>
      <c r="D33" s="75"/>
      <c r="E33" s="75"/>
      <c r="G33" s="300"/>
      <c r="H33" s="75"/>
      <c r="I33" s="75"/>
      <c r="K33" s="300"/>
      <c r="L33" s="75" t="s">
        <v>212</v>
      </c>
      <c r="M33" s="75" t="s">
        <v>214</v>
      </c>
      <c r="P33" s="75" t="s">
        <v>216</v>
      </c>
      <c r="Q33" s="75" t="s">
        <v>210</v>
      </c>
    </row>
    <row r="34" spans="1:17" x14ac:dyDescent="0.2">
      <c r="A34" s="780"/>
      <c r="C34" s="244"/>
      <c r="D34" s="75"/>
      <c r="E34" s="75"/>
      <c r="G34" s="300"/>
      <c r="H34" s="75"/>
      <c r="I34" s="75"/>
      <c r="K34" s="300"/>
      <c r="L34" s="75" t="s">
        <v>213</v>
      </c>
      <c r="M34" s="75" t="s">
        <v>215</v>
      </c>
      <c r="P34" s="75" t="s">
        <v>217</v>
      </c>
      <c r="Q34" s="75" t="s">
        <v>211</v>
      </c>
    </row>
    <row r="35" spans="1:17" x14ac:dyDescent="0.2">
      <c r="A35" s="780"/>
      <c r="C35" s="244"/>
      <c r="D35" s="75"/>
      <c r="E35" s="75"/>
      <c r="G35" s="300"/>
      <c r="H35" s="75"/>
      <c r="I35" s="75"/>
      <c r="K35" s="300"/>
      <c r="L35" s="75" t="s">
        <v>289</v>
      </c>
      <c r="M35" s="75" t="s">
        <v>290</v>
      </c>
      <c r="P35" s="75" t="s">
        <v>291</v>
      </c>
      <c r="Q35" s="75" t="s">
        <v>287</v>
      </c>
    </row>
    <row r="36" spans="1:17" x14ac:dyDescent="0.2">
      <c r="A36" s="780"/>
      <c r="C36" s="244"/>
      <c r="D36" s="75"/>
      <c r="E36" s="75"/>
      <c r="G36" s="300"/>
      <c r="H36" s="75"/>
      <c r="I36" s="75"/>
      <c r="K36" s="300"/>
      <c r="L36" s="75" t="s">
        <v>328</v>
      </c>
      <c r="M36" s="75" t="s">
        <v>329</v>
      </c>
      <c r="P36" s="75" t="s">
        <v>330</v>
      </c>
      <c r="Q36" s="75" t="s">
        <v>326</v>
      </c>
    </row>
    <row r="37" spans="1:17" x14ac:dyDescent="0.2">
      <c r="A37" s="780"/>
      <c r="C37" s="244"/>
      <c r="D37" s="75"/>
      <c r="E37" s="75"/>
      <c r="G37" s="300"/>
      <c r="H37" s="75"/>
      <c r="I37" s="75"/>
      <c r="K37" s="300"/>
      <c r="L37" s="75" t="s">
        <v>208</v>
      </c>
      <c r="M37" s="75" t="s">
        <v>210</v>
      </c>
      <c r="P37" s="75" t="s">
        <v>206</v>
      </c>
      <c r="Q37" s="75" t="s">
        <v>208</v>
      </c>
    </row>
    <row r="38" spans="1:17" x14ac:dyDescent="0.2">
      <c r="A38" s="780"/>
      <c r="C38" s="244"/>
      <c r="D38" s="75"/>
      <c r="E38" s="75"/>
      <c r="G38" s="300"/>
      <c r="H38" s="75"/>
      <c r="I38" s="75"/>
      <c r="K38" s="300"/>
      <c r="L38" s="75" t="s">
        <v>209</v>
      </c>
      <c r="M38" s="75" t="s">
        <v>211</v>
      </c>
      <c r="P38" s="75" t="s">
        <v>207</v>
      </c>
      <c r="Q38" s="75" t="s">
        <v>209</v>
      </c>
    </row>
    <row r="39" spans="1:17" x14ac:dyDescent="0.2">
      <c r="A39" s="780"/>
      <c r="C39" s="244"/>
      <c r="D39" s="75"/>
      <c r="E39" s="75"/>
      <c r="G39" s="300"/>
      <c r="H39" s="75"/>
      <c r="I39" s="75"/>
      <c r="K39" s="300"/>
      <c r="L39" s="75" t="s">
        <v>288</v>
      </c>
      <c r="M39" s="75" t="s">
        <v>287</v>
      </c>
      <c r="P39" s="75" t="s">
        <v>286</v>
      </c>
      <c r="Q39" s="75" t="s">
        <v>288</v>
      </c>
    </row>
    <row r="40" spans="1:17" x14ac:dyDescent="0.2">
      <c r="A40" s="780"/>
      <c r="C40" s="244"/>
      <c r="D40" s="75"/>
      <c r="E40" s="75"/>
      <c r="G40" s="300"/>
      <c r="H40" s="75"/>
      <c r="I40" s="75"/>
      <c r="K40" s="300"/>
      <c r="L40" s="75" t="s">
        <v>325</v>
      </c>
      <c r="M40" s="75" t="s">
        <v>326</v>
      </c>
      <c r="P40" s="75" t="s">
        <v>327</v>
      </c>
      <c r="Q40" s="75" t="s">
        <v>325</v>
      </c>
    </row>
    <row r="41" spans="1:17" x14ac:dyDescent="0.2">
      <c r="A41" s="780"/>
      <c r="C41" s="244"/>
      <c r="D41" s="75"/>
      <c r="E41" s="75"/>
      <c r="G41" s="300"/>
      <c r="H41" s="75"/>
      <c r="I41" s="75"/>
      <c r="K41" s="300"/>
      <c r="L41" s="75"/>
      <c r="M41" s="75"/>
      <c r="O41" s="300"/>
      <c r="P41" s="75" t="s">
        <v>210</v>
      </c>
      <c r="Q41" s="75" t="s">
        <v>212</v>
      </c>
    </row>
    <row r="42" spans="1:17" x14ac:dyDescent="0.2">
      <c r="A42" s="780"/>
      <c r="C42" s="244"/>
      <c r="D42" s="75"/>
      <c r="E42" s="75"/>
      <c r="G42" s="300"/>
      <c r="H42" s="75"/>
      <c r="I42" s="75"/>
      <c r="K42" s="300"/>
      <c r="L42" s="75"/>
      <c r="M42" s="75"/>
      <c r="O42" s="300"/>
      <c r="P42" s="75" t="s">
        <v>211</v>
      </c>
      <c r="Q42" s="75" t="s">
        <v>213</v>
      </c>
    </row>
    <row r="43" spans="1:17" x14ac:dyDescent="0.2">
      <c r="A43" s="780"/>
      <c r="C43" s="244"/>
      <c r="D43" s="75"/>
      <c r="E43" s="75"/>
      <c r="G43" s="300"/>
      <c r="H43" s="75"/>
      <c r="I43" s="75"/>
      <c r="K43" s="300"/>
      <c r="L43" s="75"/>
      <c r="M43" s="75"/>
      <c r="O43" s="300"/>
      <c r="P43" s="75" t="s">
        <v>287</v>
      </c>
      <c r="Q43" s="75" t="s">
        <v>289</v>
      </c>
    </row>
    <row r="44" spans="1:17" x14ac:dyDescent="0.2">
      <c r="A44" s="780"/>
      <c r="C44" s="244"/>
      <c r="D44" s="75"/>
      <c r="E44" s="75"/>
      <c r="G44" s="300"/>
      <c r="H44" s="75"/>
      <c r="I44" s="75"/>
      <c r="K44" s="300"/>
      <c r="L44" s="75"/>
      <c r="M44" s="75"/>
      <c r="O44" s="300"/>
      <c r="P44" s="75" t="s">
        <v>326</v>
      </c>
      <c r="Q44" s="75" t="s">
        <v>328</v>
      </c>
    </row>
    <row r="45" spans="1:17" x14ac:dyDescent="0.2">
      <c r="A45" s="780"/>
      <c r="D45" s="75"/>
      <c r="E45" s="75"/>
      <c r="H45" s="75"/>
      <c r="I45" s="75"/>
      <c r="K45" s="300"/>
      <c r="L45" s="75"/>
      <c r="M45" s="75"/>
      <c r="O45" s="300"/>
      <c r="P45" s="75" t="s">
        <v>214</v>
      </c>
      <c r="Q45" s="75" t="s">
        <v>216</v>
      </c>
    </row>
    <row r="46" spans="1:17" x14ac:dyDescent="0.2">
      <c r="A46" s="780"/>
      <c r="D46" s="75"/>
      <c r="E46" s="75"/>
      <c r="H46" s="75"/>
      <c r="I46" s="75"/>
      <c r="K46" s="300"/>
      <c r="L46" s="75"/>
      <c r="M46" s="75"/>
      <c r="O46" s="300"/>
      <c r="P46" s="75" t="s">
        <v>215</v>
      </c>
      <c r="Q46" s="75" t="s">
        <v>217</v>
      </c>
    </row>
    <row r="47" spans="1:17" x14ac:dyDescent="0.2">
      <c r="A47" s="780"/>
      <c r="D47" s="75"/>
      <c r="E47" s="75"/>
      <c r="H47" s="75"/>
      <c r="I47" s="75"/>
      <c r="K47" s="300"/>
      <c r="L47" s="75"/>
      <c r="M47" s="75"/>
      <c r="O47" s="300"/>
      <c r="P47" s="75" t="s">
        <v>290</v>
      </c>
      <c r="Q47" s="75" t="s">
        <v>291</v>
      </c>
    </row>
    <row r="48" spans="1:17" x14ac:dyDescent="0.2">
      <c r="A48" s="780"/>
      <c r="D48" s="75"/>
      <c r="E48" s="75"/>
      <c r="H48" s="75"/>
      <c r="I48" s="75"/>
      <c r="K48" s="300"/>
      <c r="L48" s="75"/>
      <c r="M48" s="75"/>
      <c r="O48" s="300"/>
      <c r="P48" s="75" t="s">
        <v>329</v>
      </c>
      <c r="Q48" s="75" t="s">
        <v>330</v>
      </c>
    </row>
    <row r="49" spans="1:17" x14ac:dyDescent="0.2">
      <c r="A49" s="780"/>
      <c r="K49" s="300"/>
      <c r="L49" s="75"/>
      <c r="M49" s="75"/>
      <c r="O49" s="300"/>
      <c r="P49" s="75" t="s">
        <v>208</v>
      </c>
      <c r="Q49" s="75" t="s">
        <v>210</v>
      </c>
    </row>
    <row r="50" spans="1:17" x14ac:dyDescent="0.2">
      <c r="A50" s="780"/>
      <c r="K50" s="300"/>
      <c r="L50" s="75"/>
      <c r="M50" s="75"/>
      <c r="O50" s="300"/>
      <c r="P50" s="75" t="s">
        <v>209</v>
      </c>
      <c r="Q50" s="75" t="s">
        <v>211</v>
      </c>
    </row>
    <row r="51" spans="1:17" x14ac:dyDescent="0.2">
      <c r="A51" s="780"/>
      <c r="K51" s="300"/>
      <c r="L51" s="75"/>
      <c r="M51" s="75"/>
      <c r="O51" s="300"/>
      <c r="P51" s="75" t="s">
        <v>288</v>
      </c>
      <c r="Q51" s="75" t="s">
        <v>287</v>
      </c>
    </row>
    <row r="52" spans="1:17" x14ac:dyDescent="0.2">
      <c r="A52" s="780"/>
      <c r="K52" s="300"/>
      <c r="L52" s="75"/>
      <c r="M52" s="75"/>
      <c r="O52" s="300"/>
      <c r="P52" s="75" t="s">
        <v>325</v>
      </c>
      <c r="Q52" s="75" t="s">
        <v>326</v>
      </c>
    </row>
    <row r="53" spans="1:17" x14ac:dyDescent="0.2">
      <c r="A53" s="780"/>
      <c r="K53" s="300"/>
      <c r="L53" s="75"/>
      <c r="M53" s="75"/>
      <c r="O53" s="300"/>
      <c r="P53" s="75" t="s">
        <v>216</v>
      </c>
      <c r="Q53" s="75" t="s">
        <v>206</v>
      </c>
    </row>
    <row r="54" spans="1:17" x14ac:dyDescent="0.2">
      <c r="A54" s="780"/>
      <c r="K54" s="300"/>
      <c r="L54" s="75"/>
      <c r="M54" s="75"/>
      <c r="O54" s="300"/>
      <c r="P54" s="75" t="s">
        <v>217</v>
      </c>
      <c r="Q54" s="75" t="s">
        <v>207</v>
      </c>
    </row>
    <row r="55" spans="1:17" x14ac:dyDescent="0.2">
      <c r="A55" s="780"/>
      <c r="K55" s="300"/>
      <c r="L55" s="75"/>
      <c r="M55" s="75"/>
      <c r="O55" s="300"/>
      <c r="P55" s="75" t="s">
        <v>291</v>
      </c>
      <c r="Q55" s="75" t="s">
        <v>286</v>
      </c>
    </row>
    <row r="56" spans="1:17" x14ac:dyDescent="0.2">
      <c r="A56" s="780"/>
      <c r="K56" s="300"/>
      <c r="L56" s="75"/>
      <c r="M56" s="75"/>
      <c r="O56" s="300"/>
      <c r="P56" s="75" t="s">
        <v>330</v>
      </c>
      <c r="Q56" s="75" t="s">
        <v>327</v>
      </c>
    </row>
    <row r="57" spans="1:17" x14ac:dyDescent="0.2">
      <c r="A57" s="780"/>
      <c r="K57" s="300"/>
      <c r="L57" s="75"/>
      <c r="M57" s="75"/>
      <c r="O57" s="300"/>
      <c r="P57" s="75" t="s">
        <v>212</v>
      </c>
      <c r="Q57" s="75" t="s">
        <v>214</v>
      </c>
    </row>
    <row r="58" spans="1:17" x14ac:dyDescent="0.2">
      <c r="A58" s="780"/>
      <c r="K58" s="302"/>
      <c r="L58" s="75"/>
      <c r="M58" s="75"/>
      <c r="O58" s="300"/>
      <c r="P58" s="75" t="s">
        <v>213</v>
      </c>
      <c r="Q58" s="75" t="s">
        <v>215</v>
      </c>
    </row>
    <row r="59" spans="1:17" x14ac:dyDescent="0.2">
      <c r="A59" s="780"/>
      <c r="L59" s="75"/>
      <c r="M59" s="75"/>
      <c r="O59" s="300"/>
      <c r="P59" s="75" t="s">
        <v>289</v>
      </c>
      <c r="Q59" s="75" t="s">
        <v>290</v>
      </c>
    </row>
    <row r="60" spans="1:17" x14ac:dyDescent="0.2">
      <c r="A60" s="780"/>
      <c r="L60" s="75"/>
      <c r="M60" s="75"/>
      <c r="O60" s="300"/>
      <c r="P60" s="75" t="s">
        <v>328</v>
      </c>
      <c r="Q60" s="75" t="s">
        <v>329</v>
      </c>
    </row>
    <row r="61" spans="1:17" x14ac:dyDescent="0.2">
      <c r="L61" s="75"/>
      <c r="M61" s="75"/>
      <c r="O61" s="300"/>
      <c r="P61" s="75"/>
      <c r="Q61" s="75"/>
    </row>
    <row r="62" spans="1:17" x14ac:dyDescent="0.2">
      <c r="L62" s="75"/>
      <c r="M62" s="75"/>
      <c r="O62" s="300"/>
      <c r="P62" s="75"/>
      <c r="Q62" s="75"/>
    </row>
    <row r="63" spans="1:17" x14ac:dyDescent="0.2">
      <c r="P63" s="75"/>
      <c r="Q63" s="75"/>
    </row>
    <row r="64" spans="1:17" x14ac:dyDescent="0.2">
      <c r="P64" s="75"/>
      <c r="Q64" s="75"/>
    </row>
    <row r="65" spans="16:17" x14ac:dyDescent="0.2">
      <c r="P65" s="75"/>
      <c r="Q65" s="75"/>
    </row>
    <row r="66" spans="16:17" x14ac:dyDescent="0.2">
      <c r="P66" s="75"/>
      <c r="Q66" s="75"/>
    </row>
    <row r="67" spans="16:17" x14ac:dyDescent="0.2">
      <c r="P67" s="75"/>
      <c r="Q67" s="75"/>
    </row>
    <row r="68" spans="16:17" x14ac:dyDescent="0.2">
      <c r="P68" s="75"/>
      <c r="Q68" s="75"/>
    </row>
    <row r="69" spans="16:17" x14ac:dyDescent="0.2">
      <c r="P69" s="75"/>
      <c r="Q69" s="75"/>
    </row>
    <row r="70" spans="16:17" x14ac:dyDescent="0.2">
      <c r="P70" s="75"/>
      <c r="Q70" s="75"/>
    </row>
    <row r="71" spans="16:17" x14ac:dyDescent="0.2">
      <c r="P71" s="75"/>
      <c r="Q71" s="75"/>
    </row>
    <row r="72" spans="16:17" x14ac:dyDescent="0.2">
      <c r="P72" s="75"/>
      <c r="Q72" s="75"/>
    </row>
  </sheetData>
  <mergeCells count="1">
    <mergeCell ref="A1:A60"/>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J75"/>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4" customWidth="1"/>
    <col min="2" max="2" width="6.7109375" style="44" customWidth="1"/>
    <col min="3" max="3" width="10" style="44" customWidth="1"/>
    <col min="4" max="5" width="6.5703125" style="44" customWidth="1"/>
    <col min="6" max="6" width="26.7109375" style="44" customWidth="1"/>
    <col min="7" max="7" width="3" style="44" customWidth="1"/>
    <col min="8" max="8" width="26.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6.7109375" style="44" customWidth="1"/>
    <col min="15" max="18" width="6.7109375" style="44" customWidth="1"/>
    <col min="19" max="19" width="5.7109375" style="44" customWidth="1"/>
    <col min="20" max="20" width="2.140625" style="44" customWidth="1"/>
    <col min="21" max="21" width="5.7109375" style="44" customWidth="1"/>
    <col min="22" max="23" width="6.7109375" style="44" customWidth="1"/>
    <col min="24" max="29" width="7.85546875" style="44" customWidth="1"/>
    <col min="30" max="30" width="26.7109375" style="44" customWidth="1"/>
    <col min="31" max="31" width="4.140625" style="44" customWidth="1"/>
    <col min="32" max="32" width="11.42578125" style="44" customWidth="1"/>
    <col min="33" max="33" width="10" style="44" customWidth="1"/>
    <col min="34" max="34" width="30.7109375" style="44" customWidth="1"/>
    <col min="35" max="36" width="11.42578125" style="44" customWidth="1"/>
    <col min="37" max="16384" width="11.42578125" style="44" hidden="1"/>
  </cols>
  <sheetData>
    <row r="1" spans="1:35" ht="13.5" thickBot="1" x14ac:dyDescent="0.25">
      <c r="B1" s="312"/>
      <c r="C1" s="312"/>
      <c r="D1" s="278"/>
      <c r="E1" s="278"/>
      <c r="F1" s="278"/>
      <c r="G1" s="278"/>
      <c r="H1" s="278"/>
      <c r="I1" s="278"/>
      <c r="J1" s="278"/>
      <c r="K1" s="278"/>
      <c r="M1" s="781"/>
      <c r="N1" s="781"/>
      <c r="AB1" s="312"/>
      <c r="AC1" s="312"/>
    </row>
    <row r="2" spans="1:35" ht="36" customHeight="1" thickTop="1" x14ac:dyDescent="0.2">
      <c r="B2" s="277"/>
      <c r="C2" s="277"/>
      <c r="G2" s="797" t="s">
        <v>448</v>
      </c>
      <c r="H2" s="798"/>
      <c r="I2" s="798"/>
      <c r="J2" s="798"/>
      <c r="K2" s="798"/>
      <c r="L2" s="798"/>
      <c r="M2" s="798"/>
      <c r="N2" s="798"/>
      <c r="O2" s="798"/>
      <c r="P2" s="798"/>
      <c r="Q2" s="798"/>
      <c r="R2" s="798"/>
      <c r="S2" s="798"/>
      <c r="T2" s="798"/>
      <c r="U2" s="798"/>
      <c r="V2" s="798"/>
      <c r="W2" s="798"/>
      <c r="X2" s="798"/>
      <c r="Y2" s="799"/>
      <c r="AC2" s="314"/>
      <c r="AD2" s="327" t="s">
        <v>447</v>
      </c>
    </row>
    <row r="3" spans="1:35" ht="30" customHeight="1" x14ac:dyDescent="0.2">
      <c r="G3" s="800" t="s">
        <v>256</v>
      </c>
      <c r="H3" s="801"/>
      <c r="I3" s="801"/>
      <c r="J3" s="801"/>
      <c r="K3" s="801"/>
      <c r="L3" s="801"/>
      <c r="M3" s="801"/>
      <c r="N3" s="801"/>
      <c r="O3" s="801"/>
      <c r="P3" s="801"/>
      <c r="Q3" s="801"/>
      <c r="R3" s="801"/>
      <c r="S3" s="801"/>
      <c r="T3" s="801"/>
      <c r="U3" s="801"/>
      <c r="V3" s="801"/>
      <c r="W3" s="801"/>
      <c r="X3" s="801"/>
      <c r="Y3" s="802"/>
    </row>
    <row r="4" spans="1:35" ht="30" customHeight="1" x14ac:dyDescent="0.2">
      <c r="G4" s="803" t="s">
        <v>269</v>
      </c>
      <c r="H4" s="804"/>
      <c r="I4" s="804"/>
      <c r="J4" s="804"/>
      <c r="K4" s="804"/>
      <c r="L4" s="804"/>
      <c r="M4" s="804"/>
      <c r="N4" s="804"/>
      <c r="O4" s="804"/>
      <c r="P4" s="804"/>
      <c r="Q4" s="804"/>
      <c r="R4" s="804"/>
      <c r="S4" s="804"/>
      <c r="T4" s="804"/>
      <c r="U4" s="804"/>
      <c r="V4" s="804"/>
      <c r="W4" s="804"/>
      <c r="X4" s="804"/>
      <c r="Y4" s="805"/>
    </row>
    <row r="5" spans="1:35" ht="30" customHeight="1" thickBot="1" x14ac:dyDescent="0.25">
      <c r="G5" s="806" t="s">
        <v>255</v>
      </c>
      <c r="H5" s="807"/>
      <c r="I5" s="807"/>
      <c r="J5" s="807"/>
      <c r="K5" s="807"/>
      <c r="L5" s="807"/>
      <c r="M5" s="807"/>
      <c r="N5" s="807"/>
      <c r="O5" s="807"/>
      <c r="P5" s="807"/>
      <c r="Q5" s="807"/>
      <c r="R5" s="807"/>
      <c r="S5" s="807"/>
      <c r="T5" s="807"/>
      <c r="U5" s="807"/>
      <c r="V5" s="807"/>
      <c r="W5" s="807"/>
      <c r="X5" s="807"/>
      <c r="Y5" s="808"/>
    </row>
    <row r="6" spans="1:35" ht="9" customHeight="1" thickTop="1" thickBot="1" x14ac:dyDescent="0.25">
      <c r="B6" s="313"/>
      <c r="C6" s="313"/>
      <c r="D6" s="313"/>
      <c r="E6" s="313"/>
      <c r="F6" s="313"/>
      <c r="G6" s="313"/>
      <c r="H6" s="313"/>
      <c r="I6" s="313"/>
      <c r="J6" s="313"/>
      <c r="K6" s="313"/>
    </row>
    <row r="7" spans="1:35" ht="30" customHeight="1" thickTop="1" x14ac:dyDescent="0.2">
      <c r="B7" s="313"/>
      <c r="C7" s="313"/>
      <c r="D7" s="313"/>
      <c r="E7" s="313"/>
      <c r="F7" s="313"/>
      <c r="G7" s="313"/>
      <c r="H7" s="313"/>
      <c r="I7" s="313"/>
      <c r="J7" s="313"/>
      <c r="K7" s="785" t="str">
        <f>Sprache!$E$18</f>
        <v>Vorrunde</v>
      </c>
      <c r="L7" s="786"/>
      <c r="M7" s="786"/>
      <c r="N7" s="786"/>
      <c r="O7" s="786"/>
      <c r="P7" s="786"/>
      <c r="Q7" s="786"/>
      <c r="R7" s="786"/>
      <c r="S7" s="787"/>
      <c r="AD7" s="633" t="str">
        <f>Sprache!$E$49&amp;"      --&gt;"</f>
        <v>Bonus      --&gt;</v>
      </c>
      <c r="AG7" s="782" t="str">
        <f>Sprache!$E$103</f>
        <v>Sind zwei oder mehr Mannschaften nicht unterscheidbar und wird eine Entscheidung z.B. durch Elfmeterschießen oder Los getroffen, genügt es, für die bevorzugte Mannschaft einen Bonuspunkt einzutragen.</v>
      </c>
      <c r="AH7" s="782"/>
      <c r="AI7" s="782"/>
    </row>
    <row r="8" spans="1:35" ht="30" customHeight="1" thickBot="1" x14ac:dyDescent="0.25">
      <c r="B8" s="313"/>
      <c r="C8" s="313"/>
      <c r="D8" s="313"/>
      <c r="E8" s="313"/>
      <c r="F8" s="313"/>
      <c r="G8" s="313"/>
      <c r="H8" s="313"/>
      <c r="I8" s="313"/>
      <c r="J8" s="313"/>
      <c r="K8" s="788"/>
      <c r="L8" s="789"/>
      <c r="M8" s="789"/>
      <c r="N8" s="789"/>
      <c r="O8" s="789"/>
      <c r="P8" s="789"/>
      <c r="Q8" s="789"/>
      <c r="R8" s="789"/>
      <c r="S8" s="790"/>
      <c r="AG8" s="782"/>
      <c r="AH8" s="782"/>
      <c r="AI8" s="782"/>
    </row>
    <row r="9" spans="1:35" ht="13.5" customHeight="1" thickTop="1" thickBot="1" x14ac:dyDescent="0.35">
      <c r="C9" s="45"/>
      <c r="D9" s="45"/>
      <c r="E9" s="45"/>
      <c r="F9" s="311"/>
      <c r="G9" s="311"/>
      <c r="H9" s="311"/>
      <c r="I9" s="311"/>
      <c r="J9" s="311"/>
      <c r="K9" s="311"/>
      <c r="X9" s="290"/>
      <c r="Y9" s="290"/>
      <c r="Z9" s="290"/>
      <c r="AA9" s="290"/>
      <c r="AB9" s="290"/>
      <c r="AC9" s="290"/>
    </row>
    <row r="10" spans="1:35" ht="24" customHeight="1" thickBot="1" x14ac:dyDescent="0.45">
      <c r="A10" s="307"/>
      <c r="B10" s="309" t="str">
        <f>Sprache!$E$11</f>
        <v>Ergebnisse</v>
      </c>
      <c r="C10" s="308"/>
      <c r="D10" s="308"/>
      <c r="E10" s="308"/>
      <c r="F10" s="310"/>
      <c r="G10" s="310"/>
      <c r="H10" s="310"/>
      <c r="I10" s="310"/>
      <c r="J10" s="310"/>
      <c r="K10" s="310"/>
      <c r="M10" s="796" t="str">
        <f>Sprache!$E$16&amp;" A"</f>
        <v>Gruppe A</v>
      </c>
      <c r="N10" s="796"/>
      <c r="O10" s="199"/>
      <c r="P10" s="199"/>
      <c r="Q10" s="199"/>
      <c r="R10" s="199"/>
      <c r="S10" s="199"/>
      <c r="T10" s="199"/>
      <c r="U10" s="199"/>
      <c r="V10" s="199"/>
      <c r="W10" s="199"/>
      <c r="X10" s="287" t="str">
        <f ca="1">IF(LEN(N12)&gt;Einstellungen!$C$17,LEFT(N12,Einstellungen!$C$17)&amp;".",N12)</f>
        <v>FC Barc.</v>
      </c>
      <c r="Y10" s="288" t="str">
        <f ca="1">IF(LEN(N13)&gt;Einstellungen!$C$17,LEFT(N13,Einstellungen!$C$17)&amp;".",N13)</f>
        <v>Eintrac.</v>
      </c>
      <c r="Z10" s="288" t="str">
        <f ca="1">IF(LEN(N14)&gt;Einstellungen!$C$17,LEFT(N14,Einstellungen!$C$17)&amp;".",N14)</f>
        <v>1. FC R.</v>
      </c>
      <c r="AA10" s="288" t="str">
        <f ca="1">IF(LEN(N15)&gt;Einstellungen!$C$17,LEFT(N15,Einstellungen!$C$17)&amp;".",N15)</f>
        <v>VFB Ess.</v>
      </c>
      <c r="AB10" s="288" t="str">
        <f ca="1">IF(LEN(N16)&gt;Einstellungen!$C$17,LEFT(N16,Einstellungen!$C$17)&amp;".",N16)</f>
        <v>Maibach.</v>
      </c>
      <c r="AC10" s="289" t="str">
        <f ca="1">IF(LEN(N17)&gt;Einstellungen!$C$17,LEFT(N17,Einstellungen!$C$17)&amp;".",N17)</f>
        <v/>
      </c>
      <c r="AD10" s="200"/>
      <c r="AG10" s="796" t="str">
        <f>Sprache!$E$16&amp;" A"</f>
        <v>Gruppe A</v>
      </c>
      <c r="AH10" s="796"/>
    </row>
    <row r="11" spans="1:35" ht="24" customHeight="1" thickTop="1" thickBot="1" x14ac:dyDescent="0.25">
      <c r="B11" s="386" t="str">
        <f>Sprache!$E$9</f>
        <v>Nr.</v>
      </c>
      <c r="C11" s="669" t="str">
        <f>Sprache!$E$39</f>
        <v>Beginn:</v>
      </c>
      <c r="D11" s="669" t="str">
        <f>Sprache!$E$48</f>
        <v>Feld</v>
      </c>
      <c r="E11" s="669" t="str">
        <f>Sprache!$E$17</f>
        <v>Grp</v>
      </c>
      <c r="F11" s="783" t="str">
        <f>Sprache!$E$14</f>
        <v>Spielpaarung</v>
      </c>
      <c r="G11" s="783"/>
      <c r="H11" s="783"/>
      <c r="I11" s="783" t="str">
        <f>Sprache!$E$15</f>
        <v>Ergebnis</v>
      </c>
      <c r="J11" s="783"/>
      <c r="K11" s="784"/>
      <c r="M11" s="794"/>
      <c r="N11" s="795"/>
      <c r="O11" s="201" t="str">
        <f>Sprache!$E$21</f>
        <v>SP</v>
      </c>
      <c r="P11" s="202" t="str">
        <f>Sprache!$E$22</f>
        <v>G</v>
      </c>
      <c r="Q11" s="202" t="str">
        <f>Sprache!$E$23</f>
        <v>U</v>
      </c>
      <c r="R11" s="203" t="str">
        <f>Sprache!$E$24</f>
        <v>V</v>
      </c>
      <c r="S11" s="791" t="str">
        <f>Sprache!$E$25</f>
        <v>Tore</v>
      </c>
      <c r="T11" s="792"/>
      <c r="U11" s="793"/>
      <c r="V11" s="202" t="str">
        <f>Sprache!$E$26</f>
        <v>Diff.</v>
      </c>
      <c r="W11" s="204" t="str">
        <f>Sprache!$E$27</f>
        <v>Pkt</v>
      </c>
      <c r="X11" s="205" t="str">
        <f ca="1">N12</f>
        <v>FC Barcelona</v>
      </c>
      <c r="Y11" s="206" t="str">
        <f ca="1">N13</f>
        <v>Eintracht Frankfurt</v>
      </c>
      <c r="Z11" s="206" t="str">
        <f ca="1">N14</f>
        <v>1. FC Riedwald</v>
      </c>
      <c r="AA11" s="206" t="str">
        <f ca="1">N15</f>
        <v>VFB Essenheim</v>
      </c>
      <c r="AB11" s="206" t="str">
        <f ca="1">N16</f>
        <v>Maibach 1822 eV</v>
      </c>
      <c r="AC11" s="635" t="str">
        <f ca="1">N17</f>
        <v/>
      </c>
      <c r="AD11" s="200"/>
      <c r="AG11" s="428" t="str">
        <f>Sprache!$E$9</f>
        <v>Nr.</v>
      </c>
      <c r="AH11" s="429" t="str">
        <f>Sprache!$E$10</f>
        <v>Teilnehmer bzw. Mannschaft</v>
      </c>
      <c r="AI11" s="430" t="str">
        <f>Sprache!$E$49</f>
        <v>Bonus</v>
      </c>
    </row>
    <row r="12" spans="1:35" ht="24" customHeight="1" x14ac:dyDescent="0.2">
      <c r="B12" s="670">
        <f>Planung!$E6</f>
        <v>1</v>
      </c>
      <c r="C12" s="689">
        <f>Planung!$F6</f>
        <v>0.375</v>
      </c>
      <c r="D12" s="690" t="str">
        <f>Planung!$G6</f>
        <v>1</v>
      </c>
      <c r="E12" s="690" t="str">
        <f ca="1">Planung!$H6</f>
        <v>A</v>
      </c>
      <c r="F12" s="671" t="str">
        <f ca="1">Planung!$L6</f>
        <v>VFB Essenheim</v>
      </c>
      <c r="G12" s="672" t="s">
        <v>5</v>
      </c>
      <c r="H12" s="673" t="str">
        <f ca="1">Planung!$N6</f>
        <v>FC Barcelona</v>
      </c>
      <c r="I12" s="674">
        <v>2</v>
      </c>
      <c r="J12" s="675" t="str">
        <f>Sprache!$E$111</f>
        <v>:</v>
      </c>
      <c r="K12" s="676">
        <v>6</v>
      </c>
      <c r="M12" s="370">
        <f ca="1">IF(Calc1!$K$13=0,"",1)</f>
        <v>1</v>
      </c>
      <c r="N12" s="371" t="str">
        <f ca="1">IF(Calc1!$F$14&lt;3,"",IF(Calc1!$K$13=0,Calc1!$Q64,VLOOKUP(Calc1!B4,Calc1!$C$4:$N$12,4,0)))</f>
        <v>FC Barcelona</v>
      </c>
      <c r="O12" s="207">
        <f ca="1">IF(Calc1!$K$13=0,"",VLOOKUP(Calc1!B4,Calc1!$C$4:$N$12,9,0))</f>
        <v>4</v>
      </c>
      <c r="P12" s="208">
        <f ca="1">IF(Calc1!$K$13=0,"",VLOOKUP(Calc1!B4,Calc1!$C$4:$N$12,10,0))</f>
        <v>4</v>
      </c>
      <c r="Q12" s="208">
        <f ca="1">IF(Calc1!$K$13=0,"",VLOOKUP(Calc1!B4,Calc1!$C$4:$N$12,11,0))</f>
        <v>0</v>
      </c>
      <c r="R12" s="209">
        <f ca="1">IF(Calc1!$K$13=0,"",VLOOKUP(Calc1!B4,Calc1!$C$4:$N$12,12,0))</f>
        <v>0</v>
      </c>
      <c r="S12" s="210">
        <f ca="1">IF(Calc1!$K$13=0,"",VLOOKUP(Calc1!B4,Calc1!$C$4:$N$12,5,0))</f>
        <v>17</v>
      </c>
      <c r="T12" s="211" t="str">
        <f>Sprache!$E$111</f>
        <v>:</v>
      </c>
      <c r="U12" s="212">
        <f ca="1">IF(Calc1!$K$13=0,"",VLOOKUP(Calc1!B4,Calc1!$C$4:$N$12,6,0))</f>
        <v>4</v>
      </c>
      <c r="V12" s="207">
        <f ca="1">IF(Calc1!$K$13=0,"",VLOOKUP(Calc1!B4,Calc1!$C$4:$N$12,7,0))</f>
        <v>13</v>
      </c>
      <c r="W12" s="213">
        <f ca="1">IF(Calc1!$K$13=0,"",VLOOKUP(Calc1!B4,Calc1!$C$4:$N$12,8,0))</f>
        <v>12</v>
      </c>
      <c r="X12" s="214"/>
      <c r="Y12" s="208" t="str">
        <f ca="1">IFERROR(VLOOKUP($N12&amp;Y$11,Calc1!$Z$64:$AB$207,3,0),"")</f>
        <v>2:0</v>
      </c>
      <c r="Z12" s="208" t="str">
        <f ca="1">IFERROR(VLOOKUP($N12&amp;Z$11,Calc1!$Z$64:$AB$207,3,0),"")</f>
        <v>6:1</v>
      </c>
      <c r="AA12" s="208" t="str">
        <f ca="1">IFERROR(VLOOKUP($N12&amp;AA$11,Calc1!$Z$64:$AB$207,3,0),"")</f>
        <v>6:2</v>
      </c>
      <c r="AB12" s="208" t="str">
        <f ca="1">IFERROR(VLOOKUP($N12&amp;AB$11,Calc1!$Z$64:$AB$207,3,0),"")</f>
        <v>3:1</v>
      </c>
      <c r="AC12" s="215" t="str">
        <f ca="1">IFERROR(VLOOKUP($N12&amp;AC$11,Calc1!$Z$64:$AB$207,3,0),"")</f>
        <v/>
      </c>
      <c r="AD12" s="216" t="str">
        <f t="shared" ref="AD12:AD17" ca="1" si="0">N12</f>
        <v>FC Barcelona</v>
      </c>
      <c r="AG12" s="431" t="s">
        <v>208</v>
      </c>
      <c r="AH12" s="432" t="str">
        <f>IF(Planung!$C7="","",Planung!$C7)</f>
        <v>1. FC Riedwald</v>
      </c>
      <c r="AI12" s="433"/>
    </row>
    <row r="13" spans="1:35" ht="24" customHeight="1" x14ac:dyDescent="0.2">
      <c r="B13" s="677">
        <f ca="1">Planung!$E7</f>
        <v>2</v>
      </c>
      <c r="C13" s="691">
        <f ca="1">Planung!$F7</f>
        <v>0.375</v>
      </c>
      <c r="D13" s="692">
        <f ca="1">Planung!$G7</f>
        <v>2</v>
      </c>
      <c r="E13" s="692" t="str">
        <f ca="1">Planung!$H7</f>
        <v>B</v>
      </c>
      <c r="F13" s="678" t="str">
        <f ca="1">Planung!$L7</f>
        <v>FC Grönlingen</v>
      </c>
      <c r="G13" s="220" t="s">
        <v>5</v>
      </c>
      <c r="H13" s="679" t="str">
        <f ca="1">Planung!$N7</f>
        <v>Inter Mailand</v>
      </c>
      <c r="I13" s="680">
        <v>2</v>
      </c>
      <c r="J13" s="681" t="str">
        <f>Sprache!$E$111</f>
        <v>:</v>
      </c>
      <c r="K13" s="682">
        <v>4</v>
      </c>
      <c r="M13" s="372">
        <f ca="1">IF(Calc1!$K$13=0,"",IF(VLOOKUP(Calc1!B5,Calc1!$C$4:$E$12,3,0)=MAX(M$12:M12),VLOOKUP(Calc1!B5,Calc1!$C$4:$E$12,3,0),Calc1!B5))</f>
        <v>2</v>
      </c>
      <c r="N13" s="373" t="str">
        <f ca="1">IF(Calc1!$F$14&lt;3,"",IF(Calc1!$K$13=0,Calc1!$Q65,VLOOKUP(Calc1!B5,Calc1!$C$4:$N$12,4,0)))</f>
        <v>Eintracht Frankfurt</v>
      </c>
      <c r="O13" s="217">
        <f ca="1">IF(Calc1!$K$13=0,"",VLOOKUP(Calc1!B5,Calc1!$C$4:$N$12,9,0))</f>
        <v>4</v>
      </c>
      <c r="P13" s="198">
        <f ca="1">IF(Calc1!$K$13=0,"",VLOOKUP(Calc1!B5,Calc1!$C$4:$N$12,10,0))</f>
        <v>3</v>
      </c>
      <c r="Q13" s="198">
        <f ca="1">IF(Calc1!$K$13=0,"",VLOOKUP(Calc1!B5,Calc1!$C$4:$N$12,11,0))</f>
        <v>0</v>
      </c>
      <c r="R13" s="218">
        <f ca="1">IF(Calc1!$K$13=0,"",VLOOKUP(Calc1!B5,Calc1!$C$4:$N$12,12,0))</f>
        <v>1</v>
      </c>
      <c r="S13" s="219">
        <f ca="1">IF(Calc1!$K$13=0,"",VLOOKUP(Calc1!B5,Calc1!$C$4:$N$12,5,0))</f>
        <v>12</v>
      </c>
      <c r="T13" s="220" t="str">
        <f>Sprache!$E$111</f>
        <v>:</v>
      </c>
      <c r="U13" s="221">
        <f ca="1">IF(Calc1!$K$13=0,"",VLOOKUP(Calc1!B5,Calc1!$C$4:$N$12,6,0))</f>
        <v>8</v>
      </c>
      <c r="V13" s="217">
        <f ca="1">IF(Calc1!$K$13=0,"",VLOOKUP(Calc1!B5,Calc1!$C$4:$N$12,7,0))</f>
        <v>4</v>
      </c>
      <c r="W13" s="222">
        <f ca="1">IF(Calc1!$K$13=0,"",VLOOKUP(Calc1!B5,Calc1!$C$4:$N$12,8,0))</f>
        <v>9</v>
      </c>
      <c r="X13" s="223" t="str">
        <f ca="1">IFERROR(VLOOKUP($N13&amp;X$11,Calc1!$Z$64:$AB$207,3,0),"")</f>
        <v>0:2</v>
      </c>
      <c r="Y13" s="224"/>
      <c r="Z13" s="198" t="str">
        <f ca="1">IFERROR(VLOOKUP($N13&amp;Z$11,Calc1!$Z$64:$AB$207,3,0),"")</f>
        <v>6:2</v>
      </c>
      <c r="AA13" s="198" t="str">
        <f ca="1">IFERROR(VLOOKUP($N13&amp;AA$11,Calc1!$Z$64:$AB$207,3,0),"")</f>
        <v>3:2</v>
      </c>
      <c r="AB13" s="198" t="str">
        <f ca="1">IFERROR(VLOOKUP($N13&amp;AB$11,Calc1!$Z$64:$AB$207,3,0),"")</f>
        <v>3:2</v>
      </c>
      <c r="AC13" s="225" t="str">
        <f ca="1">IFERROR(VLOOKUP($N13&amp;AC$11,Calc1!$Z$64:$AB$207,3,0),"")</f>
        <v/>
      </c>
      <c r="AD13" s="226" t="str">
        <f t="shared" ca="1" si="0"/>
        <v>Eintracht Frankfurt</v>
      </c>
      <c r="AG13" s="434" t="s">
        <v>210</v>
      </c>
      <c r="AH13" s="435" t="str">
        <f>IF(Planung!$C9="","",Planung!$C9)</f>
        <v>FC Barcelona</v>
      </c>
      <c r="AI13" s="436"/>
    </row>
    <row r="14" spans="1:35" ht="24" customHeight="1" x14ac:dyDescent="0.2">
      <c r="B14" s="677">
        <f ca="1">Planung!$E8</f>
        <v>3</v>
      </c>
      <c r="C14" s="691">
        <f ca="1">Planung!$F8</f>
        <v>0.375</v>
      </c>
      <c r="D14" s="692">
        <f ca="1">Planung!$G8</f>
        <v>3</v>
      </c>
      <c r="E14" s="692" t="str">
        <f ca="1">Planung!$H8</f>
        <v>C</v>
      </c>
      <c r="F14" s="678" t="str">
        <f ca="1">Planung!$L8</f>
        <v>1. FC Nürnberg</v>
      </c>
      <c r="G14" s="220" t="s">
        <v>5</v>
      </c>
      <c r="H14" s="679" t="str">
        <f ca="1">Planung!$N8</f>
        <v>Real Madrid</v>
      </c>
      <c r="I14" s="680">
        <v>1</v>
      </c>
      <c r="J14" s="681" t="str">
        <f>Sprache!$E$111</f>
        <v>:</v>
      </c>
      <c r="K14" s="682">
        <v>4</v>
      </c>
      <c r="M14" s="372">
        <f ca="1">IF(Calc1!$K$13=0,"",IF(VLOOKUP(Calc1!B6,Calc1!$C$4:$E$12,3,0)=MAX(M$12:M13),VLOOKUP(Calc1!B6,Calc1!$C$4:$E$12,3,0),Calc1!B6))</f>
        <v>3</v>
      </c>
      <c r="N14" s="373" t="str">
        <f ca="1">IF(Calc1!$F$14&lt;3,"",IF(Calc1!$K$13=0,Calc1!$Q66,VLOOKUP(Calc1!B6,Calc1!$C$4:$N$12,4,0)))</f>
        <v>1. FC Riedwald</v>
      </c>
      <c r="O14" s="217">
        <f ca="1">IF(Calc1!$K$13=0,"",VLOOKUP(Calc1!B6,Calc1!$C$4:$N$12,9,0))</f>
        <v>4</v>
      </c>
      <c r="P14" s="198">
        <f ca="1">IF(Calc1!$K$13=0,"",VLOOKUP(Calc1!B6,Calc1!$C$4:$N$12,10,0))</f>
        <v>1</v>
      </c>
      <c r="Q14" s="198">
        <f ca="1">IF(Calc1!$K$13=0,"",VLOOKUP(Calc1!B6,Calc1!$C$4:$N$12,11,0))</f>
        <v>1</v>
      </c>
      <c r="R14" s="218">
        <f ca="1">IF(Calc1!$K$13=0,"",VLOOKUP(Calc1!B6,Calc1!$C$4:$N$12,12,0))</f>
        <v>2</v>
      </c>
      <c r="S14" s="219">
        <f ca="1">IF(Calc1!$K$13=0,"",VLOOKUP(Calc1!B6,Calc1!$C$4:$N$12,5,0))</f>
        <v>10</v>
      </c>
      <c r="T14" s="220" t="str">
        <f>Sprache!$E$111</f>
        <v>:</v>
      </c>
      <c r="U14" s="221">
        <f ca="1">IF(Calc1!$K$13=0,"",VLOOKUP(Calc1!B6,Calc1!$C$4:$N$12,6,0))</f>
        <v>15</v>
      </c>
      <c r="V14" s="217">
        <f ca="1">IF(Calc1!$K$13=0,"",VLOOKUP(Calc1!B6,Calc1!$C$4:$N$12,7,0))</f>
        <v>-5</v>
      </c>
      <c r="W14" s="222">
        <f ca="1">IF(Calc1!$K$13=0,"",VLOOKUP(Calc1!B6,Calc1!$C$4:$N$12,8,0))</f>
        <v>4</v>
      </c>
      <c r="X14" s="223" t="str">
        <f ca="1">IFERROR(VLOOKUP($N14&amp;X$11,Calc1!$Z$64:$AB$207,3,0),"")</f>
        <v>1:6</v>
      </c>
      <c r="Y14" s="402" t="str">
        <f ca="1">IFERROR(VLOOKUP($N14&amp;Y$11,Calc1!$Z$64:$AB$207,3,0),"")</f>
        <v>2:6</v>
      </c>
      <c r="Z14" s="224"/>
      <c r="AA14" s="198" t="str">
        <f ca="1">IFERROR(VLOOKUP($N14&amp;AA$11,Calc1!$Z$64:$AB$207,3,0),"")</f>
        <v>5:1</v>
      </c>
      <c r="AB14" s="198" t="str">
        <f ca="1">IFERROR(VLOOKUP($N14&amp;AB$11,Calc1!$Z$64:$AB$207,3,0),"")</f>
        <v>2:2</v>
      </c>
      <c r="AC14" s="225" t="str">
        <f ca="1">IFERROR(VLOOKUP($N14&amp;AC$11,Calc1!$Z$64:$AB$207,3,0),"")</f>
        <v/>
      </c>
      <c r="AD14" s="226" t="str">
        <f t="shared" ca="1" si="0"/>
        <v>1. FC Riedwald</v>
      </c>
      <c r="AG14" s="434" t="s">
        <v>206</v>
      </c>
      <c r="AH14" s="435" t="str">
        <f>IF(Planung!$C11="","",Planung!$C11)</f>
        <v>Eintracht Frankfurt</v>
      </c>
      <c r="AI14" s="436"/>
    </row>
    <row r="15" spans="1:35" ht="24" customHeight="1" x14ac:dyDescent="0.2">
      <c r="B15" s="677">
        <f ca="1">Planung!$E9</f>
        <v>4</v>
      </c>
      <c r="C15" s="691">
        <f ca="1">Planung!$F9</f>
        <v>0.375</v>
      </c>
      <c r="D15" s="692">
        <f ca="1">Planung!$G9</f>
        <v>4</v>
      </c>
      <c r="E15" s="692" t="str">
        <f ca="1">Planung!$H9</f>
        <v>D</v>
      </c>
      <c r="F15" s="678" t="str">
        <f ca="1">Planung!$L9</f>
        <v>SV Oberredenburg</v>
      </c>
      <c r="G15" s="220" t="s">
        <v>5</v>
      </c>
      <c r="H15" s="679" t="str">
        <f ca="1">Planung!$N9</f>
        <v>Paris St. Germain</v>
      </c>
      <c r="I15" s="680">
        <v>2</v>
      </c>
      <c r="J15" s="681" t="str">
        <f>Sprache!$E$111</f>
        <v>:</v>
      </c>
      <c r="K15" s="682">
        <v>5</v>
      </c>
      <c r="M15" s="372">
        <f ca="1">IF(Calc1!$K$13=0,"",IF(VLOOKUP(Calc1!B7,Calc1!$C$4:$E$12,3,0)=MAX(M$12:M14),VLOOKUP(Calc1!B7,Calc1!$C$4:$E$12,3,0),Calc1!B7))</f>
        <v>4</v>
      </c>
      <c r="N15" s="373" t="str">
        <f ca="1">IF(Calc1!$F$14&lt;3,"",IF(Calc1!$K$13=0,Calc1!$Q67,VLOOKUP(Calc1!B7,Calc1!$C$4:$N$12,4,0)))</f>
        <v>VFB Essenheim</v>
      </c>
      <c r="O15" s="217">
        <f ca="1">IF(Calc1!$K$13=0,"",VLOOKUP(Calc1!B7,Calc1!$C$4:$N$12,9,0))</f>
        <v>4</v>
      </c>
      <c r="P15" s="198">
        <f ca="1">IF(Calc1!$K$13=0,"",VLOOKUP(Calc1!B7,Calc1!$C$4:$N$12,10,0))</f>
        <v>1</v>
      </c>
      <c r="Q15" s="198">
        <f ca="1">IF(Calc1!$K$13=0,"",VLOOKUP(Calc1!B7,Calc1!$C$4:$N$12,11,0))</f>
        <v>0</v>
      </c>
      <c r="R15" s="218">
        <f ca="1">IF(Calc1!$K$13=0,"",VLOOKUP(Calc1!B7,Calc1!$C$4:$N$12,12,0))</f>
        <v>3</v>
      </c>
      <c r="S15" s="219">
        <f ca="1">IF(Calc1!$K$13=0,"",VLOOKUP(Calc1!B7,Calc1!$C$4:$N$12,5,0))</f>
        <v>10</v>
      </c>
      <c r="T15" s="220" t="str">
        <f>Sprache!$E$111</f>
        <v>:</v>
      </c>
      <c r="U15" s="221">
        <f ca="1">IF(Calc1!$K$13=0,"",VLOOKUP(Calc1!B7,Calc1!$C$4:$N$12,6,0))</f>
        <v>17</v>
      </c>
      <c r="V15" s="217">
        <f ca="1">IF(Calc1!$K$13=0,"",VLOOKUP(Calc1!B7,Calc1!$C$4:$N$12,7,0))</f>
        <v>-7</v>
      </c>
      <c r="W15" s="222">
        <f ca="1">IF(Calc1!$K$13=0,"",VLOOKUP(Calc1!B7,Calc1!$C$4:$N$12,8,0))</f>
        <v>3</v>
      </c>
      <c r="X15" s="223" t="str">
        <f ca="1">IFERROR(VLOOKUP($N15&amp;X$11,Calc1!$Z$64:$AB$207,3,0),"")</f>
        <v>2:6</v>
      </c>
      <c r="Y15" s="402" t="str">
        <f ca="1">IFERROR(VLOOKUP($N15&amp;Y$11,Calc1!$Z$64:$AB$207,3,0),"")</f>
        <v>2:3</v>
      </c>
      <c r="Z15" s="198" t="str">
        <f ca="1">IFERROR(VLOOKUP($N15&amp;Z$11,Calc1!$Z$64:$AB$207,3,0),"")</f>
        <v>1:5</v>
      </c>
      <c r="AA15" s="224"/>
      <c r="AB15" s="198" t="str">
        <f ca="1">IFERROR(VLOOKUP($N15&amp;AB$11,Calc1!$Z$64:$AB$207,3,0),"")</f>
        <v>5:3</v>
      </c>
      <c r="AC15" s="225" t="str">
        <f ca="1">IFERROR(VLOOKUP($N15&amp;AC$11,Calc1!$Z$64:$AB$207,3,0),"")</f>
        <v/>
      </c>
      <c r="AD15" s="226" t="str">
        <f t="shared" ca="1" si="0"/>
        <v>VFB Essenheim</v>
      </c>
      <c r="AG15" s="434" t="s">
        <v>212</v>
      </c>
      <c r="AH15" s="435" t="str">
        <f>IF(Planung!$C13="","",Planung!$C13)</f>
        <v>Maibach 1822 eV</v>
      </c>
      <c r="AI15" s="436"/>
    </row>
    <row r="16" spans="1:35" ht="24" customHeight="1" x14ac:dyDescent="0.2">
      <c r="B16" s="677">
        <f ca="1">Planung!$E10</f>
        <v>5</v>
      </c>
      <c r="C16" s="691">
        <f ca="1">Planung!$F10</f>
        <v>0.39930555555555558</v>
      </c>
      <c r="D16" s="692">
        <f ca="1">Planung!$G10</f>
        <v>1</v>
      </c>
      <c r="E16" s="692" t="str">
        <f ca="1">Planung!$H10</f>
        <v>A</v>
      </c>
      <c r="F16" s="678" t="str">
        <f ca="1">Planung!$L10</f>
        <v>Eintracht Frankfurt</v>
      </c>
      <c r="G16" s="220" t="s">
        <v>5</v>
      </c>
      <c r="H16" s="679" t="str">
        <f ca="1">Planung!$N10</f>
        <v>Maibach 1822 eV</v>
      </c>
      <c r="I16" s="680">
        <v>3</v>
      </c>
      <c r="J16" s="681" t="str">
        <f>Sprache!$E$111</f>
        <v>:</v>
      </c>
      <c r="K16" s="682">
        <v>2</v>
      </c>
      <c r="M16" s="372">
        <f ca="1">IF(Calc1!$K$13=0,"",IF(VLOOKUP(Calc1!B8,Calc1!$C$4:$E$12,3,0)=MAX(M$12:M15),VLOOKUP(Calc1!B8,Calc1!$C$4:$E$12,3,0),Calc1!B8))</f>
        <v>5</v>
      </c>
      <c r="N16" s="373" t="str">
        <f ca="1">IF(Calc1!$F$14&lt;3,"",IF(Calc1!$K$13=0,Calc1!$Q68,VLOOKUP(Calc1!B8,Calc1!$C$4:$N$12,4,0)))</f>
        <v>Maibach 1822 eV</v>
      </c>
      <c r="O16" s="217">
        <f ca="1">IF(Calc1!$K$13=0,"",VLOOKUP(Calc1!B8,Calc1!$C$4:$N$12,9,0))</f>
        <v>4</v>
      </c>
      <c r="P16" s="198">
        <f ca="1">IF(Calc1!$K$13=0,"",VLOOKUP(Calc1!B8,Calc1!$C$4:$N$12,10,0))</f>
        <v>0</v>
      </c>
      <c r="Q16" s="198">
        <f ca="1">IF(Calc1!$K$13=0,"",VLOOKUP(Calc1!B8,Calc1!$C$4:$N$12,11,0))</f>
        <v>1</v>
      </c>
      <c r="R16" s="218">
        <f ca="1">IF(Calc1!$K$13=0,"",VLOOKUP(Calc1!B8,Calc1!$C$4:$N$12,12,0))</f>
        <v>3</v>
      </c>
      <c r="S16" s="219">
        <f ca="1">IF(Calc1!$K$13=0,"",VLOOKUP(Calc1!B8,Calc1!$C$4:$N$12,5,0))</f>
        <v>8</v>
      </c>
      <c r="T16" s="220" t="str">
        <f>Sprache!$E$111</f>
        <v>:</v>
      </c>
      <c r="U16" s="221">
        <f ca="1">IF(Calc1!$K$13=0,"",VLOOKUP(Calc1!B8,Calc1!$C$4:$N$12,6,0))</f>
        <v>13</v>
      </c>
      <c r="V16" s="217">
        <f ca="1">IF(Calc1!$K$13=0,"",VLOOKUP(Calc1!B8,Calc1!$C$4:$N$12,7,0))</f>
        <v>-5</v>
      </c>
      <c r="W16" s="222">
        <f ca="1">IF(Calc1!$K$13=0,"",VLOOKUP(Calc1!B8,Calc1!$C$4:$N$12,8,0))</f>
        <v>1</v>
      </c>
      <c r="X16" s="223" t="str">
        <f ca="1">IFERROR(VLOOKUP($N16&amp;X$11,Calc1!$Z$64:$AB$207,3,0),"")</f>
        <v>1:3</v>
      </c>
      <c r="Y16" s="402" t="str">
        <f ca="1">IFERROR(VLOOKUP($N16&amp;Y$11,Calc1!$Z$64:$AB$207,3,0),"")</f>
        <v>2:3</v>
      </c>
      <c r="Z16" s="198" t="str">
        <f ca="1">IFERROR(VLOOKUP($N16&amp;Z$11,Calc1!$Z$64:$AB$207,3,0),"")</f>
        <v>2:2</v>
      </c>
      <c r="AA16" s="198" t="str">
        <f ca="1">IFERROR(VLOOKUP($N16&amp;AA$11,Calc1!$Z$64:$AB$207,3,0),"")</f>
        <v>3:5</v>
      </c>
      <c r="AB16" s="224"/>
      <c r="AC16" s="225" t="str">
        <f ca="1">IFERROR(VLOOKUP($N16&amp;AC$11,Calc1!$Z$64:$AB$207,3,0),"")</f>
        <v/>
      </c>
      <c r="AD16" s="226" t="str">
        <f t="shared" ca="1" si="0"/>
        <v>Maibach 1822 eV</v>
      </c>
      <c r="AG16" s="434" t="s">
        <v>214</v>
      </c>
      <c r="AH16" s="435" t="str">
        <f>IF(Planung!$C15="","",Planung!$C15)</f>
        <v>VFB Essenheim</v>
      </c>
      <c r="AI16" s="436"/>
    </row>
    <row r="17" spans="2:35" ht="24" customHeight="1" thickBot="1" x14ac:dyDescent="0.25">
      <c r="B17" s="677">
        <f ca="1">Planung!$E11</f>
        <v>6</v>
      </c>
      <c r="C17" s="691">
        <f ca="1">Planung!$F11</f>
        <v>0.39930555555555558</v>
      </c>
      <c r="D17" s="692">
        <f ca="1">Planung!$G11</f>
        <v>2</v>
      </c>
      <c r="E17" s="692" t="str">
        <f ca="1">Planung!$H11</f>
        <v>B</v>
      </c>
      <c r="F17" s="678" t="str">
        <f ca="1">Planung!$L11</f>
        <v>SSV Wildbach</v>
      </c>
      <c r="G17" s="220" t="s">
        <v>5</v>
      </c>
      <c r="H17" s="679" t="str">
        <f ca="1">Planung!$N11</f>
        <v>Manchester City</v>
      </c>
      <c r="I17" s="680">
        <v>0</v>
      </c>
      <c r="J17" s="681" t="str">
        <f>Sprache!$E$111</f>
        <v>:</v>
      </c>
      <c r="K17" s="682">
        <v>5</v>
      </c>
      <c r="M17" s="374">
        <f ca="1">IF(Calc1!$K$13=0,"",IF(VLOOKUP(Calc1!B9,Calc1!$C$4:$E$12,3,0)=MAX(M$12:M16),VLOOKUP(Calc1!B9,Calc1!$C$4:$E$12,3,0),Calc1!B9))</f>
        <v>6</v>
      </c>
      <c r="N17" s="375" t="str">
        <f ca="1">IF(Calc1!$F$14&lt;3,"",IF(Calc1!$K$13=0,Calc1!$Q69,VLOOKUP(Calc1!B9,Calc1!$C$4:$N$12,4,0)))</f>
        <v/>
      </c>
      <c r="O17" s="227">
        <f ca="1">IF(Calc1!$K$13=0,"",VLOOKUP(Calc1!B9,Calc1!$C$4:$N$12,9,0))</f>
        <v>0</v>
      </c>
      <c r="P17" s="228">
        <f ca="1">IF(Calc1!$K$13=0,"",VLOOKUP(Calc1!B9,Calc1!$C$4:$N$12,10,0))</f>
        <v>0</v>
      </c>
      <c r="Q17" s="228">
        <f ca="1">IF(Calc1!$K$13=0,"",VLOOKUP(Calc1!B9,Calc1!$C$4:$N$12,11,0))</f>
        <v>0</v>
      </c>
      <c r="R17" s="229">
        <f ca="1">IF(Calc1!$K$13=0,"",VLOOKUP(Calc1!B9,Calc1!$C$4:$N$12,12,0))</f>
        <v>0</v>
      </c>
      <c r="S17" s="230">
        <f ca="1">IF(Calc1!$K$13=0,"",VLOOKUP(Calc1!B9,Calc1!$C$4:$N$12,5,0))</f>
        <v>0</v>
      </c>
      <c r="T17" s="231" t="str">
        <f>Sprache!$E$111</f>
        <v>:</v>
      </c>
      <c r="U17" s="232">
        <f ca="1">IF(Calc1!$K$13=0,"",VLOOKUP(Calc1!B9,Calc1!$C$4:$N$12,6,0))</f>
        <v>0</v>
      </c>
      <c r="V17" s="227">
        <f ca="1">IF(Calc1!$K$13=0,"",VLOOKUP(Calc1!B9,Calc1!$C$4:$N$12,7,0))</f>
        <v>0</v>
      </c>
      <c r="W17" s="233">
        <f ca="1">IF(Calc1!$K$13=0,"",VLOOKUP(Calc1!B9,Calc1!$C$4:$N$12,8,0))</f>
        <v>0</v>
      </c>
      <c r="X17" s="234" t="str">
        <f ca="1">IFERROR(VLOOKUP($N17&amp;X$11,Calc1!$Z$64:$AB$207,3,0),"")</f>
        <v/>
      </c>
      <c r="Y17" s="228" t="str">
        <f ca="1">IFERROR(VLOOKUP($N17&amp;Y$11,Calc1!$Z$64:$AB$207,3,0),"")</f>
        <v/>
      </c>
      <c r="Z17" s="228" t="str">
        <f ca="1">IFERROR(VLOOKUP($N17&amp;Z$11,Calc1!$Z$64:$AB$207,3,0),"")</f>
        <v/>
      </c>
      <c r="AA17" s="228" t="str">
        <f ca="1">IFERROR(VLOOKUP($N17&amp;AA$11,Calc1!$Z$64:$AB$207,3,0),"")</f>
        <v/>
      </c>
      <c r="AB17" s="228" t="str">
        <f ca="1">IFERROR(VLOOKUP($N17&amp;AB$11,Calc1!$Z$64:$AB$207,3,0),"")</f>
        <v/>
      </c>
      <c r="AC17" s="235"/>
      <c r="AD17" s="306" t="str">
        <f t="shared" ca="1" si="0"/>
        <v/>
      </c>
      <c r="AG17" s="437" t="s">
        <v>216</v>
      </c>
      <c r="AH17" s="438" t="str">
        <f>IF(Planung!$C17="","",Planung!$C17)</f>
        <v/>
      </c>
      <c r="AI17" s="439"/>
    </row>
    <row r="18" spans="2:35" ht="24" customHeight="1" thickTop="1" x14ac:dyDescent="0.2">
      <c r="B18" s="677">
        <f ca="1">Planung!$E12</f>
        <v>7</v>
      </c>
      <c r="C18" s="691">
        <f ca="1">Planung!$F12</f>
        <v>0.39930555555555558</v>
      </c>
      <c r="D18" s="692">
        <f ca="1">Planung!$G12</f>
        <v>3</v>
      </c>
      <c r="E18" s="692" t="str">
        <f ca="1">Planung!$H12</f>
        <v>C</v>
      </c>
      <c r="F18" s="678" t="str">
        <f ca="1">Planung!$L12</f>
        <v>Borussia Dortmund</v>
      </c>
      <c r="G18" s="220" t="s">
        <v>5</v>
      </c>
      <c r="H18" s="679" t="str">
        <f ca="1">Planung!$N12</f>
        <v>FSV Rauen</v>
      </c>
      <c r="I18" s="680">
        <v>3</v>
      </c>
      <c r="J18" s="681" t="str">
        <f>Sprache!$E$111</f>
        <v>:</v>
      </c>
      <c r="K18" s="682">
        <v>1</v>
      </c>
      <c r="M18" s="305"/>
      <c r="N18" s="281"/>
      <c r="O18" s="282"/>
      <c r="P18" s="282"/>
      <c r="Q18" s="282"/>
      <c r="R18" s="282"/>
      <c r="S18" s="283"/>
      <c r="T18" s="282"/>
      <c r="U18" s="281"/>
      <c r="V18" s="282"/>
      <c r="W18" s="284"/>
      <c r="X18" s="282"/>
      <c r="Y18" s="282"/>
      <c r="Z18" s="282"/>
      <c r="AA18" s="282"/>
      <c r="AB18" s="282"/>
      <c r="AC18" s="282"/>
      <c r="AD18" s="281"/>
      <c r="AG18" s="305"/>
      <c r="AH18" s="281"/>
    </row>
    <row r="19" spans="2:35" ht="24" customHeight="1" thickBot="1" x14ac:dyDescent="0.25">
      <c r="B19" s="677">
        <f ca="1">Planung!$E13</f>
        <v>8</v>
      </c>
      <c r="C19" s="691">
        <f ca="1">Planung!$F13</f>
        <v>0.39930555555555558</v>
      </c>
      <c r="D19" s="692">
        <f ca="1">Planung!$G13</f>
        <v>4</v>
      </c>
      <c r="E19" s="692" t="str">
        <f ca="1">Planung!$H13</f>
        <v>D</v>
      </c>
      <c r="F19" s="678" t="str">
        <f ca="1">Planung!$L13</f>
        <v>HSV</v>
      </c>
      <c r="G19" s="220" t="s">
        <v>5</v>
      </c>
      <c r="H19" s="679" t="str">
        <f ca="1">Planung!$N13</f>
        <v>RB Leipzig</v>
      </c>
      <c r="I19" s="680">
        <v>2</v>
      </c>
      <c r="J19" s="681" t="str">
        <f>Sprache!$E$111</f>
        <v>:</v>
      </c>
      <c r="K19" s="682">
        <v>2</v>
      </c>
      <c r="X19" s="290"/>
      <c r="Y19" s="290"/>
      <c r="Z19" s="290"/>
      <c r="AA19" s="290"/>
      <c r="AB19" s="290"/>
      <c r="AC19" s="290"/>
    </row>
    <row r="20" spans="2:35" ht="24" customHeight="1" thickBot="1" x14ac:dyDescent="0.45">
      <c r="B20" s="677">
        <f ca="1">Planung!$E14</f>
        <v>9</v>
      </c>
      <c r="C20" s="691">
        <f ca="1">Planung!$F14</f>
        <v>0.4236111111111111</v>
      </c>
      <c r="D20" s="692">
        <f ca="1">Planung!$G14</f>
        <v>1</v>
      </c>
      <c r="E20" s="692" t="str">
        <f ca="1">Planung!$H14</f>
        <v>A</v>
      </c>
      <c r="F20" s="678" t="str">
        <f ca="1">Planung!$L14</f>
        <v>VFB Essenheim</v>
      </c>
      <c r="G20" s="220" t="s">
        <v>5</v>
      </c>
      <c r="H20" s="679" t="str">
        <f ca="1">Planung!$N14</f>
        <v>1. FC Riedwald</v>
      </c>
      <c r="I20" s="680">
        <v>1</v>
      </c>
      <c r="J20" s="681" t="str">
        <f>Sprache!$E$111</f>
        <v>:</v>
      </c>
      <c r="K20" s="682">
        <v>5</v>
      </c>
      <c r="M20" s="796" t="str">
        <f>Sprache!$E$16&amp;" B"</f>
        <v>Gruppe B</v>
      </c>
      <c r="N20" s="796"/>
      <c r="O20" s="199"/>
      <c r="P20" s="199"/>
      <c r="Q20" s="199"/>
      <c r="R20" s="199"/>
      <c r="S20" s="199"/>
      <c r="T20" s="199"/>
      <c r="U20" s="199"/>
      <c r="V20" s="199"/>
      <c r="W20" s="199"/>
      <c r="X20" s="287" t="str">
        <f ca="1">IF(LEN(N22)&gt;Einstellungen!$C$17,LEFT(N22,Einstellungen!$C$17)&amp;".",N22)</f>
        <v>Manches.</v>
      </c>
      <c r="Y20" s="288" t="str">
        <f ca="1">IF(LEN(N23)&gt;Einstellungen!$C$17,LEFT(N23,Einstellungen!$C$17)&amp;".",N23)</f>
        <v>Inter M.</v>
      </c>
      <c r="Z20" s="288" t="str">
        <f ca="1">IF(LEN(N24)&gt;Einstellungen!$C$17,LEFT(N24,Einstellungen!$C$17)&amp;".",N24)</f>
        <v>Mainz 0.</v>
      </c>
      <c r="AA20" s="288" t="str">
        <f ca="1">IF(LEN(N25)&gt;Einstellungen!$C$17,LEFT(N25,Einstellungen!$C$17)&amp;".",N25)</f>
        <v>FC Grön.</v>
      </c>
      <c r="AB20" s="288" t="str">
        <f ca="1">IF(LEN(N26)&gt;Einstellungen!$C$17,LEFT(N26,Einstellungen!$C$17)&amp;".",N26)</f>
        <v>SSV Wil.</v>
      </c>
      <c r="AC20" s="289" t="str">
        <f ca="1">IF(LEN(N27)&gt;Einstellungen!$C$17,LEFT(N27,Einstellungen!$C$17)&amp;".",N27)</f>
        <v/>
      </c>
      <c r="AD20" s="200"/>
      <c r="AG20" s="796" t="str">
        <f>Sprache!$E$16&amp;" B"</f>
        <v>Gruppe B</v>
      </c>
      <c r="AH20" s="796"/>
    </row>
    <row r="21" spans="2:35" ht="24" customHeight="1" thickTop="1" thickBot="1" x14ac:dyDescent="0.25">
      <c r="B21" s="677">
        <f ca="1">Planung!$E15</f>
        <v>10</v>
      </c>
      <c r="C21" s="691">
        <f ca="1">Planung!$F15</f>
        <v>0.4236111111111111</v>
      </c>
      <c r="D21" s="692">
        <f ca="1">Planung!$G15</f>
        <v>2</v>
      </c>
      <c r="E21" s="692" t="str">
        <f ca="1">Planung!$H15</f>
        <v>B</v>
      </c>
      <c r="F21" s="678" t="str">
        <f ca="1">Planung!$L15</f>
        <v>FC Grönlingen</v>
      </c>
      <c r="G21" s="220" t="s">
        <v>5</v>
      </c>
      <c r="H21" s="679" t="str">
        <f ca="1">Planung!$N15</f>
        <v>Mainz 05</v>
      </c>
      <c r="I21" s="680">
        <v>0</v>
      </c>
      <c r="J21" s="681" t="str">
        <f>Sprache!$E$111</f>
        <v>:</v>
      </c>
      <c r="K21" s="682">
        <v>1</v>
      </c>
      <c r="M21" s="794"/>
      <c r="N21" s="795"/>
      <c r="O21" s="201" t="str">
        <f>Sprache!$E$21</f>
        <v>SP</v>
      </c>
      <c r="P21" s="202" t="str">
        <f>Sprache!$E$22</f>
        <v>G</v>
      </c>
      <c r="Q21" s="202" t="str">
        <f>Sprache!$E$23</f>
        <v>U</v>
      </c>
      <c r="R21" s="275" t="str">
        <f>Sprache!$E$24</f>
        <v>V</v>
      </c>
      <c r="S21" s="791" t="str">
        <f>Sprache!$E$25</f>
        <v>Tore</v>
      </c>
      <c r="T21" s="792"/>
      <c r="U21" s="793"/>
      <c r="V21" s="202" t="str">
        <f>Sprache!$E$26</f>
        <v>Diff.</v>
      </c>
      <c r="W21" s="204" t="str">
        <f>Sprache!$E$27</f>
        <v>Pkt</v>
      </c>
      <c r="X21" s="205" t="str">
        <f ca="1">N22</f>
        <v>Manchester City</v>
      </c>
      <c r="Y21" s="206" t="str">
        <f ca="1">N23</f>
        <v>Inter Mailand</v>
      </c>
      <c r="Z21" s="206" t="str">
        <f ca="1">N24</f>
        <v>Mainz 05</v>
      </c>
      <c r="AA21" s="206" t="str">
        <f ca="1">N25</f>
        <v>FC Grönlingen</v>
      </c>
      <c r="AB21" s="206" t="str">
        <f ca="1">N26</f>
        <v>SSV Wildbach</v>
      </c>
      <c r="AC21" s="635" t="str">
        <f ca="1">N27</f>
        <v/>
      </c>
      <c r="AD21" s="200"/>
      <c r="AG21" s="428" t="str">
        <f>Sprache!$E$9</f>
        <v>Nr.</v>
      </c>
      <c r="AH21" s="429" t="str">
        <f>Sprache!$E$10</f>
        <v>Teilnehmer bzw. Mannschaft</v>
      </c>
      <c r="AI21" s="430" t="str">
        <f>Sprache!$E$49</f>
        <v>Bonus</v>
      </c>
    </row>
    <row r="22" spans="2:35" ht="24" customHeight="1" x14ac:dyDescent="0.2">
      <c r="B22" s="677">
        <f ca="1">Planung!$E16</f>
        <v>11</v>
      </c>
      <c r="C22" s="691">
        <f ca="1">Planung!$F16</f>
        <v>0.4236111111111111</v>
      </c>
      <c r="D22" s="692">
        <f ca="1">Planung!$G16</f>
        <v>3</v>
      </c>
      <c r="E22" s="692" t="str">
        <f ca="1">Planung!$H16</f>
        <v>C</v>
      </c>
      <c r="F22" s="678" t="str">
        <f ca="1">Planung!$L16</f>
        <v>1. FC Nürnberg</v>
      </c>
      <c r="G22" s="220" t="s">
        <v>5</v>
      </c>
      <c r="H22" s="679" t="str">
        <f ca="1">Planung!$N16</f>
        <v>Kickers Rodendorf</v>
      </c>
      <c r="I22" s="680">
        <v>5</v>
      </c>
      <c r="J22" s="681" t="str">
        <f>Sprache!$E$111</f>
        <v>:</v>
      </c>
      <c r="K22" s="682">
        <v>3</v>
      </c>
      <c r="M22" s="370">
        <f ca="1">IF(Calc2!$K$13=0,"",1)</f>
        <v>1</v>
      </c>
      <c r="N22" s="371" t="str">
        <f ca="1">IF(Calc1!$F$14&lt;3,"",IF(Calc2!$K$13=0,Calc2!$Q64,VLOOKUP(Calc2!B4,Calc2!$C$4:$N$12,4,0)))</f>
        <v>Manchester City</v>
      </c>
      <c r="O22" s="207">
        <f ca="1">IF(Calc2!$K$13=0,"",VLOOKUP(Calc2!B4,Calc2!$C$4:$N$12,9,0))</f>
        <v>4</v>
      </c>
      <c r="P22" s="208">
        <f ca="1">IF(Calc2!$K$13=0,"",VLOOKUP(Calc2!B4,Calc2!$C$4:$N$12,10,0))</f>
        <v>3</v>
      </c>
      <c r="Q22" s="208">
        <f ca="1">IF(Calc2!$K$13=0,"",VLOOKUP(Calc2!B4,Calc2!$C$4:$N$12,11,0))</f>
        <v>1</v>
      </c>
      <c r="R22" s="209">
        <f ca="1">IF(Calc2!$K$13=0,"",VLOOKUP(Calc2!B4,Calc2!$C$4:$N$12,12,0))</f>
        <v>0</v>
      </c>
      <c r="S22" s="210">
        <f ca="1">IF(Calc2!$K$13=0,"",VLOOKUP(Calc2!B4,Calc2!$C$4:$N$12,5,0))</f>
        <v>12</v>
      </c>
      <c r="T22" s="211" t="str">
        <f>Sprache!$E$111</f>
        <v>:</v>
      </c>
      <c r="U22" s="212">
        <f ca="1">IF(Calc2!$K$13=0,"",VLOOKUP(Calc2!B4,Calc2!$C$4:$N$12,6,0))</f>
        <v>4</v>
      </c>
      <c r="V22" s="207">
        <f ca="1">IF(Calc2!$K$13=0,"",VLOOKUP(Calc2!B4,Calc2!$C$4:$N$12,7,0))</f>
        <v>8</v>
      </c>
      <c r="W22" s="213">
        <f ca="1">IF(Calc2!$K$13=0,"",VLOOKUP(Calc2!B4,Calc2!$C$4:$N$12,8,0))</f>
        <v>10</v>
      </c>
      <c r="X22" s="214"/>
      <c r="Y22" s="208" t="str">
        <f ca="1">IFERROR(VLOOKUP($N22&amp;Y$21,Calc2!$Z$64:$AB$207,3,0),"")</f>
        <v>2:2</v>
      </c>
      <c r="Z22" s="208" t="str">
        <f ca="1">IFERROR(VLOOKUP($N22&amp;Z$21,Calc2!$Z$64:$AB$207,3,0),"")</f>
        <v>1:0</v>
      </c>
      <c r="AA22" s="208" t="str">
        <f ca="1">IFERROR(VLOOKUP($N22&amp;AA$21,Calc2!$Z$64:$AB$207,3,0),"")</f>
        <v>4:2</v>
      </c>
      <c r="AB22" s="208" t="str">
        <f ca="1">IFERROR(VLOOKUP($N22&amp;AB$21,Calc2!$Z$64:$AB$207,3,0),"")</f>
        <v>5:0</v>
      </c>
      <c r="AC22" s="215" t="str">
        <f ca="1">IFERROR(VLOOKUP($N22&amp;AC$21,Calc2!$Z$64:$AB$207,3,0),"")</f>
        <v/>
      </c>
      <c r="AD22" s="216" t="str">
        <f t="shared" ref="AD22:AD27" ca="1" si="1">N22</f>
        <v>Manchester City</v>
      </c>
      <c r="AG22" s="431" t="s">
        <v>209</v>
      </c>
      <c r="AH22" s="432" t="str">
        <f>IF(Planung!$C24="","",Planung!$C24)</f>
        <v>Mainz 05</v>
      </c>
      <c r="AI22" s="433"/>
    </row>
    <row r="23" spans="2:35" ht="24" customHeight="1" x14ac:dyDescent="0.2">
      <c r="B23" s="677">
        <f ca="1">Planung!$E17</f>
        <v>12</v>
      </c>
      <c r="C23" s="691">
        <f ca="1">Planung!$F17</f>
        <v>0.4236111111111111</v>
      </c>
      <c r="D23" s="692">
        <f ca="1">Planung!$G17</f>
        <v>4</v>
      </c>
      <c r="E23" s="692" t="str">
        <f ca="1">Planung!$H17</f>
        <v>D</v>
      </c>
      <c r="F23" s="678" t="str">
        <f ca="1">Planung!$L17</f>
        <v>SV Oberredenburg</v>
      </c>
      <c r="G23" s="220" t="s">
        <v>5</v>
      </c>
      <c r="H23" s="679" t="str">
        <f ca="1">Planung!$N17</f>
        <v>TSG Saalberg eV</v>
      </c>
      <c r="I23" s="680">
        <v>3</v>
      </c>
      <c r="J23" s="681" t="str">
        <f>Sprache!$E$111</f>
        <v>:</v>
      </c>
      <c r="K23" s="682">
        <v>2</v>
      </c>
      <c r="M23" s="372">
        <f ca="1">IF(Calc2!$K$13=0,"",IF(VLOOKUP(Calc2!B5,Calc2!$C$4:$E$12,3,0)=MAX(M$22:M22),VLOOKUP(Calc2!B5,Calc2!$C$4:$E$12,3,0),Calc2!B5))</f>
        <v>2</v>
      </c>
      <c r="N23" s="373" t="str">
        <f ca="1">IF(Calc1!$F$14&lt;3,"",IF(Calc2!$K$13=0,Calc2!$Q65,VLOOKUP(Calc2!B5,Calc2!$C$4:$N$12,4,0)))</f>
        <v>Inter Mailand</v>
      </c>
      <c r="O23" s="217">
        <f ca="1">IF(Calc2!$K$13=0,"",VLOOKUP(Calc2!B5,Calc2!$C$4:$N$12,9,0))</f>
        <v>4</v>
      </c>
      <c r="P23" s="198">
        <f ca="1">IF(Calc2!$K$13=0,"",VLOOKUP(Calc2!B5,Calc2!$C$4:$N$12,10,0))</f>
        <v>3</v>
      </c>
      <c r="Q23" s="198">
        <f ca="1">IF(Calc2!$K$13=0,"",VLOOKUP(Calc2!B5,Calc2!$C$4:$N$12,11,0))</f>
        <v>1</v>
      </c>
      <c r="R23" s="218">
        <f ca="1">IF(Calc2!$K$13=0,"",VLOOKUP(Calc2!B5,Calc2!$C$4:$N$12,12,0))</f>
        <v>0</v>
      </c>
      <c r="S23" s="219">
        <f ca="1">IF(Calc2!$K$13=0,"",VLOOKUP(Calc2!B5,Calc2!$C$4:$N$12,5,0))</f>
        <v>13</v>
      </c>
      <c r="T23" s="220" t="str">
        <f>Sprache!$E$111</f>
        <v>:</v>
      </c>
      <c r="U23" s="221">
        <f ca="1">IF(Calc2!$K$13=0,"",VLOOKUP(Calc2!B5,Calc2!$C$4:$N$12,6,0))</f>
        <v>6</v>
      </c>
      <c r="V23" s="217">
        <f ca="1">IF(Calc2!$K$13=0,"",VLOOKUP(Calc2!B5,Calc2!$C$4:$N$12,7,0))</f>
        <v>7</v>
      </c>
      <c r="W23" s="222">
        <f ca="1">IF(Calc2!$K$13=0,"",VLOOKUP(Calc2!B5,Calc2!$C$4:$N$12,8,0))</f>
        <v>10</v>
      </c>
      <c r="X23" s="223" t="str">
        <f ca="1">IFERROR(VLOOKUP($N23&amp;X$21,Calc2!$Z$64:$AB$207,3,0),"")</f>
        <v>2:2</v>
      </c>
      <c r="Y23" s="224"/>
      <c r="Z23" s="198" t="str">
        <f ca="1">IFERROR(VLOOKUP($N23&amp;Z$21,Calc2!$Z$64:$AB$207,3,0),"")</f>
        <v>3:2</v>
      </c>
      <c r="AA23" s="198" t="str">
        <f ca="1">IFERROR(VLOOKUP($N23&amp;AA$21,Calc2!$Z$64:$AB$207,3,0),"")</f>
        <v>4:2</v>
      </c>
      <c r="AB23" s="198" t="str">
        <f ca="1">IFERROR(VLOOKUP($N23&amp;AB$21,Calc2!$Z$64:$AB$207,3,0),"")</f>
        <v>4:0</v>
      </c>
      <c r="AC23" s="225" t="str">
        <f ca="1">IFERROR(VLOOKUP($N23&amp;AC$21,Calc2!$Z$64:$AB$207,3,0),"")</f>
        <v/>
      </c>
      <c r="AD23" s="226" t="str">
        <f t="shared" ca="1" si="1"/>
        <v>Inter Mailand</v>
      </c>
      <c r="AG23" s="434" t="s">
        <v>211</v>
      </c>
      <c r="AH23" s="435" t="str">
        <f>IF(Planung!$C26="","",Planung!$C26)</f>
        <v>Inter Mailand</v>
      </c>
      <c r="AI23" s="436"/>
    </row>
    <row r="24" spans="2:35" ht="24" customHeight="1" x14ac:dyDescent="0.2">
      <c r="B24" s="677">
        <f ca="1">Planung!$E18</f>
        <v>13</v>
      </c>
      <c r="C24" s="691">
        <f ca="1">Planung!$F18</f>
        <v>0.44791666666666669</v>
      </c>
      <c r="D24" s="692">
        <f ca="1">Planung!$G18</f>
        <v>1</v>
      </c>
      <c r="E24" s="692" t="str">
        <f ca="1">Planung!$H18</f>
        <v>A</v>
      </c>
      <c r="F24" s="678" t="str">
        <f ca="1">Planung!$L18</f>
        <v>FC Barcelona</v>
      </c>
      <c r="G24" s="220" t="s">
        <v>5</v>
      </c>
      <c r="H24" s="679" t="str">
        <f ca="1">Planung!$N18</f>
        <v>Eintracht Frankfurt</v>
      </c>
      <c r="I24" s="680">
        <v>2</v>
      </c>
      <c r="J24" s="681" t="str">
        <f>Sprache!$E$111</f>
        <v>:</v>
      </c>
      <c r="K24" s="682">
        <v>0</v>
      </c>
      <c r="M24" s="372">
        <f ca="1">IF(Calc2!$K$13=0,"",IF(VLOOKUP(Calc2!B6,Calc2!$C$4:$E$12,3,0)=MAX(M$22:M23),VLOOKUP(Calc2!B6,Calc2!$C$4:$E$12,3,0),Calc2!B6))</f>
        <v>3</v>
      </c>
      <c r="N24" s="373" t="str">
        <f ca="1">IF(Calc1!$F$14&lt;3,"",IF(Calc2!$K$13=0,Calc2!$Q66,VLOOKUP(Calc2!B6,Calc2!$C$4:$N$12,4,0)))</f>
        <v>Mainz 05</v>
      </c>
      <c r="O24" s="217">
        <f ca="1">IF(Calc2!$K$13=0,"",VLOOKUP(Calc2!B6,Calc2!$C$4:$N$12,9,0))</f>
        <v>4</v>
      </c>
      <c r="P24" s="198">
        <f ca="1">IF(Calc2!$K$13=0,"",VLOOKUP(Calc2!B6,Calc2!$C$4:$N$12,10,0))</f>
        <v>1</v>
      </c>
      <c r="Q24" s="198">
        <f ca="1">IF(Calc2!$K$13=0,"",VLOOKUP(Calc2!B6,Calc2!$C$4:$N$12,11,0))</f>
        <v>1</v>
      </c>
      <c r="R24" s="218">
        <f ca="1">IF(Calc2!$K$13=0,"",VLOOKUP(Calc2!B6,Calc2!$C$4:$N$12,12,0))</f>
        <v>2</v>
      </c>
      <c r="S24" s="219">
        <f ca="1">IF(Calc2!$K$13=0,"",VLOOKUP(Calc2!B6,Calc2!$C$4:$N$12,5,0))</f>
        <v>5</v>
      </c>
      <c r="T24" s="220" t="str">
        <f>Sprache!$E$111</f>
        <v>:</v>
      </c>
      <c r="U24" s="221">
        <f ca="1">IF(Calc2!$K$13=0,"",VLOOKUP(Calc2!B6,Calc2!$C$4:$N$12,6,0))</f>
        <v>6</v>
      </c>
      <c r="V24" s="217">
        <f ca="1">IF(Calc2!$K$13=0,"",VLOOKUP(Calc2!B6,Calc2!$C$4:$N$12,7,0))</f>
        <v>-1</v>
      </c>
      <c r="W24" s="222">
        <f ca="1">IF(Calc2!$K$13=0,"",VLOOKUP(Calc2!B6,Calc2!$C$4:$N$12,8,0))</f>
        <v>4</v>
      </c>
      <c r="X24" s="223" t="str">
        <f ca="1">IFERROR(VLOOKUP($N24&amp;X$21,Calc2!$Z$64:$AB$207,3,0),"")</f>
        <v>0:1</v>
      </c>
      <c r="Y24" s="402" t="str">
        <f ca="1">IFERROR(VLOOKUP($N24&amp;Y$21,Calc2!$Z$64:$AB$207,3,0),"")</f>
        <v>2:3</v>
      </c>
      <c r="Z24" s="224"/>
      <c r="AA24" s="198" t="str">
        <f ca="1">IFERROR(VLOOKUP($N24&amp;AA$21,Calc2!$Z$64:$AB$207,3,0),"")</f>
        <v>1:0</v>
      </c>
      <c r="AB24" s="198" t="str">
        <f ca="1">IFERROR(VLOOKUP($N24&amp;AB$21,Calc2!$Z$64:$AB$207,3,0),"")</f>
        <v>2:2</v>
      </c>
      <c r="AC24" s="225" t="str">
        <f ca="1">IFERROR(VLOOKUP($N24&amp;AC$21,Calc2!$Z$64:$AB$207,3,0),"")</f>
        <v/>
      </c>
      <c r="AD24" s="226" t="str">
        <f t="shared" ca="1" si="1"/>
        <v>Mainz 05</v>
      </c>
      <c r="AG24" s="434" t="s">
        <v>207</v>
      </c>
      <c r="AH24" s="435" t="str">
        <f>IF(Planung!$C28="","",Planung!$C28)</f>
        <v>SSV Wildbach</v>
      </c>
      <c r="AI24" s="436"/>
    </row>
    <row r="25" spans="2:35" ht="24" customHeight="1" x14ac:dyDescent="0.2">
      <c r="B25" s="677">
        <f ca="1">Planung!$E19</f>
        <v>14</v>
      </c>
      <c r="C25" s="691">
        <f ca="1">Planung!$F19</f>
        <v>0.44791666666666669</v>
      </c>
      <c r="D25" s="692">
        <f ca="1">Planung!$G19</f>
        <v>2</v>
      </c>
      <c r="E25" s="692" t="str">
        <f ca="1">Planung!$H19</f>
        <v>B</v>
      </c>
      <c r="F25" s="678" t="str">
        <f ca="1">Planung!$L19</f>
        <v>Inter Mailand</v>
      </c>
      <c r="G25" s="220" t="s">
        <v>5</v>
      </c>
      <c r="H25" s="679" t="str">
        <f ca="1">Planung!$N19</f>
        <v>SSV Wildbach</v>
      </c>
      <c r="I25" s="680">
        <v>4</v>
      </c>
      <c r="J25" s="681" t="str">
        <f>Sprache!$E$111</f>
        <v>:</v>
      </c>
      <c r="K25" s="682">
        <v>0</v>
      </c>
      <c r="M25" s="372">
        <f ca="1">IF(Calc2!$K$13=0,"",IF(VLOOKUP(Calc2!B7,Calc2!$C$4:$E$12,3,0)=MAX(M$22:M24),VLOOKUP(Calc2!B7,Calc2!$C$4:$E$12,3,0),Calc2!B7))</f>
        <v>4</v>
      </c>
      <c r="N25" s="373" t="str">
        <f ca="1">IF(Calc1!$F$14&lt;3,"",IF(Calc2!$K$13=0,Calc2!$Q67,VLOOKUP(Calc2!B7,Calc2!$C$4:$N$12,4,0)))</f>
        <v>FC Grönlingen</v>
      </c>
      <c r="O25" s="217">
        <f ca="1">IF(Calc2!$K$13=0,"",VLOOKUP(Calc2!B7,Calc2!$C$4:$N$12,9,0))</f>
        <v>4</v>
      </c>
      <c r="P25" s="198">
        <f ca="1">IF(Calc2!$K$13=0,"",VLOOKUP(Calc2!B7,Calc2!$C$4:$N$12,10,0))</f>
        <v>1</v>
      </c>
      <c r="Q25" s="198">
        <f ca="1">IF(Calc2!$K$13=0,"",VLOOKUP(Calc2!B7,Calc2!$C$4:$N$12,11,0))</f>
        <v>0</v>
      </c>
      <c r="R25" s="218">
        <f ca="1">IF(Calc2!$K$13=0,"",VLOOKUP(Calc2!B7,Calc2!$C$4:$N$12,12,0))</f>
        <v>3</v>
      </c>
      <c r="S25" s="219">
        <f ca="1">IF(Calc2!$K$13=0,"",VLOOKUP(Calc2!B7,Calc2!$C$4:$N$12,5,0))</f>
        <v>8</v>
      </c>
      <c r="T25" s="220" t="str">
        <f>Sprache!$E$111</f>
        <v>:</v>
      </c>
      <c r="U25" s="221">
        <f ca="1">IF(Calc2!$K$13=0,"",VLOOKUP(Calc2!B7,Calc2!$C$4:$N$12,6,0))</f>
        <v>10</v>
      </c>
      <c r="V25" s="217">
        <f ca="1">IF(Calc2!$K$13=0,"",VLOOKUP(Calc2!B7,Calc2!$C$4:$N$12,7,0))</f>
        <v>-2</v>
      </c>
      <c r="W25" s="222">
        <f ca="1">IF(Calc2!$K$13=0,"",VLOOKUP(Calc2!B7,Calc2!$C$4:$N$12,8,0))</f>
        <v>3</v>
      </c>
      <c r="X25" s="223" t="str">
        <f ca="1">IFERROR(VLOOKUP($N25&amp;X$21,Calc2!$Z$64:$AB$207,3,0),"")</f>
        <v>2:4</v>
      </c>
      <c r="Y25" s="402" t="str">
        <f ca="1">IFERROR(VLOOKUP($N25&amp;Y$21,Calc2!$Z$64:$AB$207,3,0),"")</f>
        <v>2:4</v>
      </c>
      <c r="Z25" s="198" t="str">
        <f ca="1">IFERROR(VLOOKUP($N25&amp;Z$21,Calc2!$Z$64:$AB$207,3,0),"")</f>
        <v>0:1</v>
      </c>
      <c r="AA25" s="224"/>
      <c r="AB25" s="198" t="str">
        <f ca="1">IFERROR(VLOOKUP($N25&amp;AB$21,Calc2!$Z$64:$AB$207,3,0),"")</f>
        <v>4:1</v>
      </c>
      <c r="AC25" s="225" t="str">
        <f ca="1">IFERROR(VLOOKUP($N25&amp;AC$21,Calc2!$Z$64:$AB$207,3,0),"")</f>
        <v/>
      </c>
      <c r="AD25" s="226" t="str">
        <f t="shared" ca="1" si="1"/>
        <v>FC Grönlingen</v>
      </c>
      <c r="AG25" s="434" t="s">
        <v>213</v>
      </c>
      <c r="AH25" s="435" t="str">
        <f>IF(Planung!$C30="","",Planung!$C30)</f>
        <v>Manchester City</v>
      </c>
      <c r="AI25" s="436"/>
    </row>
    <row r="26" spans="2:35" ht="24" customHeight="1" x14ac:dyDescent="0.2">
      <c r="B26" s="677">
        <f ca="1">Planung!$E20</f>
        <v>15</v>
      </c>
      <c r="C26" s="691">
        <f ca="1">Planung!$F20</f>
        <v>0.44791666666666669</v>
      </c>
      <c r="D26" s="692">
        <f ca="1">Planung!$G20</f>
        <v>3</v>
      </c>
      <c r="E26" s="692" t="str">
        <f ca="1">Planung!$H20</f>
        <v>C</v>
      </c>
      <c r="F26" s="678" t="str">
        <f ca="1">Planung!$L20</f>
        <v>Real Madrid</v>
      </c>
      <c r="G26" s="220" t="s">
        <v>5</v>
      </c>
      <c r="H26" s="679" t="str">
        <f ca="1">Planung!$N20</f>
        <v>Borussia Dortmund</v>
      </c>
      <c r="I26" s="680">
        <v>0</v>
      </c>
      <c r="J26" s="681" t="str">
        <f>Sprache!$E$111</f>
        <v>:</v>
      </c>
      <c r="K26" s="682">
        <v>1</v>
      </c>
      <c r="M26" s="372">
        <f ca="1">IF(Calc2!$K$13=0,"",IF(VLOOKUP(Calc2!B8,Calc2!$C$4:$E$12,3,0)=MAX(M$22:M25),VLOOKUP(Calc2!B8,Calc2!$C$4:$E$12,3,0),Calc2!B8))</f>
        <v>5</v>
      </c>
      <c r="N26" s="373" t="str">
        <f ca="1">IF(Calc1!$F$14&lt;3,"",IF(Calc2!$K$13=0,Calc2!$Q68,VLOOKUP(Calc2!B8,Calc2!$C$4:$N$12,4,0)))</f>
        <v>SSV Wildbach</v>
      </c>
      <c r="O26" s="217">
        <f ca="1">IF(Calc2!$K$13=0,"",VLOOKUP(Calc2!B8,Calc2!$C$4:$N$12,9,0))</f>
        <v>4</v>
      </c>
      <c r="P26" s="198">
        <f ca="1">IF(Calc2!$K$13=0,"",VLOOKUP(Calc2!B8,Calc2!$C$4:$N$12,10,0))</f>
        <v>0</v>
      </c>
      <c r="Q26" s="198">
        <f ca="1">IF(Calc2!$K$13=0,"",VLOOKUP(Calc2!B8,Calc2!$C$4:$N$12,11,0))</f>
        <v>1</v>
      </c>
      <c r="R26" s="218">
        <f ca="1">IF(Calc2!$K$13=0,"",VLOOKUP(Calc2!B8,Calc2!$C$4:$N$12,12,0))</f>
        <v>3</v>
      </c>
      <c r="S26" s="219">
        <f ca="1">IF(Calc2!$K$13=0,"",VLOOKUP(Calc2!B8,Calc2!$C$4:$N$12,5,0))</f>
        <v>3</v>
      </c>
      <c r="T26" s="220" t="str">
        <f>Sprache!$E$111</f>
        <v>:</v>
      </c>
      <c r="U26" s="221">
        <f ca="1">IF(Calc2!$K$13=0,"",VLOOKUP(Calc2!B8,Calc2!$C$4:$N$12,6,0))</f>
        <v>15</v>
      </c>
      <c r="V26" s="217">
        <f ca="1">IF(Calc2!$K$13=0,"",VLOOKUP(Calc2!B8,Calc2!$C$4:$N$12,7,0))</f>
        <v>-12</v>
      </c>
      <c r="W26" s="222">
        <f ca="1">IF(Calc2!$K$13=0,"",VLOOKUP(Calc2!B8,Calc2!$C$4:$N$12,8,0))</f>
        <v>1</v>
      </c>
      <c r="X26" s="223" t="str">
        <f ca="1">IFERROR(VLOOKUP($N26&amp;X$21,Calc2!$Z$64:$AB$207,3,0),"")</f>
        <v>0:5</v>
      </c>
      <c r="Y26" s="402" t="str">
        <f ca="1">IFERROR(VLOOKUP($N26&amp;Y$21,Calc2!$Z$64:$AB$207,3,0),"")</f>
        <v>0:4</v>
      </c>
      <c r="Z26" s="198" t="str">
        <f ca="1">IFERROR(VLOOKUP($N26&amp;Z$21,Calc2!$Z$64:$AB$207,3,0),"")</f>
        <v>2:2</v>
      </c>
      <c r="AA26" s="198" t="str">
        <f ca="1">IFERROR(VLOOKUP($N26&amp;AA$21,Calc2!$Z$64:$AB$207,3,0),"")</f>
        <v>1:4</v>
      </c>
      <c r="AB26" s="224"/>
      <c r="AC26" s="225" t="str">
        <f ca="1">IFERROR(VLOOKUP($N26&amp;AC$21,Calc2!$Z$64:$AB$207,3,0),"")</f>
        <v/>
      </c>
      <c r="AD26" s="226" t="str">
        <f t="shared" ca="1" si="1"/>
        <v>SSV Wildbach</v>
      </c>
      <c r="AG26" s="434" t="s">
        <v>215</v>
      </c>
      <c r="AH26" s="435" t="str">
        <f>IF(Planung!$C32="","",Planung!$C32)</f>
        <v>FC Grönlingen</v>
      </c>
      <c r="AI26" s="436"/>
    </row>
    <row r="27" spans="2:35" ht="24" customHeight="1" thickBot="1" x14ac:dyDescent="0.25">
      <c r="B27" s="677">
        <f ca="1">Planung!$E21</f>
        <v>16</v>
      </c>
      <c r="C27" s="691">
        <f ca="1">Planung!$F21</f>
        <v>0.44791666666666669</v>
      </c>
      <c r="D27" s="692">
        <f ca="1">Planung!$G21</f>
        <v>4</v>
      </c>
      <c r="E27" s="692" t="str">
        <f ca="1">Planung!$H21</f>
        <v>D</v>
      </c>
      <c r="F27" s="678" t="str">
        <f ca="1">Planung!$L21</f>
        <v>Paris St. Germain</v>
      </c>
      <c r="G27" s="220" t="s">
        <v>5</v>
      </c>
      <c r="H27" s="679" t="str">
        <f ca="1">Planung!$N21</f>
        <v>HSV</v>
      </c>
      <c r="I27" s="680">
        <v>3</v>
      </c>
      <c r="J27" s="681" t="str">
        <f>Sprache!$E$111</f>
        <v>:</v>
      </c>
      <c r="K27" s="682">
        <v>2</v>
      </c>
      <c r="M27" s="374">
        <f ca="1">IF(Calc2!$K$13=0,"",IF(VLOOKUP(Calc2!B9,Calc2!$C$4:$E$12,3,0)=MAX(M$22:M26),VLOOKUP(Calc2!B9,Calc2!$C$4:$E$12,3,0),Calc2!B9))</f>
        <v>6</v>
      </c>
      <c r="N27" s="375" t="str">
        <f ca="1">IF(Calc1!$F$14&lt;3,"",IF(Calc2!$K$13=0,Calc2!$Q69,VLOOKUP(Calc2!B9,Calc2!$C$4:$N$12,4,0)))</f>
        <v/>
      </c>
      <c r="O27" s="227">
        <f ca="1">IF(Calc2!$K$13=0,"",VLOOKUP(Calc2!B9,Calc2!$C$4:$N$12,9,0))</f>
        <v>0</v>
      </c>
      <c r="P27" s="228">
        <f ca="1">IF(Calc2!$K$13=0,"",VLOOKUP(Calc2!B9,Calc2!$C$4:$N$12,10,0))</f>
        <v>0</v>
      </c>
      <c r="Q27" s="228">
        <f ca="1">IF(Calc2!$K$13=0,"",VLOOKUP(Calc2!B9,Calc2!$C$4:$N$12,11,0))</f>
        <v>0</v>
      </c>
      <c r="R27" s="229">
        <f ca="1">IF(Calc2!$K$13=0,"",VLOOKUP(Calc2!B9,Calc2!$C$4:$N$12,12,0))</f>
        <v>0</v>
      </c>
      <c r="S27" s="230">
        <f ca="1">IF(Calc2!$K$13=0,"",VLOOKUP(Calc2!B9,Calc2!$C$4:$N$12,5,0))</f>
        <v>0</v>
      </c>
      <c r="T27" s="231" t="str">
        <f>Sprache!$E$111</f>
        <v>:</v>
      </c>
      <c r="U27" s="232">
        <f ca="1">IF(Calc2!$K$13=0,"",VLOOKUP(Calc2!B9,Calc2!$C$4:$N$12,6,0))</f>
        <v>0</v>
      </c>
      <c r="V27" s="227">
        <f ca="1">IF(Calc2!$K$13=0,"",VLOOKUP(Calc2!B9,Calc2!$C$4:$N$12,7,0))</f>
        <v>0</v>
      </c>
      <c r="W27" s="233">
        <f ca="1">IF(Calc2!$K$13=0,"",VLOOKUP(Calc2!B9,Calc2!$C$4:$N$12,8,0))</f>
        <v>0</v>
      </c>
      <c r="X27" s="234" t="str">
        <f ca="1">IFERROR(VLOOKUP($N27&amp;X$21,Calc2!$Z$64:$AB$207,3,0),"")</f>
        <v/>
      </c>
      <c r="Y27" s="228" t="str">
        <f ca="1">IFERROR(VLOOKUP($N27&amp;Y$21,Calc2!$Z$64:$AB$207,3,0),"")</f>
        <v/>
      </c>
      <c r="Z27" s="228" t="str">
        <f ca="1">IFERROR(VLOOKUP($N27&amp;Z$21,Calc2!$Z$64:$AB$207,3,0),"")</f>
        <v/>
      </c>
      <c r="AA27" s="228" t="str">
        <f ca="1">IFERROR(VLOOKUP($N27&amp;AA$21,Calc2!$Z$64:$AB$207,3,0),"")</f>
        <v/>
      </c>
      <c r="AB27" s="228" t="str">
        <f ca="1">IFERROR(VLOOKUP($N27&amp;AB$21,Calc2!$Z$64:$AB$207,3,0),"")</f>
        <v/>
      </c>
      <c r="AC27" s="235"/>
      <c r="AD27" s="306" t="str">
        <f t="shared" ca="1" si="1"/>
        <v/>
      </c>
      <c r="AG27" s="437" t="s">
        <v>217</v>
      </c>
      <c r="AH27" s="438" t="str">
        <f>IF(Planung!$C34="","",Planung!$C34)</f>
        <v/>
      </c>
      <c r="AI27" s="439"/>
    </row>
    <row r="28" spans="2:35" ht="24" customHeight="1" thickTop="1" x14ac:dyDescent="0.2">
      <c r="B28" s="677">
        <f ca="1">Planung!$E22</f>
        <v>17</v>
      </c>
      <c r="C28" s="691">
        <f ca="1">Planung!$F22</f>
        <v>0.47222222222222221</v>
      </c>
      <c r="D28" s="692">
        <f ca="1">Planung!$G22</f>
        <v>1</v>
      </c>
      <c r="E28" s="692" t="str">
        <f ca="1">Planung!$H22</f>
        <v>A</v>
      </c>
      <c r="F28" s="678" t="str">
        <f ca="1">Planung!$L22</f>
        <v>1. FC Riedwald</v>
      </c>
      <c r="G28" s="220" t="s">
        <v>5</v>
      </c>
      <c r="H28" s="679" t="str">
        <f ca="1">Planung!$N22</f>
        <v>Maibach 1822 eV</v>
      </c>
      <c r="I28" s="680">
        <v>2</v>
      </c>
      <c r="J28" s="681" t="str">
        <f>Sprache!$E$111</f>
        <v>:</v>
      </c>
      <c r="K28" s="682">
        <v>2</v>
      </c>
    </row>
    <row r="29" spans="2:35" ht="24" customHeight="1" thickBot="1" x14ac:dyDescent="0.25">
      <c r="B29" s="677">
        <f ca="1">Planung!$E23</f>
        <v>18</v>
      </c>
      <c r="C29" s="691">
        <f ca="1">Planung!$F23</f>
        <v>0.47222222222222221</v>
      </c>
      <c r="D29" s="692">
        <f ca="1">Planung!$G23</f>
        <v>2</v>
      </c>
      <c r="E29" s="692" t="str">
        <f ca="1">Planung!$H23</f>
        <v>B</v>
      </c>
      <c r="F29" s="678" t="str">
        <f ca="1">Planung!$L23</f>
        <v>Mainz 05</v>
      </c>
      <c r="G29" s="220" t="s">
        <v>5</v>
      </c>
      <c r="H29" s="679" t="str">
        <f ca="1">Planung!$N23</f>
        <v>Manchester City</v>
      </c>
      <c r="I29" s="680">
        <v>0</v>
      </c>
      <c r="J29" s="681" t="str">
        <f>Sprache!$E$111</f>
        <v>:</v>
      </c>
      <c r="K29" s="682">
        <v>1</v>
      </c>
      <c r="M29" s="279"/>
      <c r="N29" s="279"/>
      <c r="O29" s="279"/>
      <c r="P29" s="279"/>
      <c r="Q29" s="279"/>
      <c r="R29" s="279"/>
      <c r="S29" s="279"/>
      <c r="T29" s="279"/>
      <c r="U29" s="279"/>
      <c r="V29" s="279"/>
      <c r="W29" s="279"/>
      <c r="X29" s="279"/>
      <c r="Y29" s="279"/>
      <c r="Z29" s="279"/>
      <c r="AA29" s="279"/>
      <c r="AB29" s="279"/>
      <c r="AC29" s="279"/>
      <c r="AD29" s="279"/>
    </row>
    <row r="30" spans="2:35" ht="24" customHeight="1" thickBot="1" x14ac:dyDescent="0.45">
      <c r="B30" s="677">
        <f ca="1">Planung!$E24</f>
        <v>19</v>
      </c>
      <c r="C30" s="691">
        <f ca="1">Planung!$F24</f>
        <v>0.47222222222222221</v>
      </c>
      <c r="D30" s="692">
        <f ca="1">Planung!$G24</f>
        <v>3</v>
      </c>
      <c r="E30" s="692" t="str">
        <f ca="1">Planung!$H24</f>
        <v>C</v>
      </c>
      <c r="F30" s="678" t="str">
        <f ca="1">Planung!$L24</f>
        <v>Kickers Rodendorf</v>
      </c>
      <c r="G30" s="220" t="s">
        <v>5</v>
      </c>
      <c r="H30" s="679" t="str">
        <f ca="1">Planung!$N24</f>
        <v>FSV Rauen</v>
      </c>
      <c r="I30" s="680">
        <v>2</v>
      </c>
      <c r="J30" s="681" t="str">
        <f>Sprache!$E$111</f>
        <v>:</v>
      </c>
      <c r="K30" s="682">
        <v>1</v>
      </c>
      <c r="M30" s="796" t="str">
        <f>Sprache!$E$16&amp;" C"</f>
        <v>Gruppe C</v>
      </c>
      <c r="N30" s="796"/>
      <c r="O30" s="199"/>
      <c r="P30" s="199"/>
      <c r="Q30" s="199"/>
      <c r="R30" s="199"/>
      <c r="S30" s="199"/>
      <c r="T30" s="199"/>
      <c r="U30" s="199"/>
      <c r="V30" s="199"/>
      <c r="W30" s="199"/>
      <c r="X30" s="287" t="str">
        <f ca="1">IF(LEN(N32)&gt;Einstellungen!$C$17,LEFT(N32,Einstellungen!$C$17)&amp;".",N32)</f>
        <v>Borussi.</v>
      </c>
      <c r="Y30" s="288" t="str">
        <f ca="1">IF(LEN(N33)&gt;Einstellungen!$C$17,LEFT(N33,Einstellungen!$C$17)&amp;".",N33)</f>
        <v>Real Ma.</v>
      </c>
      <c r="Z30" s="288" t="str">
        <f ca="1">IF(LEN(N34)&gt;Einstellungen!$C$17,LEFT(N34,Einstellungen!$C$17)&amp;".",N34)</f>
        <v>1. FC N.</v>
      </c>
      <c r="AA30" s="288" t="str">
        <f ca="1">IF(LEN(N35)&gt;Einstellungen!$C$17,LEFT(N35,Einstellungen!$C$17)&amp;".",N35)</f>
        <v>Kickers.</v>
      </c>
      <c r="AB30" s="288" t="str">
        <f ca="1">IF(LEN(N36)&gt;Einstellungen!$C$17,LEFT(N36,Einstellungen!$C$17)&amp;".",N36)</f>
        <v>FSV Rau.</v>
      </c>
      <c r="AC30" s="289" t="str">
        <f ca="1">IF(LEN(N37)&gt;Einstellungen!$C$17,LEFT(N37,Einstellungen!$C$17)&amp;".",N37)</f>
        <v/>
      </c>
      <c r="AD30" s="200"/>
      <c r="AG30" s="796" t="str">
        <f>Sprache!$E$16&amp;" C"</f>
        <v>Gruppe C</v>
      </c>
      <c r="AH30" s="796"/>
    </row>
    <row r="31" spans="2:35" ht="24" customHeight="1" thickTop="1" thickBot="1" x14ac:dyDescent="0.25">
      <c r="B31" s="677">
        <f ca="1">Planung!$E25</f>
        <v>20</v>
      </c>
      <c r="C31" s="691">
        <f ca="1">Planung!$F25</f>
        <v>0.47222222222222221</v>
      </c>
      <c r="D31" s="692">
        <f ca="1">Planung!$G25</f>
        <v>4</v>
      </c>
      <c r="E31" s="692" t="str">
        <f ca="1">Planung!$H25</f>
        <v>D</v>
      </c>
      <c r="F31" s="678" t="str">
        <f ca="1">Planung!$L25</f>
        <v>TSG Saalberg eV</v>
      </c>
      <c r="G31" s="220" t="s">
        <v>5</v>
      </c>
      <c r="H31" s="679" t="str">
        <f ca="1">Planung!$N25</f>
        <v>RB Leipzig</v>
      </c>
      <c r="I31" s="680">
        <v>1</v>
      </c>
      <c r="J31" s="681" t="str">
        <f>Sprache!$E$111</f>
        <v>:</v>
      </c>
      <c r="K31" s="682">
        <v>4</v>
      </c>
      <c r="M31" s="794"/>
      <c r="N31" s="795"/>
      <c r="O31" s="201" t="str">
        <f>Sprache!$E$21</f>
        <v>SP</v>
      </c>
      <c r="P31" s="202" t="str">
        <f>Sprache!$E$22</f>
        <v>G</v>
      </c>
      <c r="Q31" s="202" t="str">
        <f>Sprache!$E$23</f>
        <v>U</v>
      </c>
      <c r="R31" s="400" t="str">
        <f>Sprache!$E$24</f>
        <v>V</v>
      </c>
      <c r="S31" s="791" t="str">
        <f>Sprache!$E$25</f>
        <v>Tore</v>
      </c>
      <c r="T31" s="792"/>
      <c r="U31" s="793"/>
      <c r="V31" s="202" t="str">
        <f>Sprache!$E$26</f>
        <v>Diff.</v>
      </c>
      <c r="W31" s="204" t="str">
        <f>Sprache!$E$27</f>
        <v>Pkt</v>
      </c>
      <c r="X31" s="205" t="str">
        <f ca="1">N32</f>
        <v>Borussia Dortmund</v>
      </c>
      <c r="Y31" s="206" t="str">
        <f ca="1">N33</f>
        <v>Real Madrid</v>
      </c>
      <c r="Z31" s="206" t="str">
        <f ca="1">N34</f>
        <v>1. FC Nürnberg</v>
      </c>
      <c r="AA31" s="206" t="str">
        <f ca="1">N35</f>
        <v>Kickers Rodendorf</v>
      </c>
      <c r="AB31" s="206" t="str">
        <f ca="1">N36</f>
        <v>FSV Rauen</v>
      </c>
      <c r="AC31" s="635" t="str">
        <f ca="1">N37</f>
        <v/>
      </c>
      <c r="AD31" s="200"/>
      <c r="AG31" s="428" t="str">
        <f>Sprache!$E$9</f>
        <v>Nr.</v>
      </c>
      <c r="AH31" s="429" t="str">
        <f>Sprache!$E$10</f>
        <v>Teilnehmer bzw. Mannschaft</v>
      </c>
      <c r="AI31" s="430" t="str">
        <f>Sprache!$E$49</f>
        <v>Bonus</v>
      </c>
    </row>
    <row r="32" spans="2:35" ht="24" customHeight="1" x14ac:dyDescent="0.2">
      <c r="B32" s="677">
        <f ca="1">Planung!$E26</f>
        <v>21</v>
      </c>
      <c r="C32" s="691">
        <f ca="1">Planung!$F26</f>
        <v>0.49652777777777779</v>
      </c>
      <c r="D32" s="692">
        <f ca="1">Planung!$G26</f>
        <v>1</v>
      </c>
      <c r="E32" s="692" t="str">
        <f ca="1">Planung!$H26</f>
        <v>A</v>
      </c>
      <c r="F32" s="678" t="str">
        <f ca="1">Planung!$L26</f>
        <v>Eintracht Frankfurt</v>
      </c>
      <c r="G32" s="220" t="s">
        <v>5</v>
      </c>
      <c r="H32" s="679" t="str">
        <f ca="1">Planung!$N26</f>
        <v>VFB Essenheim</v>
      </c>
      <c r="I32" s="680">
        <v>3</v>
      </c>
      <c r="J32" s="681" t="str">
        <f>Sprache!$E$111</f>
        <v>:</v>
      </c>
      <c r="K32" s="682">
        <v>2</v>
      </c>
      <c r="M32" s="370">
        <f ca="1">IF(Calc3!$K$13=0,"",1)</f>
        <v>1</v>
      </c>
      <c r="N32" s="371" t="str">
        <f ca="1">IF(Calc1!$F$14&lt;3,"",IF(Calc3!$K$13=0,Calc3!$Q64,VLOOKUP(Calc3!B4,Calc3!$C$4:$N$12,4,0)))</f>
        <v>Borussia Dortmund</v>
      </c>
      <c r="O32" s="207">
        <f ca="1">IF(Calc3!$K$13=0,"",VLOOKUP(Calc3!B4,Calc3!$C$4:$N$12,9,0))</f>
        <v>4</v>
      </c>
      <c r="P32" s="208">
        <f ca="1">IF(Calc3!$K$13=0,"",VLOOKUP(Calc3!B4,Calc3!$C$4:$N$12,10,0))</f>
        <v>3</v>
      </c>
      <c r="Q32" s="208">
        <f ca="1">IF(Calc3!$K$13=0,"",VLOOKUP(Calc3!B4,Calc3!$C$4:$N$12,11,0))</f>
        <v>1</v>
      </c>
      <c r="R32" s="209">
        <f ca="1">IF(Calc3!$K$13=0,"",VLOOKUP(Calc3!B4,Calc3!$C$4:$N$12,12,0))</f>
        <v>0</v>
      </c>
      <c r="S32" s="210">
        <f ca="1">IF(Calc3!$K$13=0,"",VLOOKUP(Calc3!B4,Calc3!$C$4:$N$12,5,0))</f>
        <v>10</v>
      </c>
      <c r="T32" s="211" t="str">
        <f>Sprache!$E$111</f>
        <v>:</v>
      </c>
      <c r="U32" s="212">
        <f ca="1">IF(Calc3!$K$13=0,"",VLOOKUP(Calc3!B4,Calc3!$C$4:$N$12,6,0))</f>
        <v>4</v>
      </c>
      <c r="V32" s="207">
        <f ca="1">IF(Calc3!$K$13=0,"",VLOOKUP(Calc3!B4,Calc3!$C$4:$N$12,7,0))</f>
        <v>6</v>
      </c>
      <c r="W32" s="213">
        <f ca="1">IF(Calc3!$K$13=0,"",VLOOKUP(Calc3!B4,Calc3!$C$4:$N$12,8,0))</f>
        <v>10</v>
      </c>
      <c r="X32" s="214"/>
      <c r="Y32" s="208" t="str">
        <f ca="1">IFERROR(VLOOKUP($N32&amp;Y$31,Calc3!$Z$64:$AB$207,3,0),"")</f>
        <v>1:0</v>
      </c>
      <c r="Z32" s="208" t="str">
        <f ca="1">IFERROR(VLOOKUP($N32&amp;Z$31,Calc3!$Z$64:$AB$207,3,0),"")</f>
        <v>2:2</v>
      </c>
      <c r="AA32" s="208" t="str">
        <f ca="1">IFERROR(VLOOKUP($N32&amp;AA$31,Calc3!$Z$64:$AB$207,3,0),"")</f>
        <v>4:1</v>
      </c>
      <c r="AB32" s="208" t="str">
        <f ca="1">IFERROR(VLOOKUP($N32&amp;AB$31,Calc3!$Z$64:$AB$207,3,0),"")</f>
        <v>3:1</v>
      </c>
      <c r="AC32" s="215" t="str">
        <f ca="1">IFERROR(VLOOKUP($N32&amp;AC$31,Calc3!$Z$64:$AB$207,3,0),"")</f>
        <v/>
      </c>
      <c r="AD32" s="216" t="str">
        <f t="shared" ref="AD32:AD37" ca="1" si="2">N32</f>
        <v>Borussia Dortmund</v>
      </c>
      <c r="AG32" s="431" t="s">
        <v>288</v>
      </c>
      <c r="AH32" s="432" t="str">
        <f>IF(Planung!$C41="","",Planung!$C41)</f>
        <v>Kickers Rodendorf</v>
      </c>
      <c r="AI32" s="433"/>
    </row>
    <row r="33" spans="2:35" ht="24" customHeight="1" x14ac:dyDescent="0.2">
      <c r="B33" s="677">
        <f ca="1">Planung!$E27</f>
        <v>22</v>
      </c>
      <c r="C33" s="691">
        <f ca="1">Planung!$F27</f>
        <v>0.49652777777777779</v>
      </c>
      <c r="D33" s="692">
        <f ca="1">Planung!$G27</f>
        <v>2</v>
      </c>
      <c r="E33" s="692" t="str">
        <f ca="1">Planung!$H27</f>
        <v>B</v>
      </c>
      <c r="F33" s="678" t="str">
        <f ca="1">Planung!$L27</f>
        <v>SSV Wildbach</v>
      </c>
      <c r="G33" s="220" t="s">
        <v>5</v>
      </c>
      <c r="H33" s="679" t="str">
        <f ca="1">Planung!$N27</f>
        <v>FC Grönlingen</v>
      </c>
      <c r="I33" s="680">
        <v>1</v>
      </c>
      <c r="J33" s="681" t="str">
        <f>Sprache!$E$111</f>
        <v>:</v>
      </c>
      <c r="K33" s="682">
        <v>4</v>
      </c>
      <c r="M33" s="372">
        <f ca="1">IF(Calc3!$K$13=0,"",IF(VLOOKUP(Calc3!B5,Calc3!$C$4:$E$12,3,0)=MAX(M$32:M32),VLOOKUP(Calc3!B5,Calc3!$C$4:$E$12,3,0),Calc3!B5))</f>
        <v>2</v>
      </c>
      <c r="N33" s="373" t="str">
        <f ca="1">IF(Calc1!$F$14&lt;3,"",IF(Calc3!$K$13=0,Calc3!$Q65,VLOOKUP(Calc3!B5,Calc3!$C$4:$N$12,4,0)))</f>
        <v>Real Madrid</v>
      </c>
      <c r="O33" s="217">
        <f ca="1">IF(Calc3!$K$13=0,"",VLOOKUP(Calc3!B5,Calc3!$C$4:$N$12,9,0))</f>
        <v>4</v>
      </c>
      <c r="P33" s="198">
        <f ca="1">IF(Calc3!$K$13=0,"",VLOOKUP(Calc3!B5,Calc3!$C$4:$N$12,10,0))</f>
        <v>3</v>
      </c>
      <c r="Q33" s="198">
        <f ca="1">IF(Calc3!$K$13=0,"",VLOOKUP(Calc3!B5,Calc3!$C$4:$N$12,11,0))</f>
        <v>0</v>
      </c>
      <c r="R33" s="218">
        <f ca="1">IF(Calc3!$K$13=0,"",VLOOKUP(Calc3!B5,Calc3!$C$4:$N$12,12,0))</f>
        <v>1</v>
      </c>
      <c r="S33" s="219">
        <f ca="1">IF(Calc3!$K$13=0,"",VLOOKUP(Calc3!B5,Calc3!$C$4:$N$12,5,0))</f>
        <v>13</v>
      </c>
      <c r="T33" s="220" t="str">
        <f>Sprache!$E$111</f>
        <v>:</v>
      </c>
      <c r="U33" s="221">
        <f ca="1">IF(Calc3!$K$13=0,"",VLOOKUP(Calc3!B5,Calc3!$C$4:$N$12,6,0))</f>
        <v>3</v>
      </c>
      <c r="V33" s="217">
        <f ca="1">IF(Calc3!$K$13=0,"",VLOOKUP(Calc3!B5,Calc3!$C$4:$N$12,7,0))</f>
        <v>10</v>
      </c>
      <c r="W33" s="222">
        <f ca="1">IF(Calc3!$K$13=0,"",VLOOKUP(Calc3!B5,Calc3!$C$4:$N$12,8,0))</f>
        <v>9</v>
      </c>
      <c r="X33" s="223" t="str">
        <f ca="1">IFERROR(VLOOKUP($N33&amp;X$31,Calc3!$Z$64:$AB$207,3,0),"")</f>
        <v>0:1</v>
      </c>
      <c r="Y33" s="224"/>
      <c r="Z33" s="198" t="str">
        <f ca="1">IFERROR(VLOOKUP($N33&amp;Z$31,Calc3!$Z$64:$AB$207,3,0),"")</f>
        <v>4:1</v>
      </c>
      <c r="AA33" s="198" t="str">
        <f ca="1">IFERROR(VLOOKUP($N33&amp;AA$31,Calc3!$Z$64:$AB$207,3,0),"")</f>
        <v>5:1</v>
      </c>
      <c r="AB33" s="198" t="str">
        <f ca="1">IFERROR(VLOOKUP($N33&amp;AB$31,Calc3!$Z$64:$AB$207,3,0),"")</f>
        <v>4:0</v>
      </c>
      <c r="AC33" s="225" t="str">
        <f ca="1">IFERROR(VLOOKUP($N33&amp;AC$31,Calc3!$Z$64:$AB$207,3,0),"")</f>
        <v/>
      </c>
      <c r="AD33" s="226" t="str">
        <f t="shared" ca="1" si="2"/>
        <v>Real Madrid</v>
      </c>
      <c r="AG33" s="434" t="s">
        <v>287</v>
      </c>
      <c r="AH33" s="435" t="str">
        <f>IF(Planung!$C43="","",Planung!$C43)</f>
        <v>Real Madrid</v>
      </c>
      <c r="AI33" s="436"/>
    </row>
    <row r="34" spans="2:35" ht="24" customHeight="1" x14ac:dyDescent="0.2">
      <c r="B34" s="677">
        <f ca="1">Planung!$E28</f>
        <v>23</v>
      </c>
      <c r="C34" s="691">
        <f ca="1">Planung!$F28</f>
        <v>0.49652777777777779</v>
      </c>
      <c r="D34" s="692">
        <f ca="1">Planung!$G28</f>
        <v>3</v>
      </c>
      <c r="E34" s="692" t="str">
        <f ca="1">Planung!$H28</f>
        <v>C</v>
      </c>
      <c r="F34" s="678" t="str">
        <f ca="1">Planung!$L28</f>
        <v>Borussia Dortmund</v>
      </c>
      <c r="G34" s="220" t="s">
        <v>5</v>
      </c>
      <c r="H34" s="679" t="str">
        <f ca="1">Planung!$N28</f>
        <v>1. FC Nürnberg</v>
      </c>
      <c r="I34" s="680">
        <v>2</v>
      </c>
      <c r="J34" s="681" t="str">
        <f>Sprache!$E$111</f>
        <v>:</v>
      </c>
      <c r="K34" s="682">
        <v>2</v>
      </c>
      <c r="M34" s="372">
        <f ca="1">IF(Calc3!$K$13=0,"",IF(VLOOKUP(Calc3!B6,Calc3!$C$4:$E$12,3,0)=MAX(M$32:M33),VLOOKUP(Calc3!B6,Calc3!$C$4:$E$12,3,0),Calc3!B6))</f>
        <v>3</v>
      </c>
      <c r="N34" s="373" t="str">
        <f ca="1">IF(Calc1!$F$14&lt;3,"",IF(Calc3!$K$13=0,Calc3!$Q66,VLOOKUP(Calc3!B6,Calc3!$C$4:$N$12,4,0)))</f>
        <v>1. FC Nürnberg</v>
      </c>
      <c r="O34" s="217">
        <f ca="1">IF(Calc3!$K$13=0,"",VLOOKUP(Calc3!B6,Calc3!$C$4:$N$12,9,0))</f>
        <v>4</v>
      </c>
      <c r="P34" s="198">
        <f ca="1">IF(Calc3!$K$13=0,"",VLOOKUP(Calc3!B6,Calc3!$C$4:$N$12,10,0))</f>
        <v>2</v>
      </c>
      <c r="Q34" s="198">
        <f ca="1">IF(Calc3!$K$13=0,"",VLOOKUP(Calc3!B6,Calc3!$C$4:$N$12,11,0))</f>
        <v>1</v>
      </c>
      <c r="R34" s="218">
        <f ca="1">IF(Calc3!$K$13=0,"",VLOOKUP(Calc3!B6,Calc3!$C$4:$N$12,12,0))</f>
        <v>1</v>
      </c>
      <c r="S34" s="219">
        <f ca="1">IF(Calc3!$K$13=0,"",VLOOKUP(Calc3!B6,Calc3!$C$4:$N$12,5,0))</f>
        <v>12</v>
      </c>
      <c r="T34" s="220" t="str">
        <f>Sprache!$E$111</f>
        <v>:</v>
      </c>
      <c r="U34" s="221">
        <f ca="1">IF(Calc3!$K$13=0,"",VLOOKUP(Calc3!B6,Calc3!$C$4:$N$12,6,0))</f>
        <v>12</v>
      </c>
      <c r="V34" s="217">
        <f ca="1">IF(Calc3!$K$13=0,"",VLOOKUP(Calc3!B6,Calc3!$C$4:$N$12,7,0))</f>
        <v>0</v>
      </c>
      <c r="W34" s="222">
        <f ca="1">IF(Calc3!$K$13=0,"",VLOOKUP(Calc3!B6,Calc3!$C$4:$N$12,8,0))</f>
        <v>7</v>
      </c>
      <c r="X34" s="223" t="str">
        <f ca="1">IFERROR(VLOOKUP($N34&amp;X$31,Calc3!$Z$64:$AB$207,3,0),"")</f>
        <v>2:2</v>
      </c>
      <c r="Y34" s="402" t="str">
        <f ca="1">IFERROR(VLOOKUP($N34&amp;Y$31,Calc3!$Z$64:$AB$207,3,0),"")</f>
        <v>1:4</v>
      </c>
      <c r="Z34" s="224"/>
      <c r="AA34" s="198" t="str">
        <f ca="1">IFERROR(VLOOKUP($N34&amp;AA$31,Calc3!$Z$64:$AB$207,3,0),"")</f>
        <v>5:3</v>
      </c>
      <c r="AB34" s="198" t="str">
        <f ca="1">IFERROR(VLOOKUP($N34&amp;AB$31,Calc3!$Z$64:$AB$207,3,0),"")</f>
        <v>4:3</v>
      </c>
      <c r="AC34" s="225" t="str">
        <f ca="1">IFERROR(VLOOKUP($N34&amp;AC$31,Calc3!$Z$64:$AB$207,3,0),"")</f>
        <v/>
      </c>
      <c r="AD34" s="226" t="str">
        <f t="shared" ca="1" si="2"/>
        <v>1. FC Nürnberg</v>
      </c>
      <c r="AG34" s="434" t="s">
        <v>286</v>
      </c>
      <c r="AH34" s="435" t="str">
        <f>IF(Planung!$C45="","",Planung!$C45)</f>
        <v>Borussia Dortmund</v>
      </c>
      <c r="AI34" s="436"/>
    </row>
    <row r="35" spans="2:35" ht="24" customHeight="1" x14ac:dyDescent="0.2">
      <c r="B35" s="677">
        <f ca="1">Planung!$E29</f>
        <v>24</v>
      </c>
      <c r="C35" s="691">
        <f ca="1">Planung!$F29</f>
        <v>0.49652777777777779</v>
      </c>
      <c r="D35" s="692">
        <f ca="1">Planung!$G29</f>
        <v>4</v>
      </c>
      <c r="E35" s="692" t="str">
        <f ca="1">Planung!$H29</f>
        <v>D</v>
      </c>
      <c r="F35" s="678" t="str">
        <f ca="1">Planung!$L29</f>
        <v>HSV</v>
      </c>
      <c r="G35" s="220" t="s">
        <v>5</v>
      </c>
      <c r="H35" s="679" t="str">
        <f ca="1">Planung!$N29</f>
        <v>SV Oberredenburg</v>
      </c>
      <c r="I35" s="680">
        <v>1</v>
      </c>
      <c r="J35" s="681" t="str">
        <f>Sprache!$E$111</f>
        <v>:</v>
      </c>
      <c r="K35" s="682">
        <v>0</v>
      </c>
      <c r="M35" s="372">
        <f ca="1">IF(Calc3!$K$13=0,"",IF(VLOOKUP(Calc3!B7,Calc3!$C$4:$E$12,3,0)=MAX(M$32:M34),VLOOKUP(Calc3!B7,Calc3!$C$4:$E$12,3,0),Calc3!B7))</f>
        <v>4</v>
      </c>
      <c r="N35" s="373" t="str">
        <f ca="1">IF(Calc1!$F$14&lt;3,"",IF(Calc3!$K$13=0,Calc3!$Q67,VLOOKUP(Calc3!B7,Calc3!$C$4:$N$12,4,0)))</f>
        <v>Kickers Rodendorf</v>
      </c>
      <c r="O35" s="217">
        <f ca="1">IF(Calc3!$K$13=0,"",VLOOKUP(Calc3!B7,Calc3!$C$4:$N$12,9,0))</f>
        <v>4</v>
      </c>
      <c r="P35" s="198">
        <f ca="1">IF(Calc3!$K$13=0,"",VLOOKUP(Calc3!B7,Calc3!$C$4:$N$12,10,0))</f>
        <v>1</v>
      </c>
      <c r="Q35" s="198">
        <f ca="1">IF(Calc3!$K$13=0,"",VLOOKUP(Calc3!B7,Calc3!$C$4:$N$12,11,0))</f>
        <v>0</v>
      </c>
      <c r="R35" s="218">
        <f ca="1">IF(Calc3!$K$13=0,"",VLOOKUP(Calc3!B7,Calc3!$C$4:$N$12,12,0))</f>
        <v>3</v>
      </c>
      <c r="S35" s="219">
        <f ca="1">IF(Calc3!$K$13=0,"",VLOOKUP(Calc3!B7,Calc3!$C$4:$N$12,5,0))</f>
        <v>7</v>
      </c>
      <c r="T35" s="220" t="str">
        <f>Sprache!$E$111</f>
        <v>:</v>
      </c>
      <c r="U35" s="221">
        <f ca="1">IF(Calc3!$K$13=0,"",VLOOKUP(Calc3!B7,Calc3!$C$4:$N$12,6,0))</f>
        <v>15</v>
      </c>
      <c r="V35" s="217">
        <f ca="1">IF(Calc3!$K$13=0,"",VLOOKUP(Calc3!B7,Calc3!$C$4:$N$12,7,0))</f>
        <v>-8</v>
      </c>
      <c r="W35" s="222">
        <f ca="1">IF(Calc3!$K$13=0,"",VLOOKUP(Calc3!B7,Calc3!$C$4:$N$12,8,0))</f>
        <v>3</v>
      </c>
      <c r="X35" s="223" t="str">
        <f ca="1">IFERROR(VLOOKUP($N35&amp;X$31,Calc3!$Z$64:$AB$207,3,0),"")</f>
        <v>1:4</v>
      </c>
      <c r="Y35" s="402" t="str">
        <f ca="1">IFERROR(VLOOKUP($N35&amp;Y$31,Calc3!$Z$64:$AB$207,3,0),"")</f>
        <v>1:5</v>
      </c>
      <c r="Z35" s="198" t="str">
        <f ca="1">IFERROR(VLOOKUP($N35&amp;Z$31,Calc3!$Z$64:$AB$207,3,0),"")</f>
        <v>3:5</v>
      </c>
      <c r="AA35" s="224"/>
      <c r="AB35" s="198" t="str">
        <f ca="1">IFERROR(VLOOKUP($N35&amp;AB$31,Calc3!$Z$64:$AB$207,3,0),"")</f>
        <v>2:1</v>
      </c>
      <c r="AC35" s="225" t="str">
        <f ca="1">IFERROR(VLOOKUP($N35&amp;AC$31,Calc3!$Z$64:$AB$207,3,0),"")</f>
        <v/>
      </c>
      <c r="AD35" s="226" t="str">
        <f t="shared" ca="1" si="2"/>
        <v>Kickers Rodendorf</v>
      </c>
      <c r="AG35" s="434" t="s">
        <v>289</v>
      </c>
      <c r="AH35" s="435" t="str">
        <f>IF(Planung!$C47="","",Planung!$C47)</f>
        <v>FSV Rauen</v>
      </c>
      <c r="AI35" s="436"/>
    </row>
    <row r="36" spans="2:35" ht="24" customHeight="1" x14ac:dyDescent="0.2">
      <c r="B36" s="677">
        <f ca="1">Planung!$E30</f>
        <v>25</v>
      </c>
      <c r="C36" s="691">
        <f ca="1">Planung!$F30</f>
        <v>0.52083333333333337</v>
      </c>
      <c r="D36" s="692">
        <f ca="1">Planung!$G30</f>
        <v>1</v>
      </c>
      <c r="E36" s="692" t="str">
        <f ca="1">Planung!$H30</f>
        <v>A</v>
      </c>
      <c r="F36" s="678" t="str">
        <f ca="1">Planung!$L30</f>
        <v>FC Barcelona</v>
      </c>
      <c r="G36" s="220" t="s">
        <v>5</v>
      </c>
      <c r="H36" s="679" t="str">
        <f ca="1">Planung!$N30</f>
        <v>Maibach 1822 eV</v>
      </c>
      <c r="I36" s="680">
        <v>3</v>
      </c>
      <c r="J36" s="681" t="str">
        <f>Sprache!$E$111</f>
        <v>:</v>
      </c>
      <c r="K36" s="682">
        <v>1</v>
      </c>
      <c r="M36" s="372">
        <f ca="1">IF(Calc3!$K$13=0,"",IF(VLOOKUP(Calc3!B8,Calc3!$C$4:$E$12,3,0)=MAX(M$32:M35),VLOOKUP(Calc3!B8,Calc3!$C$4:$E$12,3,0),Calc3!B8))</f>
        <v>5</v>
      </c>
      <c r="N36" s="373" t="str">
        <f ca="1">IF(Calc1!$F$14&lt;3,"",IF(Calc3!$K$13=0,Calc3!$Q68,VLOOKUP(Calc3!B8,Calc3!$C$4:$N$12,4,0)))</f>
        <v>FSV Rauen</v>
      </c>
      <c r="O36" s="217">
        <f ca="1">IF(Calc3!$K$13=0,"",VLOOKUP(Calc3!B8,Calc3!$C$4:$N$12,9,0))</f>
        <v>4</v>
      </c>
      <c r="P36" s="198">
        <f ca="1">IF(Calc3!$K$13=0,"",VLOOKUP(Calc3!B8,Calc3!$C$4:$N$12,10,0))</f>
        <v>0</v>
      </c>
      <c r="Q36" s="198">
        <f ca="1">IF(Calc3!$K$13=0,"",VLOOKUP(Calc3!B8,Calc3!$C$4:$N$12,11,0))</f>
        <v>0</v>
      </c>
      <c r="R36" s="218">
        <f ca="1">IF(Calc3!$K$13=0,"",VLOOKUP(Calc3!B8,Calc3!$C$4:$N$12,12,0))</f>
        <v>4</v>
      </c>
      <c r="S36" s="219">
        <f ca="1">IF(Calc3!$K$13=0,"",VLOOKUP(Calc3!B8,Calc3!$C$4:$N$12,5,0))</f>
        <v>5</v>
      </c>
      <c r="T36" s="220" t="str">
        <f>Sprache!$E$111</f>
        <v>:</v>
      </c>
      <c r="U36" s="221">
        <f ca="1">IF(Calc3!$K$13=0,"",VLOOKUP(Calc3!B8,Calc3!$C$4:$N$12,6,0))</f>
        <v>13</v>
      </c>
      <c r="V36" s="217">
        <f ca="1">IF(Calc3!$K$13=0,"",VLOOKUP(Calc3!B8,Calc3!$C$4:$N$12,7,0))</f>
        <v>-8</v>
      </c>
      <c r="W36" s="222">
        <f ca="1">IF(Calc3!$K$13=0,"",VLOOKUP(Calc3!B8,Calc3!$C$4:$N$12,8,0))</f>
        <v>0</v>
      </c>
      <c r="X36" s="223" t="str">
        <f ca="1">IFERROR(VLOOKUP($N36&amp;X$31,Calc3!$Z$64:$AB$207,3,0),"")</f>
        <v>1:3</v>
      </c>
      <c r="Y36" s="402" t="str">
        <f ca="1">IFERROR(VLOOKUP($N36&amp;Y$31,Calc3!$Z$64:$AB$207,3,0),"")</f>
        <v>0:4</v>
      </c>
      <c r="Z36" s="198" t="str">
        <f ca="1">IFERROR(VLOOKUP($N36&amp;Z$31,Calc3!$Z$64:$AB$207,3,0),"")</f>
        <v>3:4</v>
      </c>
      <c r="AA36" s="198" t="str">
        <f ca="1">IFERROR(VLOOKUP($N36&amp;AA$31,Calc3!$Z$64:$AB$207,3,0),"")</f>
        <v>1:2</v>
      </c>
      <c r="AB36" s="224"/>
      <c r="AC36" s="225" t="str">
        <f ca="1">IFERROR(VLOOKUP($N36&amp;AC$31,Calc3!$Z$64:$AB$207,3,0),"")</f>
        <v/>
      </c>
      <c r="AD36" s="226" t="str">
        <f t="shared" ca="1" si="2"/>
        <v>FSV Rauen</v>
      </c>
      <c r="AG36" s="434" t="s">
        <v>290</v>
      </c>
      <c r="AH36" s="435" t="str">
        <f>IF(Planung!$C49="","",Planung!$C49)</f>
        <v>1. FC Nürnberg</v>
      </c>
      <c r="AI36" s="436"/>
    </row>
    <row r="37" spans="2:35" ht="24" customHeight="1" thickBot="1" x14ac:dyDescent="0.25">
      <c r="B37" s="677">
        <f ca="1">Planung!$E31</f>
        <v>26</v>
      </c>
      <c r="C37" s="691">
        <f ca="1">Planung!$F31</f>
        <v>0.52083333333333337</v>
      </c>
      <c r="D37" s="692">
        <f ca="1">Planung!$G31</f>
        <v>2</v>
      </c>
      <c r="E37" s="692" t="str">
        <f ca="1">Planung!$H31</f>
        <v>B</v>
      </c>
      <c r="F37" s="678" t="str">
        <f ca="1">Planung!$L31</f>
        <v>Inter Mailand</v>
      </c>
      <c r="G37" s="220" t="s">
        <v>5</v>
      </c>
      <c r="H37" s="679" t="str">
        <f ca="1">Planung!$N31</f>
        <v>Manchester City</v>
      </c>
      <c r="I37" s="680">
        <v>2</v>
      </c>
      <c r="J37" s="681" t="str">
        <f>Sprache!$E$111</f>
        <v>:</v>
      </c>
      <c r="K37" s="682">
        <v>2</v>
      </c>
      <c r="M37" s="374">
        <f ca="1">IF(Calc3!$K$13=0,"",IF(VLOOKUP(Calc3!B9,Calc3!$C$4:$E$12,3,0)=MAX(M$32:M36),VLOOKUP(Calc3!B9,Calc3!$C$4:$E$12,3,0),Calc3!B9))</f>
        <v>5</v>
      </c>
      <c r="N37" s="375" t="str">
        <f ca="1">IF(Calc1!$F$14&lt;3,"",IF(Calc3!$K$13=0,Calc3!$Q69,VLOOKUP(Calc3!B9,Calc3!$C$4:$N$12,4,0)))</f>
        <v/>
      </c>
      <c r="O37" s="227">
        <f ca="1">IF(Calc3!$K$13=0,"",VLOOKUP(Calc3!B9,Calc3!$C$4:$N$12,9,0))</f>
        <v>0</v>
      </c>
      <c r="P37" s="228">
        <f ca="1">IF(Calc3!$K$13=0,"",VLOOKUP(Calc3!B9,Calc3!$C$4:$N$12,10,0))</f>
        <v>0</v>
      </c>
      <c r="Q37" s="228">
        <f ca="1">IF(Calc3!$K$13=0,"",VLOOKUP(Calc3!B9,Calc3!$C$4:$N$12,11,0))</f>
        <v>0</v>
      </c>
      <c r="R37" s="229">
        <f ca="1">IF(Calc3!$K$13=0,"",VLOOKUP(Calc3!B9,Calc3!$C$4:$N$12,12,0))</f>
        <v>0</v>
      </c>
      <c r="S37" s="230">
        <f ca="1">IF(Calc3!$K$13=0,"",VLOOKUP(Calc3!B9,Calc3!$C$4:$N$12,5,0))</f>
        <v>0</v>
      </c>
      <c r="T37" s="231" t="str">
        <f>Sprache!$E$111</f>
        <v>:</v>
      </c>
      <c r="U37" s="232">
        <f ca="1">IF(Calc3!$K$13=0,"",VLOOKUP(Calc3!B9,Calc3!$C$4:$N$12,6,0))</f>
        <v>0</v>
      </c>
      <c r="V37" s="227">
        <f ca="1">IF(Calc3!$K$13=0,"",VLOOKUP(Calc3!B9,Calc3!$C$4:$N$12,7,0))</f>
        <v>0</v>
      </c>
      <c r="W37" s="233">
        <f ca="1">IF(Calc3!$K$13=0,"",VLOOKUP(Calc3!B9,Calc3!$C$4:$N$12,8,0))</f>
        <v>0</v>
      </c>
      <c r="X37" s="234" t="str">
        <f ca="1">IFERROR(VLOOKUP($N37&amp;X$31,Calc3!$Z$64:$AB$207,3,0),"")</f>
        <v/>
      </c>
      <c r="Y37" s="228" t="str">
        <f ca="1">IFERROR(VLOOKUP($N37&amp;Y$31,Calc3!$Z$64:$AB$207,3,0),"")</f>
        <v/>
      </c>
      <c r="Z37" s="228" t="str">
        <f ca="1">IFERROR(VLOOKUP($N37&amp;Z$31,Calc3!$Z$64:$AB$207,3,0),"")</f>
        <v/>
      </c>
      <c r="AA37" s="228" t="str">
        <f ca="1">IFERROR(VLOOKUP($N37&amp;AA$31,Calc3!$Z$64:$AB$207,3,0),"")</f>
        <v/>
      </c>
      <c r="AB37" s="228" t="str">
        <f ca="1">IFERROR(VLOOKUP($N37&amp;AB$31,Calc3!$Z$64:$AB$207,3,0),"")</f>
        <v/>
      </c>
      <c r="AC37" s="235"/>
      <c r="AD37" s="306" t="str">
        <f t="shared" ca="1" si="2"/>
        <v/>
      </c>
      <c r="AG37" s="437" t="s">
        <v>291</v>
      </c>
      <c r="AH37" s="438" t="str">
        <f>IF(Planung!$C51="","",Planung!$C51)</f>
        <v/>
      </c>
      <c r="AI37" s="439"/>
    </row>
    <row r="38" spans="2:35" ht="24" customHeight="1" thickTop="1" x14ac:dyDescent="0.2">
      <c r="B38" s="677">
        <f ca="1">Planung!$E32</f>
        <v>27</v>
      </c>
      <c r="C38" s="691">
        <f ca="1">Planung!$F32</f>
        <v>0.52083333333333337</v>
      </c>
      <c r="D38" s="692">
        <f ca="1">Planung!$G32</f>
        <v>3</v>
      </c>
      <c r="E38" s="692" t="str">
        <f ca="1">Planung!$H32</f>
        <v>C</v>
      </c>
      <c r="F38" s="678" t="str">
        <f ca="1">Planung!$L32</f>
        <v>Real Madrid</v>
      </c>
      <c r="G38" s="220" t="s">
        <v>5</v>
      </c>
      <c r="H38" s="679" t="str">
        <f ca="1">Planung!$N32</f>
        <v>FSV Rauen</v>
      </c>
      <c r="I38" s="680">
        <v>4</v>
      </c>
      <c r="J38" s="681" t="str">
        <f>Sprache!$E$111</f>
        <v>:</v>
      </c>
      <c r="K38" s="682">
        <v>0</v>
      </c>
      <c r="M38" s="280"/>
      <c r="N38" s="281"/>
      <c r="O38" s="282"/>
      <c r="P38" s="282"/>
      <c r="Q38" s="282"/>
      <c r="R38" s="282"/>
      <c r="S38" s="283"/>
      <c r="T38" s="282"/>
      <c r="U38" s="281"/>
      <c r="V38" s="282"/>
      <c r="W38" s="284"/>
      <c r="X38" s="282"/>
      <c r="Y38" s="282"/>
      <c r="Z38" s="282"/>
      <c r="AA38" s="282"/>
      <c r="AB38" s="282"/>
      <c r="AC38" s="282"/>
      <c r="AD38" s="281"/>
    </row>
    <row r="39" spans="2:35" ht="24" customHeight="1" thickBot="1" x14ac:dyDescent="0.25">
      <c r="B39" s="677">
        <f ca="1">Planung!$E33</f>
        <v>28</v>
      </c>
      <c r="C39" s="691">
        <f ca="1">Planung!$F33</f>
        <v>0.52083333333333337</v>
      </c>
      <c r="D39" s="692">
        <f ca="1">Planung!$G33</f>
        <v>4</v>
      </c>
      <c r="E39" s="692" t="str">
        <f ca="1">Planung!$H33</f>
        <v>D</v>
      </c>
      <c r="F39" s="678" t="str">
        <f ca="1">Planung!$L33</f>
        <v>Paris St. Germain</v>
      </c>
      <c r="G39" s="220" t="s">
        <v>5</v>
      </c>
      <c r="H39" s="679" t="str">
        <f ca="1">Planung!$N33</f>
        <v>RB Leipzig</v>
      </c>
      <c r="I39" s="680">
        <v>3</v>
      </c>
      <c r="J39" s="681" t="str">
        <f>Sprache!$E$111</f>
        <v>:</v>
      </c>
      <c r="K39" s="682">
        <v>1</v>
      </c>
      <c r="M39" s="280"/>
      <c r="N39" s="281"/>
      <c r="O39" s="282"/>
      <c r="P39" s="282"/>
      <c r="Q39" s="282"/>
      <c r="R39" s="282"/>
      <c r="S39" s="283"/>
      <c r="T39" s="282"/>
      <c r="U39" s="281"/>
      <c r="V39" s="282"/>
      <c r="W39" s="284"/>
      <c r="X39" s="282"/>
      <c r="Y39" s="282"/>
      <c r="Z39" s="282"/>
      <c r="AA39" s="282"/>
      <c r="AB39" s="282"/>
      <c r="AC39" s="282"/>
      <c r="AD39" s="281"/>
    </row>
    <row r="40" spans="2:35" ht="24" customHeight="1" thickBot="1" x14ac:dyDescent="0.45">
      <c r="B40" s="677">
        <f ca="1">Planung!$E34</f>
        <v>29</v>
      </c>
      <c r="C40" s="691">
        <f ca="1">Planung!$F34</f>
        <v>0.54513888888888884</v>
      </c>
      <c r="D40" s="692">
        <f ca="1">Planung!$G34</f>
        <v>1</v>
      </c>
      <c r="E40" s="692" t="str">
        <f ca="1">Planung!$H34</f>
        <v>A</v>
      </c>
      <c r="F40" s="678" t="str">
        <f ca="1">Planung!$L34</f>
        <v>Eintracht Frankfurt</v>
      </c>
      <c r="G40" s="220" t="s">
        <v>5</v>
      </c>
      <c r="H40" s="679" t="str">
        <f ca="1">Planung!$N34</f>
        <v>1. FC Riedwald</v>
      </c>
      <c r="I40" s="680">
        <v>6</v>
      </c>
      <c r="J40" s="681" t="str">
        <f>Sprache!$E$111</f>
        <v>:</v>
      </c>
      <c r="K40" s="682">
        <v>2</v>
      </c>
      <c r="M40" s="796" t="str">
        <f>Sprache!$E$16&amp;" D"</f>
        <v>Gruppe D</v>
      </c>
      <c r="N40" s="796"/>
      <c r="O40" s="199"/>
      <c r="P40" s="199"/>
      <c r="Q40" s="199"/>
      <c r="R40" s="199"/>
      <c r="S40" s="199"/>
      <c r="T40" s="199"/>
      <c r="U40" s="199"/>
      <c r="V40" s="199"/>
      <c r="W40" s="199"/>
      <c r="X40" s="287" t="str">
        <f ca="1">IF(LEN(N42)&gt;Einstellungen!$C$17,LEFT(N42,Einstellungen!$C$17)&amp;".",N42)</f>
        <v>Paris S.</v>
      </c>
      <c r="Y40" s="288" t="str">
        <f ca="1">IF(LEN(N43)&gt;Einstellungen!$C$17,LEFT(N43,Einstellungen!$C$17)&amp;".",N43)</f>
        <v>RB Leip.</v>
      </c>
      <c r="Z40" s="288" t="str">
        <f ca="1">IF(LEN(N44)&gt;Einstellungen!$C$17,LEFT(N44,Einstellungen!$C$17)&amp;".",N44)</f>
        <v>HSV</v>
      </c>
      <c r="AA40" s="288" t="str">
        <f ca="1">IF(LEN(N45)&gt;Einstellungen!$C$17,LEFT(N45,Einstellungen!$C$17)&amp;".",N45)</f>
        <v>SV Ober.</v>
      </c>
      <c r="AB40" s="288" t="str">
        <f ca="1">IF(LEN(N46)&gt;Einstellungen!$C$17,LEFT(N46,Einstellungen!$C$17)&amp;".",N46)</f>
        <v>TSG Saa.</v>
      </c>
      <c r="AC40" s="289" t="str">
        <f ca="1">IF(LEN(N47)&gt;Einstellungen!$C$17,LEFT(N47,Einstellungen!$C$17)&amp;".",N47)</f>
        <v/>
      </c>
      <c r="AD40" s="200"/>
      <c r="AG40" s="796" t="str">
        <f>Sprache!$E$16&amp;" D"</f>
        <v>Gruppe D</v>
      </c>
      <c r="AH40" s="796"/>
    </row>
    <row r="41" spans="2:35" ht="24" customHeight="1" thickTop="1" thickBot="1" x14ac:dyDescent="0.25">
      <c r="B41" s="677">
        <f ca="1">Planung!$E35</f>
        <v>30</v>
      </c>
      <c r="C41" s="691">
        <f ca="1">Planung!$F35</f>
        <v>0.54513888888888884</v>
      </c>
      <c r="D41" s="692">
        <f ca="1">Planung!$G35</f>
        <v>2</v>
      </c>
      <c r="E41" s="692" t="str">
        <f ca="1">Planung!$H35</f>
        <v>B</v>
      </c>
      <c r="F41" s="678" t="str">
        <f ca="1">Planung!$L35</f>
        <v>SSV Wildbach</v>
      </c>
      <c r="G41" s="220" t="s">
        <v>5</v>
      </c>
      <c r="H41" s="679" t="str">
        <f ca="1">Planung!$N35</f>
        <v>Mainz 05</v>
      </c>
      <c r="I41" s="680">
        <v>2</v>
      </c>
      <c r="J41" s="681" t="str">
        <f>Sprache!$E$111</f>
        <v>:</v>
      </c>
      <c r="K41" s="682">
        <v>2</v>
      </c>
      <c r="M41" s="794"/>
      <c r="N41" s="795"/>
      <c r="O41" s="201" t="str">
        <f>Sprache!$E$21</f>
        <v>SP</v>
      </c>
      <c r="P41" s="202" t="str">
        <f>Sprache!$E$22</f>
        <v>G</v>
      </c>
      <c r="Q41" s="202" t="str">
        <f>Sprache!$E$23</f>
        <v>U</v>
      </c>
      <c r="R41" s="452" t="str">
        <f>Sprache!$E$24</f>
        <v>V</v>
      </c>
      <c r="S41" s="791" t="str">
        <f>Sprache!$E$25</f>
        <v>Tore</v>
      </c>
      <c r="T41" s="792"/>
      <c r="U41" s="793"/>
      <c r="V41" s="202" t="str">
        <f>Sprache!$E$26</f>
        <v>Diff.</v>
      </c>
      <c r="W41" s="204" t="str">
        <f>Sprache!$E$27</f>
        <v>Pkt</v>
      </c>
      <c r="X41" s="205" t="str">
        <f ca="1">N42</f>
        <v>Paris St. Germain</v>
      </c>
      <c r="Y41" s="206" t="str">
        <f ca="1">N43</f>
        <v>RB Leipzig</v>
      </c>
      <c r="Z41" s="206" t="str">
        <f ca="1">N44</f>
        <v>HSV</v>
      </c>
      <c r="AA41" s="206" t="str">
        <f ca="1">N45</f>
        <v>SV Oberredenburg</v>
      </c>
      <c r="AB41" s="206" t="str">
        <f ca="1">N46</f>
        <v>TSG Saalberg eV</v>
      </c>
      <c r="AC41" s="635" t="str">
        <f ca="1">N47</f>
        <v/>
      </c>
      <c r="AD41" s="200"/>
      <c r="AG41" s="428" t="str">
        <f>Sprache!$E$9</f>
        <v>Nr.</v>
      </c>
      <c r="AH41" s="429" t="str">
        <f>Sprache!$E$10</f>
        <v>Teilnehmer bzw. Mannschaft</v>
      </c>
      <c r="AI41" s="430" t="str">
        <f>Sprache!$E$49</f>
        <v>Bonus</v>
      </c>
    </row>
    <row r="42" spans="2:35" ht="24" customHeight="1" x14ac:dyDescent="0.2">
      <c r="B42" s="677">
        <f ca="1">Planung!$E36</f>
        <v>31</v>
      </c>
      <c r="C42" s="691">
        <f ca="1">Planung!$F36</f>
        <v>0.54513888888888884</v>
      </c>
      <c r="D42" s="692">
        <f ca="1">Planung!$G36</f>
        <v>3</v>
      </c>
      <c r="E42" s="692" t="str">
        <f ca="1">Planung!$H36</f>
        <v>C</v>
      </c>
      <c r="F42" s="678" t="str">
        <f ca="1">Planung!$L36</f>
        <v>Borussia Dortmund</v>
      </c>
      <c r="G42" s="220" t="s">
        <v>5</v>
      </c>
      <c r="H42" s="679" t="str">
        <f ca="1">Planung!$N36</f>
        <v>Kickers Rodendorf</v>
      </c>
      <c r="I42" s="680">
        <v>4</v>
      </c>
      <c r="J42" s="681" t="str">
        <f>Sprache!$E$111</f>
        <v>:</v>
      </c>
      <c r="K42" s="682">
        <v>1</v>
      </c>
      <c r="M42" s="370">
        <f ca="1">IF(Calc4!$K$13=0,"",1)</f>
        <v>1</v>
      </c>
      <c r="N42" s="371" t="str">
        <f ca="1">IF(Calc1!$F$14&lt;3,"",IF(Calc4!$K$13=0,Calc4!$Q64,VLOOKUP(Calc4!B4,Calc4!$C$4:$N$12,4,0)))</f>
        <v>Paris St. Germain</v>
      </c>
      <c r="O42" s="207">
        <f ca="1">IF(Calc4!$K$13=0,"",VLOOKUP(Calc4!B4,Calc4!$C$4:$N$12,9,0))</f>
        <v>4</v>
      </c>
      <c r="P42" s="208">
        <f ca="1">IF(Calc4!$K$13=0,"",VLOOKUP(Calc4!B4,Calc4!$C$4:$N$12,10,0))</f>
        <v>4</v>
      </c>
      <c r="Q42" s="208">
        <f ca="1">IF(Calc4!$K$13=0,"",VLOOKUP(Calc4!B4,Calc4!$C$4:$N$12,11,0))</f>
        <v>0</v>
      </c>
      <c r="R42" s="209">
        <f ca="1">IF(Calc4!$K$13=0,"",VLOOKUP(Calc4!B4,Calc4!$C$4:$N$12,12,0))</f>
        <v>0</v>
      </c>
      <c r="S42" s="210">
        <f ca="1">IF(Calc4!$K$13=0,"",VLOOKUP(Calc4!B4,Calc4!$C$4:$N$12,5,0))</f>
        <v>18</v>
      </c>
      <c r="T42" s="211" t="str">
        <f>Sprache!$E$111</f>
        <v>:</v>
      </c>
      <c r="U42" s="212">
        <f ca="1">IF(Calc4!$K$13=0,"",VLOOKUP(Calc4!B4,Calc4!$C$4:$N$12,6,0))</f>
        <v>5</v>
      </c>
      <c r="V42" s="207">
        <f ca="1">IF(Calc4!$K$13=0,"",VLOOKUP(Calc4!B4,Calc4!$C$4:$N$12,7,0))</f>
        <v>13</v>
      </c>
      <c r="W42" s="213">
        <f ca="1">IF(Calc4!$K$13=0,"",VLOOKUP(Calc4!B4,Calc4!$C$4:$N$12,8,0))</f>
        <v>12</v>
      </c>
      <c r="X42" s="214"/>
      <c r="Y42" s="208" t="str">
        <f ca="1">IFERROR(VLOOKUP($N42&amp;Y$41,Calc4!$Z$64:$AB$207,3,0),"")</f>
        <v>3:1</v>
      </c>
      <c r="Z42" s="208" t="str">
        <f ca="1">IFERROR(VLOOKUP($N42&amp;Z$41,Calc4!$Z$64:$AB$207,3,0),"")</f>
        <v>3:2</v>
      </c>
      <c r="AA42" s="208" t="str">
        <f ca="1">IFERROR(VLOOKUP($N42&amp;AA$41,Calc4!$Z$64:$AB$207,3,0),"")</f>
        <v>5:2</v>
      </c>
      <c r="AB42" s="208" t="str">
        <f ca="1">IFERROR(VLOOKUP($N42&amp;AB$41,Calc4!$Z$64:$AB$207,3,0),"")</f>
        <v>7:0</v>
      </c>
      <c r="AC42" s="215" t="str">
        <f ca="1">IFERROR(VLOOKUP($N42&amp;AC$41,Calc4!$Z$64:$AB$207,3,0),"")</f>
        <v/>
      </c>
      <c r="AD42" s="216" t="str">
        <f t="shared" ref="AD42:AD47" ca="1" si="3">N42</f>
        <v>Paris St. Germain</v>
      </c>
      <c r="AG42" s="431" t="s">
        <v>325</v>
      </c>
      <c r="AH42" s="432" t="str">
        <f>IF(Planung!$C58="","",Planung!$C58)</f>
        <v>TSG Saalberg eV</v>
      </c>
      <c r="AI42" s="433"/>
    </row>
    <row r="43" spans="2:35" ht="24" customHeight="1" x14ac:dyDescent="0.2">
      <c r="B43" s="677">
        <f ca="1">Planung!$E37</f>
        <v>32</v>
      </c>
      <c r="C43" s="691">
        <f ca="1">Planung!$F37</f>
        <v>0.54513888888888884</v>
      </c>
      <c r="D43" s="692">
        <f ca="1">Planung!$G37</f>
        <v>4</v>
      </c>
      <c r="E43" s="692" t="str">
        <f ca="1">Planung!$H37</f>
        <v>D</v>
      </c>
      <c r="F43" s="678" t="str">
        <f ca="1">Planung!$L37</f>
        <v>HSV</v>
      </c>
      <c r="G43" s="220" t="s">
        <v>5</v>
      </c>
      <c r="H43" s="679" t="str">
        <f ca="1">Planung!$N37</f>
        <v>TSG Saalberg eV</v>
      </c>
      <c r="I43" s="680">
        <v>3</v>
      </c>
      <c r="J43" s="681" t="str">
        <f>Sprache!$E$111</f>
        <v>:</v>
      </c>
      <c r="K43" s="682">
        <v>2</v>
      </c>
      <c r="M43" s="372">
        <f ca="1">IF(Calc4!$K$13=0,"",IF(VLOOKUP(Calc4!B5,Calc4!$C$4:$E$12,3,0)=MAX(M$42:M42),VLOOKUP(Calc4!B5,Calc4!$C$4:$E$12,3,0),Calc4!B5))</f>
        <v>2</v>
      </c>
      <c r="N43" s="373" t="str">
        <f ca="1">IF(Calc1!$F$14&lt;3,"",IF(Calc4!$K$13=0,Calc4!$Q65,VLOOKUP(Calc4!B5,Calc4!$C$4:$N$12,4,0)))</f>
        <v>RB Leipzig</v>
      </c>
      <c r="O43" s="217">
        <f ca="1">IF(Calc4!$K$13=0,"",VLOOKUP(Calc4!B5,Calc4!$C$4:$N$12,9,0))</f>
        <v>4</v>
      </c>
      <c r="P43" s="198">
        <f ca="1">IF(Calc4!$K$13=0,"",VLOOKUP(Calc4!B5,Calc4!$C$4:$N$12,10,0))</f>
        <v>2</v>
      </c>
      <c r="Q43" s="198">
        <f ca="1">IF(Calc4!$K$13=0,"",VLOOKUP(Calc4!B5,Calc4!$C$4:$N$12,11,0))</f>
        <v>1</v>
      </c>
      <c r="R43" s="218">
        <f ca="1">IF(Calc4!$K$13=0,"",VLOOKUP(Calc4!B5,Calc4!$C$4:$N$12,12,0))</f>
        <v>1</v>
      </c>
      <c r="S43" s="219">
        <f ca="1">IF(Calc4!$K$13=0,"",VLOOKUP(Calc4!B5,Calc4!$C$4:$N$12,5,0))</f>
        <v>10</v>
      </c>
      <c r="T43" s="220" t="str">
        <f>Sprache!$E$111</f>
        <v>:</v>
      </c>
      <c r="U43" s="221">
        <f ca="1">IF(Calc4!$K$13=0,"",VLOOKUP(Calc4!B5,Calc4!$C$4:$N$12,6,0))</f>
        <v>6</v>
      </c>
      <c r="V43" s="217">
        <f ca="1">IF(Calc4!$K$13=0,"",VLOOKUP(Calc4!B5,Calc4!$C$4:$N$12,7,0))</f>
        <v>4</v>
      </c>
      <c r="W43" s="222">
        <f ca="1">IF(Calc4!$K$13=0,"",VLOOKUP(Calc4!B5,Calc4!$C$4:$N$12,8,0))</f>
        <v>7</v>
      </c>
      <c r="X43" s="223" t="str">
        <f ca="1">IFERROR(VLOOKUP($N43&amp;X$41,Calc4!$Z$64:$AB$207,3,0),"")</f>
        <v>1:3</v>
      </c>
      <c r="Y43" s="224"/>
      <c r="Z43" s="198" t="str">
        <f ca="1">IFERROR(VLOOKUP($N43&amp;Z$41,Calc4!$Z$64:$AB$207,3,0),"")</f>
        <v>2:2</v>
      </c>
      <c r="AA43" s="198" t="str">
        <f ca="1">IFERROR(VLOOKUP($N43&amp;AA$41,Calc4!$Z$64:$AB$207,3,0),"")</f>
        <v>3:0</v>
      </c>
      <c r="AB43" s="198" t="str">
        <f ca="1">IFERROR(VLOOKUP($N43&amp;AB$41,Calc4!$Z$64:$AB$207,3,0),"")</f>
        <v>4:1</v>
      </c>
      <c r="AC43" s="225" t="str">
        <f ca="1">IFERROR(VLOOKUP($N43&amp;AC$41,Calc4!$Z$64:$AB$207,3,0),"")</f>
        <v/>
      </c>
      <c r="AD43" s="226" t="str">
        <f t="shared" ca="1" si="3"/>
        <v>RB Leipzig</v>
      </c>
      <c r="AG43" s="434" t="s">
        <v>326</v>
      </c>
      <c r="AH43" s="435" t="str">
        <f>IF(Planung!$C60="","",Planung!$C60)</f>
        <v>Paris St. Germain</v>
      </c>
      <c r="AI43" s="436"/>
    </row>
    <row r="44" spans="2:35" ht="24" customHeight="1" x14ac:dyDescent="0.2">
      <c r="B44" s="677">
        <f ca="1">Planung!$E38</f>
        <v>33</v>
      </c>
      <c r="C44" s="691">
        <f ca="1">Planung!$F38</f>
        <v>0.56944444444444442</v>
      </c>
      <c r="D44" s="692">
        <f ca="1">Planung!$G38</f>
        <v>1</v>
      </c>
      <c r="E44" s="692" t="str">
        <f ca="1">Planung!$H38</f>
        <v>A</v>
      </c>
      <c r="F44" s="678" t="str">
        <f ca="1">Planung!$L38</f>
        <v>Maibach 1822 eV</v>
      </c>
      <c r="G44" s="220" t="s">
        <v>5</v>
      </c>
      <c r="H44" s="679" t="str">
        <f ca="1">Planung!$N38</f>
        <v>VFB Essenheim</v>
      </c>
      <c r="I44" s="680">
        <v>3</v>
      </c>
      <c r="J44" s="681" t="str">
        <f>Sprache!$E$111</f>
        <v>:</v>
      </c>
      <c r="K44" s="682">
        <v>5</v>
      </c>
      <c r="M44" s="372">
        <f ca="1">IF(Calc4!$K$13=0,"",IF(VLOOKUP(Calc4!B6,Calc4!$C$4:$E$12,3,0)=MAX(M$42:M43),VLOOKUP(Calc4!B6,Calc4!$C$4:$E$12,3,0),Calc4!B6))</f>
        <v>3</v>
      </c>
      <c r="N44" s="373" t="str">
        <f ca="1">IF(Calc1!$F$14&lt;3,"",IF(Calc4!$K$13=0,Calc4!$Q66,VLOOKUP(Calc4!B6,Calc4!$C$4:$N$12,4,0)))</f>
        <v>HSV</v>
      </c>
      <c r="O44" s="217">
        <f ca="1">IF(Calc4!$K$13=0,"",VLOOKUP(Calc4!B6,Calc4!$C$4:$N$12,9,0))</f>
        <v>4</v>
      </c>
      <c r="P44" s="198">
        <f ca="1">IF(Calc4!$K$13=0,"",VLOOKUP(Calc4!B6,Calc4!$C$4:$N$12,10,0))</f>
        <v>2</v>
      </c>
      <c r="Q44" s="198">
        <f ca="1">IF(Calc4!$K$13=0,"",VLOOKUP(Calc4!B6,Calc4!$C$4:$N$12,11,0))</f>
        <v>1</v>
      </c>
      <c r="R44" s="218">
        <f ca="1">IF(Calc4!$K$13=0,"",VLOOKUP(Calc4!B6,Calc4!$C$4:$N$12,12,0))</f>
        <v>1</v>
      </c>
      <c r="S44" s="219">
        <f ca="1">IF(Calc4!$K$13=0,"",VLOOKUP(Calc4!B6,Calc4!$C$4:$N$12,5,0))</f>
        <v>8</v>
      </c>
      <c r="T44" s="220" t="str">
        <f>Sprache!$E$111</f>
        <v>:</v>
      </c>
      <c r="U44" s="221">
        <f ca="1">IF(Calc4!$K$13=0,"",VLOOKUP(Calc4!B6,Calc4!$C$4:$N$12,6,0))</f>
        <v>7</v>
      </c>
      <c r="V44" s="217">
        <f ca="1">IF(Calc4!$K$13=0,"",VLOOKUP(Calc4!B6,Calc4!$C$4:$N$12,7,0))</f>
        <v>1</v>
      </c>
      <c r="W44" s="222">
        <f ca="1">IF(Calc4!$K$13=0,"",VLOOKUP(Calc4!B6,Calc4!$C$4:$N$12,8,0))</f>
        <v>7</v>
      </c>
      <c r="X44" s="223" t="str">
        <f ca="1">IFERROR(VLOOKUP($N44&amp;X$41,Calc4!$Z$64:$AB$207,3,0),"")</f>
        <v>2:3</v>
      </c>
      <c r="Y44" s="402" t="str">
        <f ca="1">IFERROR(VLOOKUP($N44&amp;Y$41,Calc4!$Z$64:$AB$207,3,0),"")</f>
        <v>2:2</v>
      </c>
      <c r="Z44" s="224"/>
      <c r="AA44" s="198" t="str">
        <f ca="1">IFERROR(VLOOKUP($N44&amp;AA$41,Calc4!$Z$64:$AB$207,3,0),"")</f>
        <v>1:0</v>
      </c>
      <c r="AB44" s="198" t="str">
        <f ca="1">IFERROR(VLOOKUP($N44&amp;AB$41,Calc4!$Z$64:$AB$207,3,0),"")</f>
        <v>3:2</v>
      </c>
      <c r="AC44" s="225" t="str">
        <f ca="1">IFERROR(VLOOKUP($N44&amp;AC$41,Calc4!$Z$64:$AB$207,3,0),"")</f>
        <v/>
      </c>
      <c r="AD44" s="226" t="str">
        <f t="shared" ca="1" si="3"/>
        <v>HSV</v>
      </c>
      <c r="AG44" s="434" t="s">
        <v>327</v>
      </c>
      <c r="AH44" s="435" t="str">
        <f>IF(Planung!$C62="","",Planung!$C62)</f>
        <v>HSV</v>
      </c>
      <c r="AI44" s="436"/>
    </row>
    <row r="45" spans="2:35" ht="24" customHeight="1" x14ac:dyDescent="0.2">
      <c r="B45" s="677">
        <f ca="1">Planung!$E39</f>
        <v>34</v>
      </c>
      <c r="C45" s="691">
        <f ca="1">Planung!$F39</f>
        <v>0.56944444444444442</v>
      </c>
      <c r="D45" s="692">
        <f ca="1">Planung!$G39</f>
        <v>2</v>
      </c>
      <c r="E45" s="692" t="str">
        <f ca="1">Planung!$H39</f>
        <v>B</v>
      </c>
      <c r="F45" s="678" t="str">
        <f ca="1">Planung!$L39</f>
        <v>Manchester City</v>
      </c>
      <c r="G45" s="220" t="s">
        <v>5</v>
      </c>
      <c r="H45" s="679" t="str">
        <f ca="1">Planung!$N39</f>
        <v>FC Grönlingen</v>
      </c>
      <c r="I45" s="680">
        <v>4</v>
      </c>
      <c r="J45" s="681" t="str">
        <f>Sprache!$E$111</f>
        <v>:</v>
      </c>
      <c r="K45" s="682">
        <v>2</v>
      </c>
      <c r="M45" s="372">
        <f ca="1">IF(Calc4!$K$13=0,"",IF(VLOOKUP(Calc4!B7,Calc4!$C$4:$E$12,3,0)=MAX(M$42:M44),VLOOKUP(Calc4!B7,Calc4!$C$4:$E$12,3,0),Calc4!B7))</f>
        <v>4</v>
      </c>
      <c r="N45" s="373" t="str">
        <f ca="1">IF(Calc1!$F$14&lt;3,"",IF(Calc4!$K$13=0,Calc4!$Q67,VLOOKUP(Calc4!B7,Calc4!$C$4:$N$12,4,0)))</f>
        <v>SV Oberredenburg</v>
      </c>
      <c r="O45" s="217">
        <f ca="1">IF(Calc4!$K$13=0,"",VLOOKUP(Calc4!B7,Calc4!$C$4:$N$12,9,0))</f>
        <v>4</v>
      </c>
      <c r="P45" s="198">
        <f ca="1">IF(Calc4!$K$13=0,"",VLOOKUP(Calc4!B7,Calc4!$C$4:$N$12,10,0))</f>
        <v>1</v>
      </c>
      <c r="Q45" s="198">
        <f ca="1">IF(Calc4!$K$13=0,"",VLOOKUP(Calc4!B7,Calc4!$C$4:$N$12,11,0))</f>
        <v>0</v>
      </c>
      <c r="R45" s="218">
        <f ca="1">IF(Calc4!$K$13=0,"",VLOOKUP(Calc4!B7,Calc4!$C$4:$N$12,12,0))</f>
        <v>3</v>
      </c>
      <c r="S45" s="219">
        <f ca="1">IF(Calc4!$K$13=0,"",VLOOKUP(Calc4!B7,Calc4!$C$4:$N$12,5,0))</f>
        <v>5</v>
      </c>
      <c r="T45" s="220" t="str">
        <f>Sprache!$E$111</f>
        <v>:</v>
      </c>
      <c r="U45" s="221">
        <f ca="1">IF(Calc4!$K$13=0,"",VLOOKUP(Calc4!B7,Calc4!$C$4:$N$12,6,0))</f>
        <v>11</v>
      </c>
      <c r="V45" s="217">
        <f ca="1">IF(Calc4!$K$13=0,"",VLOOKUP(Calc4!B7,Calc4!$C$4:$N$12,7,0))</f>
        <v>-6</v>
      </c>
      <c r="W45" s="222">
        <f ca="1">IF(Calc4!$K$13=0,"",VLOOKUP(Calc4!B7,Calc4!$C$4:$N$12,8,0))</f>
        <v>3</v>
      </c>
      <c r="X45" s="223" t="str">
        <f ca="1">IFERROR(VLOOKUP($N45&amp;X$41,Calc4!$Z$64:$AB$207,3,0),"")</f>
        <v>2:5</v>
      </c>
      <c r="Y45" s="402" t="str">
        <f ca="1">IFERROR(VLOOKUP($N45&amp;Y$41,Calc4!$Z$64:$AB$207,3,0),"")</f>
        <v>0:3</v>
      </c>
      <c r="Z45" s="198" t="str">
        <f ca="1">IFERROR(VLOOKUP($N45&amp;Z$41,Calc4!$Z$64:$AB$207,3,0),"")</f>
        <v>0:1</v>
      </c>
      <c r="AA45" s="224"/>
      <c r="AB45" s="198" t="str">
        <f ca="1">IFERROR(VLOOKUP($N45&amp;AB$41,Calc4!$Z$64:$AB$207,3,0),"")</f>
        <v>3:2</v>
      </c>
      <c r="AC45" s="225" t="str">
        <f ca="1">IFERROR(VLOOKUP($N45&amp;AC$41,Calc4!$Z$64:$AB$207,3,0),"")</f>
        <v/>
      </c>
      <c r="AD45" s="226" t="str">
        <f t="shared" ca="1" si="3"/>
        <v>SV Oberredenburg</v>
      </c>
      <c r="AG45" s="434" t="s">
        <v>328</v>
      </c>
      <c r="AH45" s="435" t="str">
        <f>IF(Planung!$C64="","",Planung!$C64)</f>
        <v>RB Leipzig</v>
      </c>
      <c r="AI45" s="436"/>
    </row>
    <row r="46" spans="2:35" ht="24" customHeight="1" x14ac:dyDescent="0.2">
      <c r="B46" s="677">
        <f ca="1">Planung!$E40</f>
        <v>35</v>
      </c>
      <c r="C46" s="691">
        <f ca="1">Planung!$F40</f>
        <v>0.56944444444444442</v>
      </c>
      <c r="D46" s="692">
        <f ca="1">Planung!$G40</f>
        <v>3</v>
      </c>
      <c r="E46" s="692" t="str">
        <f ca="1">Planung!$H40</f>
        <v>C</v>
      </c>
      <c r="F46" s="678" t="str">
        <f ca="1">Planung!$L40</f>
        <v>FSV Rauen</v>
      </c>
      <c r="G46" s="220" t="s">
        <v>5</v>
      </c>
      <c r="H46" s="679" t="str">
        <f ca="1">Planung!$N40</f>
        <v>1. FC Nürnberg</v>
      </c>
      <c r="I46" s="680">
        <v>3</v>
      </c>
      <c r="J46" s="681" t="str">
        <f>Sprache!$E$111</f>
        <v>:</v>
      </c>
      <c r="K46" s="682">
        <v>4</v>
      </c>
      <c r="M46" s="372">
        <f ca="1">IF(Calc4!$K$13=0,"",IF(VLOOKUP(Calc4!B8,Calc4!$C$4:$E$12,3,0)=MAX(M$42:M45),VLOOKUP(Calc4!B8,Calc4!$C$4:$E$12,3,0),Calc4!B8))</f>
        <v>5</v>
      </c>
      <c r="N46" s="373" t="str">
        <f ca="1">IF(Calc1!$F$14&lt;3,"",IF(Calc4!$K$13=0,Calc4!$Q68,VLOOKUP(Calc4!B8,Calc4!$C$4:$N$12,4,0)))</f>
        <v>TSG Saalberg eV</v>
      </c>
      <c r="O46" s="217">
        <f ca="1">IF(Calc4!$K$13=0,"",VLOOKUP(Calc4!B8,Calc4!$C$4:$N$12,9,0))</f>
        <v>4</v>
      </c>
      <c r="P46" s="198">
        <f ca="1">IF(Calc4!$K$13=0,"",VLOOKUP(Calc4!B8,Calc4!$C$4:$N$12,10,0))</f>
        <v>0</v>
      </c>
      <c r="Q46" s="198">
        <f ca="1">IF(Calc4!$K$13=0,"",VLOOKUP(Calc4!B8,Calc4!$C$4:$N$12,11,0))</f>
        <v>0</v>
      </c>
      <c r="R46" s="218">
        <f ca="1">IF(Calc4!$K$13=0,"",VLOOKUP(Calc4!B8,Calc4!$C$4:$N$12,12,0))</f>
        <v>4</v>
      </c>
      <c r="S46" s="219">
        <f ca="1">IF(Calc4!$K$13=0,"",VLOOKUP(Calc4!B8,Calc4!$C$4:$N$12,5,0))</f>
        <v>5</v>
      </c>
      <c r="T46" s="220" t="str">
        <f>Sprache!$E$111</f>
        <v>:</v>
      </c>
      <c r="U46" s="221">
        <f ca="1">IF(Calc4!$K$13=0,"",VLOOKUP(Calc4!B8,Calc4!$C$4:$N$12,6,0))</f>
        <v>17</v>
      </c>
      <c r="V46" s="217">
        <f ca="1">IF(Calc4!$K$13=0,"",VLOOKUP(Calc4!B8,Calc4!$C$4:$N$12,7,0))</f>
        <v>-12</v>
      </c>
      <c r="W46" s="222">
        <f ca="1">IF(Calc4!$K$13=0,"",VLOOKUP(Calc4!B8,Calc4!$C$4:$N$12,8,0))</f>
        <v>0</v>
      </c>
      <c r="X46" s="223" t="str">
        <f ca="1">IFERROR(VLOOKUP($N46&amp;X$41,Calc4!$Z$64:$AB$207,3,0),"")</f>
        <v>0:7</v>
      </c>
      <c r="Y46" s="402" t="str">
        <f ca="1">IFERROR(VLOOKUP($N46&amp;Y$41,Calc4!$Z$64:$AB$207,3,0),"")</f>
        <v>1:4</v>
      </c>
      <c r="Z46" s="198" t="str">
        <f ca="1">IFERROR(VLOOKUP($N46&amp;Z$41,Calc4!$Z$64:$AB$207,3,0),"")</f>
        <v>2:3</v>
      </c>
      <c r="AA46" s="198" t="str">
        <f ca="1">IFERROR(VLOOKUP($N46&amp;AA$41,Calc4!$Z$64:$AB$207,3,0),"")</f>
        <v>2:3</v>
      </c>
      <c r="AB46" s="224"/>
      <c r="AC46" s="225" t="str">
        <f ca="1">IFERROR(VLOOKUP($N46&amp;AC$41,Calc4!$Z$64:$AB$207,3,0),"")</f>
        <v/>
      </c>
      <c r="AD46" s="226" t="str">
        <f t="shared" ca="1" si="3"/>
        <v>TSG Saalberg eV</v>
      </c>
      <c r="AG46" s="434" t="s">
        <v>329</v>
      </c>
      <c r="AH46" s="435" t="str">
        <f>IF(Planung!$C66="","",Planung!$C66)</f>
        <v>SV Oberredenburg</v>
      </c>
      <c r="AI46" s="436"/>
    </row>
    <row r="47" spans="2:35" ht="24" customHeight="1" thickBot="1" x14ac:dyDescent="0.25">
      <c r="B47" s="677">
        <f ca="1">Planung!$E41</f>
        <v>36</v>
      </c>
      <c r="C47" s="691">
        <f ca="1">Planung!$F41</f>
        <v>0.56944444444444442</v>
      </c>
      <c r="D47" s="692">
        <f ca="1">Planung!$G41</f>
        <v>4</v>
      </c>
      <c r="E47" s="692" t="str">
        <f ca="1">Planung!$H41</f>
        <v>D</v>
      </c>
      <c r="F47" s="678" t="str">
        <f ca="1">Planung!$L41</f>
        <v>RB Leipzig</v>
      </c>
      <c r="G47" s="220" t="s">
        <v>5</v>
      </c>
      <c r="H47" s="679" t="str">
        <f ca="1">Planung!$N41</f>
        <v>SV Oberredenburg</v>
      </c>
      <c r="I47" s="680">
        <v>3</v>
      </c>
      <c r="J47" s="681" t="str">
        <f>Sprache!$E$111</f>
        <v>:</v>
      </c>
      <c r="K47" s="682">
        <v>0</v>
      </c>
      <c r="M47" s="374">
        <f ca="1">IF(Calc4!$K$13=0,"",IF(VLOOKUP(Calc4!B9,Calc4!$C$4:$E$12,3,0)=MAX(M$42:M46),VLOOKUP(Calc4!B9,Calc4!$C$4:$E$12,3,0),Calc4!B9))</f>
        <v>5</v>
      </c>
      <c r="N47" s="375" t="str">
        <f ca="1">IF(Calc1!$F$14&lt;3,"",IF(Calc4!$K$13=0,Calc4!$Q69,VLOOKUP(Calc4!B9,Calc4!$C$4:$N$12,4,0)))</f>
        <v/>
      </c>
      <c r="O47" s="227">
        <f ca="1">IF(Calc4!$K$13=0,"",VLOOKUP(Calc4!B9,Calc4!$C$4:$N$12,9,0))</f>
        <v>0</v>
      </c>
      <c r="P47" s="228">
        <f ca="1">IF(Calc4!$K$13=0,"",VLOOKUP(Calc4!B9,Calc4!$C$4:$N$12,10,0))</f>
        <v>0</v>
      </c>
      <c r="Q47" s="228">
        <f ca="1">IF(Calc4!$K$13=0,"",VLOOKUP(Calc4!B9,Calc4!$C$4:$N$12,11,0))</f>
        <v>0</v>
      </c>
      <c r="R47" s="229">
        <f ca="1">IF(Calc4!$K$13=0,"",VLOOKUP(Calc4!B9,Calc4!$C$4:$N$12,12,0))</f>
        <v>0</v>
      </c>
      <c r="S47" s="230">
        <f ca="1">IF(Calc4!$K$13=0,"",VLOOKUP(Calc4!B9,Calc4!$C$4:$N$12,5,0))</f>
        <v>0</v>
      </c>
      <c r="T47" s="231" t="str">
        <f>Sprache!$E$111</f>
        <v>:</v>
      </c>
      <c r="U47" s="232">
        <f ca="1">IF(Calc4!$K$13=0,"",VLOOKUP(Calc4!B9,Calc4!$C$4:$N$12,6,0))</f>
        <v>0</v>
      </c>
      <c r="V47" s="227">
        <f ca="1">IF(Calc4!$K$13=0,"",VLOOKUP(Calc4!B9,Calc4!$C$4:$N$12,7,0))</f>
        <v>0</v>
      </c>
      <c r="W47" s="233">
        <f ca="1">IF(Calc4!$K$13=0,"",VLOOKUP(Calc4!B9,Calc4!$C$4:$N$12,8,0))</f>
        <v>0</v>
      </c>
      <c r="X47" s="234" t="str">
        <f ca="1">IFERROR(VLOOKUP($N47&amp;X$41,Calc4!$Z$64:$AB$207,3,0),"")</f>
        <v/>
      </c>
      <c r="Y47" s="228" t="str">
        <f ca="1">IFERROR(VLOOKUP($N47&amp;Y$41,Calc4!$Z$64:$AB$207,3,0),"")</f>
        <v/>
      </c>
      <c r="Z47" s="228" t="str">
        <f ca="1">IFERROR(VLOOKUP($N47&amp;Z$41,Calc4!$Z$64:$AB$207,3,0),"")</f>
        <v/>
      </c>
      <c r="AA47" s="228" t="str">
        <f ca="1">IFERROR(VLOOKUP($N47&amp;AA$41,Calc4!$Z$64:$AB$207,3,0),"")</f>
        <v/>
      </c>
      <c r="AB47" s="228" t="str">
        <f ca="1">IFERROR(VLOOKUP($N47&amp;AB$41,Calc4!$Z$64:$AB$207,3,0),"")</f>
        <v/>
      </c>
      <c r="AC47" s="235"/>
      <c r="AD47" s="306" t="str">
        <f t="shared" ca="1" si="3"/>
        <v/>
      </c>
      <c r="AG47" s="437" t="s">
        <v>330</v>
      </c>
      <c r="AH47" s="438" t="str">
        <f>IF(Planung!$C68="","",Planung!$C68)</f>
        <v/>
      </c>
      <c r="AI47" s="439"/>
    </row>
    <row r="48" spans="2:35" ht="24" customHeight="1" thickTop="1" x14ac:dyDescent="0.2">
      <c r="B48" s="677">
        <f ca="1">Planung!$E42</f>
        <v>37</v>
      </c>
      <c r="C48" s="691">
        <f ca="1">Planung!$F42</f>
        <v>0.59375</v>
      </c>
      <c r="D48" s="692">
        <f ca="1">Planung!$G42</f>
        <v>1</v>
      </c>
      <c r="E48" s="692" t="str">
        <f ca="1">Planung!$H42</f>
        <v>A</v>
      </c>
      <c r="F48" s="678" t="str">
        <f ca="1">Planung!$L42</f>
        <v>1. FC Riedwald</v>
      </c>
      <c r="G48" s="220" t="s">
        <v>5</v>
      </c>
      <c r="H48" s="679" t="str">
        <f ca="1">Planung!$N42</f>
        <v>FC Barcelona</v>
      </c>
      <c r="I48" s="680">
        <v>1</v>
      </c>
      <c r="J48" s="681" t="str">
        <f>Sprache!$E$111</f>
        <v>:</v>
      </c>
      <c r="K48" s="682">
        <v>6</v>
      </c>
    </row>
    <row r="49" spans="2:30" ht="24" customHeight="1" x14ac:dyDescent="0.2">
      <c r="B49" s="677">
        <f ca="1">Planung!$E43</f>
        <v>38</v>
      </c>
      <c r="C49" s="691">
        <f ca="1">Planung!$F43</f>
        <v>0.59375</v>
      </c>
      <c r="D49" s="692">
        <f ca="1">Planung!$G43</f>
        <v>2</v>
      </c>
      <c r="E49" s="692" t="str">
        <f ca="1">Planung!$H43</f>
        <v>B</v>
      </c>
      <c r="F49" s="678" t="str">
        <f ca="1">Planung!$L43</f>
        <v>Mainz 05</v>
      </c>
      <c r="G49" s="220" t="s">
        <v>5</v>
      </c>
      <c r="H49" s="679" t="str">
        <f ca="1">Planung!$N43</f>
        <v>Inter Mailand</v>
      </c>
      <c r="I49" s="680">
        <v>2</v>
      </c>
      <c r="J49" s="681" t="str">
        <f>Sprache!$E$111</f>
        <v>:</v>
      </c>
      <c r="K49" s="682">
        <v>3</v>
      </c>
    </row>
    <row r="50" spans="2:30" ht="24" customHeight="1" x14ac:dyDescent="0.2">
      <c r="B50" s="677">
        <f ca="1">Planung!$E44</f>
        <v>39</v>
      </c>
      <c r="C50" s="691">
        <f ca="1">Planung!$F44</f>
        <v>0.59375</v>
      </c>
      <c r="D50" s="692">
        <f ca="1">Planung!$G44</f>
        <v>3</v>
      </c>
      <c r="E50" s="692" t="str">
        <f ca="1">Planung!$H44</f>
        <v>C</v>
      </c>
      <c r="F50" s="678" t="str">
        <f ca="1">Planung!$L44</f>
        <v>Kickers Rodendorf</v>
      </c>
      <c r="G50" s="220" t="s">
        <v>5</v>
      </c>
      <c r="H50" s="679" t="str">
        <f ca="1">Planung!$N44</f>
        <v>Real Madrid</v>
      </c>
      <c r="I50" s="680">
        <v>1</v>
      </c>
      <c r="J50" s="681" t="str">
        <f>Sprache!$E$111</f>
        <v>:</v>
      </c>
      <c r="K50" s="682">
        <v>5</v>
      </c>
      <c r="M50" s="809" t="str">
        <f>Sprache!$E$40</f>
        <v>Ende der Vorrunde:</v>
      </c>
      <c r="N50" s="809"/>
      <c r="O50" s="809"/>
      <c r="P50" s="809"/>
      <c r="Q50" s="809"/>
      <c r="R50" s="809"/>
      <c r="S50" s="809"/>
      <c r="T50" s="809"/>
      <c r="U50" s="809"/>
      <c r="V50" s="809"/>
      <c r="W50" s="810">
        <f ca="1">Planung!$R$13</f>
        <v>0.61458333333333337</v>
      </c>
      <c r="X50" s="810"/>
      <c r="Y50" s="810"/>
      <c r="Z50" s="810"/>
      <c r="AA50" s="810"/>
      <c r="AB50" s="810"/>
      <c r="AC50" s="810"/>
      <c r="AD50" s="810"/>
    </row>
    <row r="51" spans="2:30" ht="24" customHeight="1" x14ac:dyDescent="0.2">
      <c r="B51" s="677">
        <f ca="1">Planung!$E45</f>
        <v>40</v>
      </c>
      <c r="C51" s="691">
        <f ca="1">Planung!$F45</f>
        <v>0.59375</v>
      </c>
      <c r="D51" s="692">
        <f ca="1">Planung!$G45</f>
        <v>4</v>
      </c>
      <c r="E51" s="692" t="str">
        <f ca="1">Planung!$H45</f>
        <v>D</v>
      </c>
      <c r="F51" s="678" t="str">
        <f ca="1">Planung!$L45</f>
        <v>TSG Saalberg eV</v>
      </c>
      <c r="G51" s="220" t="s">
        <v>5</v>
      </c>
      <c r="H51" s="679" t="str">
        <f ca="1">Planung!$N45</f>
        <v>Paris St. Germain</v>
      </c>
      <c r="I51" s="680">
        <v>0</v>
      </c>
      <c r="J51" s="681" t="str">
        <f>Sprache!$E$111</f>
        <v>:</v>
      </c>
      <c r="K51" s="682">
        <v>7</v>
      </c>
    </row>
    <row r="52" spans="2:30" ht="24" customHeight="1" x14ac:dyDescent="0.2">
      <c r="B52" s="677" t="str">
        <f>Planung!$E46</f>
        <v/>
      </c>
      <c r="C52" s="691" t="str">
        <f>Planung!$F46</f>
        <v/>
      </c>
      <c r="D52" s="692" t="str">
        <f>Planung!$G46</f>
        <v/>
      </c>
      <c r="E52" s="692" t="str">
        <f ca="1">Planung!$H46</f>
        <v/>
      </c>
      <c r="F52" s="678" t="str">
        <f ca="1">Planung!$L46</f>
        <v/>
      </c>
      <c r="G52" s="220" t="s">
        <v>5</v>
      </c>
      <c r="H52" s="679" t="str">
        <f ca="1">Planung!$N46</f>
        <v/>
      </c>
      <c r="I52" s="680"/>
      <c r="J52" s="681" t="str">
        <f>Sprache!$E$111</f>
        <v>:</v>
      </c>
      <c r="K52" s="682"/>
    </row>
    <row r="53" spans="2:30" ht="24" customHeight="1" x14ac:dyDescent="0.2">
      <c r="B53" s="677" t="str">
        <f>Planung!$E47</f>
        <v/>
      </c>
      <c r="C53" s="691" t="str">
        <f>Planung!$F47</f>
        <v/>
      </c>
      <c r="D53" s="692" t="str">
        <f>Planung!$G47</f>
        <v/>
      </c>
      <c r="E53" s="692" t="str">
        <f ca="1">Planung!$H47</f>
        <v/>
      </c>
      <c r="F53" s="678" t="str">
        <f ca="1">Planung!$L47</f>
        <v/>
      </c>
      <c r="G53" s="220" t="s">
        <v>5</v>
      </c>
      <c r="H53" s="679" t="str">
        <f ca="1">Planung!$N47</f>
        <v/>
      </c>
      <c r="I53" s="680"/>
      <c r="J53" s="681" t="str">
        <f>Sprache!$E$111</f>
        <v>:</v>
      </c>
      <c r="K53" s="682"/>
    </row>
    <row r="54" spans="2:30" ht="24" customHeight="1" x14ac:dyDescent="0.2">
      <c r="B54" s="677" t="str">
        <f>Planung!$E48</f>
        <v/>
      </c>
      <c r="C54" s="691" t="str">
        <f>Planung!$F48</f>
        <v/>
      </c>
      <c r="D54" s="692" t="str">
        <f>Planung!$G48</f>
        <v/>
      </c>
      <c r="E54" s="692" t="str">
        <f ca="1">Planung!$H48</f>
        <v/>
      </c>
      <c r="F54" s="678" t="str">
        <f ca="1">Planung!$L48</f>
        <v/>
      </c>
      <c r="G54" s="220" t="s">
        <v>5</v>
      </c>
      <c r="H54" s="679" t="str">
        <f ca="1">Planung!$N48</f>
        <v/>
      </c>
      <c r="I54" s="680"/>
      <c r="J54" s="681" t="str">
        <f>Sprache!$E$111</f>
        <v>:</v>
      </c>
      <c r="K54" s="682"/>
    </row>
    <row r="55" spans="2:30" ht="24" customHeight="1" x14ac:dyDescent="0.2">
      <c r="B55" s="677" t="str">
        <f>Planung!$E49</f>
        <v/>
      </c>
      <c r="C55" s="691" t="str">
        <f>Planung!$F49</f>
        <v/>
      </c>
      <c r="D55" s="692" t="str">
        <f>Planung!$G49</f>
        <v/>
      </c>
      <c r="E55" s="692" t="str">
        <f ca="1">Planung!$H49</f>
        <v/>
      </c>
      <c r="F55" s="678" t="str">
        <f ca="1">Planung!$L49</f>
        <v/>
      </c>
      <c r="G55" s="220" t="s">
        <v>5</v>
      </c>
      <c r="H55" s="679" t="str">
        <f ca="1">Planung!$N49</f>
        <v/>
      </c>
      <c r="I55" s="680"/>
      <c r="J55" s="681" t="str">
        <f>Sprache!$E$111</f>
        <v>:</v>
      </c>
      <c r="K55" s="682"/>
    </row>
    <row r="56" spans="2:30" ht="24" customHeight="1" x14ac:dyDescent="0.2">
      <c r="B56" s="677" t="str">
        <f>Planung!$E50</f>
        <v/>
      </c>
      <c r="C56" s="691" t="str">
        <f>Planung!$F50</f>
        <v/>
      </c>
      <c r="D56" s="692" t="str">
        <f>Planung!$G50</f>
        <v/>
      </c>
      <c r="E56" s="692" t="str">
        <f ca="1">Planung!$H50</f>
        <v/>
      </c>
      <c r="F56" s="678" t="str">
        <f ca="1">Planung!$L50</f>
        <v/>
      </c>
      <c r="G56" s="220" t="s">
        <v>5</v>
      </c>
      <c r="H56" s="679" t="str">
        <f ca="1">Planung!$N50</f>
        <v/>
      </c>
      <c r="I56" s="680"/>
      <c r="J56" s="681" t="str">
        <f>Sprache!$E$111</f>
        <v>:</v>
      </c>
      <c r="K56" s="682"/>
    </row>
    <row r="57" spans="2:30" ht="24" customHeight="1" x14ac:dyDescent="0.2">
      <c r="B57" s="677" t="str">
        <f>Planung!$E51</f>
        <v/>
      </c>
      <c r="C57" s="691" t="str">
        <f>Planung!$F51</f>
        <v/>
      </c>
      <c r="D57" s="692" t="str">
        <f>Planung!$G51</f>
        <v/>
      </c>
      <c r="E57" s="692" t="str">
        <f ca="1">Planung!$H51</f>
        <v/>
      </c>
      <c r="F57" s="678" t="str">
        <f ca="1">Planung!$L51</f>
        <v/>
      </c>
      <c r="G57" s="220" t="s">
        <v>5</v>
      </c>
      <c r="H57" s="679" t="str">
        <f ca="1">Planung!$N51</f>
        <v/>
      </c>
      <c r="I57" s="680"/>
      <c r="J57" s="681" t="str">
        <f>Sprache!$E$111</f>
        <v>:</v>
      </c>
      <c r="K57" s="682"/>
    </row>
    <row r="58" spans="2:30" ht="24" customHeight="1" x14ac:dyDescent="0.2">
      <c r="B58" s="677" t="str">
        <f>Planung!$E52</f>
        <v/>
      </c>
      <c r="C58" s="691" t="str">
        <f>Planung!$F52</f>
        <v/>
      </c>
      <c r="D58" s="692" t="str">
        <f>Planung!$G52</f>
        <v/>
      </c>
      <c r="E58" s="692" t="str">
        <f ca="1">Planung!$H52</f>
        <v/>
      </c>
      <c r="F58" s="678" t="str">
        <f ca="1">Planung!$L52</f>
        <v/>
      </c>
      <c r="G58" s="220" t="s">
        <v>5</v>
      </c>
      <c r="H58" s="679" t="str">
        <f ca="1">Planung!$N52</f>
        <v/>
      </c>
      <c r="I58" s="680"/>
      <c r="J58" s="681" t="str">
        <f>Sprache!$E$111</f>
        <v>:</v>
      </c>
      <c r="K58" s="682"/>
    </row>
    <row r="59" spans="2:30" ht="24" customHeight="1" x14ac:dyDescent="0.2">
      <c r="B59" s="677" t="str">
        <f>Planung!$E53</f>
        <v/>
      </c>
      <c r="C59" s="691" t="str">
        <f>Planung!$F53</f>
        <v/>
      </c>
      <c r="D59" s="692" t="str">
        <f>Planung!$G53</f>
        <v/>
      </c>
      <c r="E59" s="692" t="str">
        <f ca="1">Planung!$H53</f>
        <v/>
      </c>
      <c r="F59" s="678" t="str">
        <f ca="1">Planung!$L53</f>
        <v/>
      </c>
      <c r="G59" s="220" t="s">
        <v>5</v>
      </c>
      <c r="H59" s="679" t="str">
        <f ca="1">Planung!$N53</f>
        <v/>
      </c>
      <c r="I59" s="680"/>
      <c r="J59" s="681" t="str">
        <f>Sprache!$E$111</f>
        <v>:</v>
      </c>
      <c r="K59" s="682"/>
    </row>
    <row r="60" spans="2:30" ht="24" customHeight="1" x14ac:dyDescent="0.2">
      <c r="B60" s="677" t="str">
        <f>Planung!$E54</f>
        <v/>
      </c>
      <c r="C60" s="691" t="str">
        <f>Planung!$F54</f>
        <v/>
      </c>
      <c r="D60" s="692" t="str">
        <f>Planung!$G54</f>
        <v/>
      </c>
      <c r="E60" s="692" t="str">
        <f ca="1">Planung!$H54</f>
        <v/>
      </c>
      <c r="F60" s="678" t="str">
        <f ca="1">Planung!$L54</f>
        <v/>
      </c>
      <c r="G60" s="220" t="s">
        <v>5</v>
      </c>
      <c r="H60" s="679" t="str">
        <f ca="1">Planung!$N54</f>
        <v/>
      </c>
      <c r="I60" s="680"/>
      <c r="J60" s="681" t="str">
        <f>Sprache!$E$111</f>
        <v>:</v>
      </c>
      <c r="K60" s="682"/>
    </row>
    <row r="61" spans="2:30" ht="24" customHeight="1" x14ac:dyDescent="0.2">
      <c r="B61" s="677" t="str">
        <f>Planung!$E55</f>
        <v/>
      </c>
      <c r="C61" s="691" t="str">
        <f>Planung!$F55</f>
        <v/>
      </c>
      <c r="D61" s="692" t="str">
        <f>Planung!$G55</f>
        <v/>
      </c>
      <c r="E61" s="692" t="str">
        <f ca="1">Planung!$H55</f>
        <v/>
      </c>
      <c r="F61" s="678" t="str">
        <f ca="1">Planung!$L55</f>
        <v/>
      </c>
      <c r="G61" s="220" t="s">
        <v>5</v>
      </c>
      <c r="H61" s="679" t="str">
        <f ca="1">Planung!$N55</f>
        <v/>
      </c>
      <c r="I61" s="680"/>
      <c r="J61" s="681" t="str">
        <f>Sprache!$E$111</f>
        <v>:</v>
      </c>
      <c r="K61" s="682"/>
    </row>
    <row r="62" spans="2:30" ht="24" customHeight="1" x14ac:dyDescent="0.2">
      <c r="B62" s="677" t="str">
        <f>Planung!$E56</f>
        <v/>
      </c>
      <c r="C62" s="691" t="str">
        <f>Planung!$F56</f>
        <v/>
      </c>
      <c r="D62" s="692" t="str">
        <f>Planung!$G56</f>
        <v/>
      </c>
      <c r="E62" s="692" t="str">
        <f ca="1">Planung!$H56</f>
        <v/>
      </c>
      <c r="F62" s="678" t="str">
        <f ca="1">Planung!$L56</f>
        <v/>
      </c>
      <c r="G62" s="220" t="s">
        <v>5</v>
      </c>
      <c r="H62" s="679" t="str">
        <f ca="1">Planung!$N56</f>
        <v/>
      </c>
      <c r="I62" s="680"/>
      <c r="J62" s="681" t="str">
        <f>Sprache!$E$111</f>
        <v>:</v>
      </c>
      <c r="K62" s="682"/>
    </row>
    <row r="63" spans="2:30" ht="24" customHeight="1" x14ac:dyDescent="0.2">
      <c r="B63" s="677" t="str">
        <f>Planung!$E57</f>
        <v/>
      </c>
      <c r="C63" s="691" t="str">
        <f>Planung!$F57</f>
        <v/>
      </c>
      <c r="D63" s="692" t="str">
        <f>Planung!$G57</f>
        <v/>
      </c>
      <c r="E63" s="692" t="str">
        <f ca="1">Planung!$H57</f>
        <v/>
      </c>
      <c r="F63" s="678" t="str">
        <f ca="1">Planung!$L57</f>
        <v/>
      </c>
      <c r="G63" s="220" t="s">
        <v>5</v>
      </c>
      <c r="H63" s="679" t="str">
        <f ca="1">Planung!$N57</f>
        <v/>
      </c>
      <c r="I63" s="680"/>
      <c r="J63" s="681" t="str">
        <f>Sprache!$E$111</f>
        <v>:</v>
      </c>
      <c r="K63" s="682"/>
    </row>
    <row r="64" spans="2:30" ht="24" customHeight="1" x14ac:dyDescent="0.2">
      <c r="B64" s="677" t="str">
        <f>Planung!$E58</f>
        <v/>
      </c>
      <c r="C64" s="691" t="str">
        <f>Planung!$F58</f>
        <v/>
      </c>
      <c r="D64" s="692" t="str">
        <f>Planung!$G58</f>
        <v/>
      </c>
      <c r="E64" s="692" t="str">
        <f ca="1">Planung!$H58</f>
        <v/>
      </c>
      <c r="F64" s="678" t="str">
        <f ca="1">Planung!$L58</f>
        <v/>
      </c>
      <c r="G64" s="220" t="s">
        <v>5</v>
      </c>
      <c r="H64" s="679" t="str">
        <f ca="1">Planung!$N58</f>
        <v/>
      </c>
      <c r="I64" s="680"/>
      <c r="J64" s="681" t="str">
        <f>Sprache!$E$111</f>
        <v>:</v>
      </c>
      <c r="K64" s="682"/>
    </row>
    <row r="65" spans="2:11" ht="24" customHeight="1" x14ac:dyDescent="0.2">
      <c r="B65" s="677" t="str">
        <f>Planung!$E59</f>
        <v/>
      </c>
      <c r="C65" s="691" t="str">
        <f>Planung!$F59</f>
        <v/>
      </c>
      <c r="D65" s="692" t="str">
        <f>Planung!$G59</f>
        <v/>
      </c>
      <c r="E65" s="692" t="str">
        <f ca="1">Planung!$H59</f>
        <v/>
      </c>
      <c r="F65" s="678" t="str">
        <f ca="1">Planung!$L59</f>
        <v/>
      </c>
      <c r="G65" s="220" t="s">
        <v>5</v>
      </c>
      <c r="H65" s="679" t="str">
        <f ca="1">Planung!$N59</f>
        <v/>
      </c>
      <c r="I65" s="680"/>
      <c r="J65" s="681" t="str">
        <f>Sprache!$E$111</f>
        <v>:</v>
      </c>
      <c r="K65" s="682"/>
    </row>
    <row r="66" spans="2:11" ht="24" customHeight="1" x14ac:dyDescent="0.2">
      <c r="B66" s="677" t="str">
        <f>Planung!$E60</f>
        <v/>
      </c>
      <c r="C66" s="691" t="str">
        <f>Planung!$F60</f>
        <v/>
      </c>
      <c r="D66" s="692" t="str">
        <f>Planung!$G60</f>
        <v/>
      </c>
      <c r="E66" s="692" t="str">
        <f ca="1">Planung!$H60</f>
        <v/>
      </c>
      <c r="F66" s="678" t="str">
        <f ca="1">Planung!$L60</f>
        <v/>
      </c>
      <c r="G66" s="220" t="s">
        <v>5</v>
      </c>
      <c r="H66" s="679" t="str">
        <f ca="1">Planung!$N60</f>
        <v/>
      </c>
      <c r="I66" s="680"/>
      <c r="J66" s="681" t="str">
        <f>Sprache!$E$111</f>
        <v>:</v>
      </c>
      <c r="K66" s="682"/>
    </row>
    <row r="67" spans="2:11" ht="24" customHeight="1" x14ac:dyDescent="0.2">
      <c r="B67" s="677" t="str">
        <f>Planung!$E61</f>
        <v/>
      </c>
      <c r="C67" s="691" t="str">
        <f>Planung!$F61</f>
        <v/>
      </c>
      <c r="D67" s="692" t="str">
        <f>Planung!$G61</f>
        <v/>
      </c>
      <c r="E67" s="692" t="str">
        <f ca="1">Planung!$H61</f>
        <v/>
      </c>
      <c r="F67" s="678" t="str">
        <f ca="1">Planung!$L61</f>
        <v/>
      </c>
      <c r="G67" s="220" t="s">
        <v>5</v>
      </c>
      <c r="H67" s="679" t="str">
        <f ca="1">Planung!$N61</f>
        <v/>
      </c>
      <c r="I67" s="680"/>
      <c r="J67" s="681" t="str">
        <f>Sprache!$E$111</f>
        <v>:</v>
      </c>
      <c r="K67" s="682"/>
    </row>
    <row r="68" spans="2:11" ht="24" customHeight="1" x14ac:dyDescent="0.2">
      <c r="B68" s="677" t="str">
        <f>Planung!$E62</f>
        <v/>
      </c>
      <c r="C68" s="691" t="str">
        <f>Planung!$F62</f>
        <v/>
      </c>
      <c r="D68" s="692" t="str">
        <f>Planung!$G62</f>
        <v/>
      </c>
      <c r="E68" s="692" t="str">
        <f ca="1">Planung!$H62</f>
        <v/>
      </c>
      <c r="F68" s="678" t="str">
        <f ca="1">Planung!$L62</f>
        <v/>
      </c>
      <c r="G68" s="220" t="s">
        <v>5</v>
      </c>
      <c r="H68" s="679" t="str">
        <f ca="1">Planung!$N62</f>
        <v/>
      </c>
      <c r="I68" s="680"/>
      <c r="J68" s="681" t="str">
        <f>Sprache!$E$111</f>
        <v>:</v>
      </c>
      <c r="K68" s="682"/>
    </row>
    <row r="69" spans="2:11" ht="24" customHeight="1" x14ac:dyDescent="0.2">
      <c r="B69" s="677" t="str">
        <f>Planung!$E63</f>
        <v/>
      </c>
      <c r="C69" s="691" t="str">
        <f>Planung!$F63</f>
        <v/>
      </c>
      <c r="D69" s="692" t="str">
        <f>Planung!$G63</f>
        <v/>
      </c>
      <c r="E69" s="692" t="str">
        <f ca="1">Planung!$H63</f>
        <v/>
      </c>
      <c r="F69" s="678" t="str">
        <f ca="1">Planung!$L63</f>
        <v/>
      </c>
      <c r="G69" s="220" t="s">
        <v>5</v>
      </c>
      <c r="H69" s="679" t="str">
        <f ca="1">Planung!$N63</f>
        <v/>
      </c>
      <c r="I69" s="680"/>
      <c r="J69" s="681" t="str">
        <f>Sprache!$E$111</f>
        <v>:</v>
      </c>
      <c r="K69" s="682"/>
    </row>
    <row r="70" spans="2:11" ht="24" customHeight="1" x14ac:dyDescent="0.2">
      <c r="B70" s="677" t="str">
        <f>Planung!$E64</f>
        <v/>
      </c>
      <c r="C70" s="691" t="str">
        <f>Planung!$F64</f>
        <v/>
      </c>
      <c r="D70" s="692" t="str">
        <f>Planung!$G64</f>
        <v/>
      </c>
      <c r="E70" s="692" t="str">
        <f ca="1">Planung!$H64</f>
        <v/>
      </c>
      <c r="F70" s="678" t="str">
        <f ca="1">Planung!$L64</f>
        <v/>
      </c>
      <c r="G70" s="220" t="s">
        <v>5</v>
      </c>
      <c r="H70" s="679" t="str">
        <f ca="1">Planung!$N64</f>
        <v/>
      </c>
      <c r="I70" s="680"/>
      <c r="J70" s="681" t="str">
        <f>Sprache!$E$111</f>
        <v>:</v>
      </c>
      <c r="K70" s="682"/>
    </row>
    <row r="71" spans="2:11" ht="24" customHeight="1" thickBot="1" x14ac:dyDescent="0.25">
      <c r="B71" s="683" t="str">
        <f>Planung!$E65</f>
        <v/>
      </c>
      <c r="C71" s="693" t="str">
        <f>Planung!$F65</f>
        <v/>
      </c>
      <c r="D71" s="694" t="str">
        <f>Planung!$G65</f>
        <v/>
      </c>
      <c r="E71" s="694" t="str">
        <f ca="1">Planung!$H65</f>
        <v/>
      </c>
      <c r="F71" s="684" t="str">
        <f ca="1">Planung!$L65</f>
        <v/>
      </c>
      <c r="G71" s="231" t="s">
        <v>5</v>
      </c>
      <c r="H71" s="685" t="str">
        <f ca="1">Planung!$N65</f>
        <v/>
      </c>
      <c r="I71" s="686"/>
      <c r="J71" s="687" t="str">
        <f>Sprache!$E$111</f>
        <v>:</v>
      </c>
      <c r="K71" s="688"/>
    </row>
    <row r="72" spans="2:11" ht="13.5" thickTop="1" x14ac:dyDescent="0.2"/>
    <row r="73" spans="2:11" x14ac:dyDescent="0.2"/>
    <row r="74" spans="2:11" x14ac:dyDescent="0.2"/>
    <row r="75" spans="2:11" x14ac:dyDescent="0.2"/>
  </sheetData>
  <sheetProtection sheet="1" selectLockedCells="1"/>
  <mergeCells count="27">
    <mergeCell ref="M50:V50"/>
    <mergeCell ref="W50:AD50"/>
    <mergeCell ref="M40:N40"/>
    <mergeCell ref="M41:N41"/>
    <mergeCell ref="S41:U41"/>
    <mergeCell ref="AG40:AH40"/>
    <mergeCell ref="AG20:AH20"/>
    <mergeCell ref="M30:N30"/>
    <mergeCell ref="M31:N31"/>
    <mergeCell ref="S31:U31"/>
    <mergeCell ref="M21:N21"/>
    <mergeCell ref="S21:U21"/>
    <mergeCell ref="M20:N20"/>
    <mergeCell ref="AG30:AH30"/>
    <mergeCell ref="M1:N1"/>
    <mergeCell ref="AG7:AI8"/>
    <mergeCell ref="F11:H11"/>
    <mergeCell ref="I11:K11"/>
    <mergeCell ref="K7:S8"/>
    <mergeCell ref="S11:U11"/>
    <mergeCell ref="M11:N11"/>
    <mergeCell ref="M10:N10"/>
    <mergeCell ref="AG10:AH10"/>
    <mergeCell ref="G2:Y2"/>
    <mergeCell ref="G3:Y3"/>
    <mergeCell ref="G4:Y4"/>
    <mergeCell ref="G5:Y5"/>
  </mergeCells>
  <conditionalFormatting sqref="I12:K71">
    <cfRule type="expression" dxfId="37" priority="429">
      <formula>$B12=#REF!</formula>
    </cfRule>
    <cfRule type="expression" dxfId="36" priority="430">
      <formula>$B12=#REF!</formula>
    </cfRule>
  </conditionalFormatting>
  <conditionalFormatting sqref="M12:AD17 M22:AD27 M32:AD37 M42:AD47">
    <cfRule type="expression" dxfId="35" priority="3">
      <formula>$N12=""</formula>
    </cfRule>
  </conditionalFormatting>
  <conditionalFormatting sqref="M12:W17 M22:W27 M32:W37 M42:W47 AD12:AD17 AD22:AD27 AD32:AD37 AD42:AD47">
    <cfRule type="expression" dxfId="34" priority="2">
      <formula>OR(AND($M12=$M11,$N11&lt;&gt;""),AND($M12=$M13,$N13&lt;&gt;""))</formula>
    </cfRule>
  </conditionalFormatting>
  <conditionalFormatting sqref="B12:K71">
    <cfRule type="expression" dxfId="33" priority="1">
      <formula>OR($F12="",$H12="")</formula>
    </cfRule>
  </conditionalFormatting>
  <dataValidations count="2">
    <dataValidation type="whole" allowBlank="1" showErrorMessage="1" errorTitle="Error" error="Maximal 999 !" sqref="I12:I71 K12:K71" xr:uid="{D9E07FCF-67B7-4BAF-9BC8-AE233331B860}">
      <formula1>0</formula1>
      <formula2>999</formula2>
    </dataValidation>
    <dataValidation type="whole" allowBlank="1" showInputMessage="1" showErrorMessage="1" sqref="AI12:AI17 AI22:AI27 AI32:AI37 AI42:AI47" xr:uid="{AF41E46A-2E6A-4E59-96DA-A9C6D39B9547}">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A81"/>
  <sheetViews>
    <sheetView showGridLines="0" showRowColHeaders="0" zoomScaleNormal="100" workbookViewId="0">
      <selection activeCell="L12" sqref="L12"/>
    </sheetView>
  </sheetViews>
  <sheetFormatPr baseColWidth="10" defaultColWidth="0" defaultRowHeight="12.75" zeroHeight="1" x14ac:dyDescent="0.2"/>
  <cols>
    <col min="1" max="1" width="11.42578125" style="49" customWidth="1"/>
    <col min="2" max="2" width="6.7109375" style="49" customWidth="1"/>
    <col min="3" max="3" width="9.28515625" style="49" customWidth="1"/>
    <col min="4" max="4" width="10.42578125" style="49" customWidth="1"/>
    <col min="5" max="5" width="6.42578125" style="49" customWidth="1"/>
    <col min="6" max="6" width="8.140625" style="49" customWidth="1"/>
    <col min="7" max="7" width="2" style="49" customWidth="1"/>
    <col min="8" max="8" width="8.1406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5" width="4.7109375" style="49" customWidth="1"/>
    <col min="16" max="16" width="2.7109375" style="467" customWidth="1"/>
    <col min="17" max="17" width="4.7109375" style="49" customWidth="1"/>
    <col min="18" max="18" width="8.140625" style="49" customWidth="1"/>
    <col min="19" max="19" width="8.7109375" style="49" customWidth="1"/>
    <col min="20" max="20" width="7" style="49" customWidth="1"/>
    <col min="21" max="21" width="36.7109375" style="49" customWidth="1"/>
    <col min="22" max="22" width="6.7109375" style="49" customWidth="1"/>
    <col min="23" max="23" width="10.140625" style="49" customWidth="1"/>
    <col min="24" max="24" width="10.140625" style="49" hidden="1" customWidth="1"/>
    <col min="25" max="25" width="16.85546875" style="49" hidden="1" customWidth="1"/>
    <col min="26" max="26" width="17.28515625" style="49" hidden="1" customWidth="1"/>
    <col min="27" max="16384" width="11.42578125" style="49" hidden="1"/>
  </cols>
  <sheetData>
    <row r="1" spans="2:27" ht="13.5" thickBot="1" x14ac:dyDescent="0.25"/>
    <row r="2" spans="2:27" ht="36" customHeight="1" thickTop="1" x14ac:dyDescent="0.2">
      <c r="F2" s="839" t="str">
        <f>Vorrunde!$G$2</f>
        <v>Internationales U10-Turnier am 12.04.2025</v>
      </c>
      <c r="G2" s="840"/>
      <c r="H2" s="840"/>
      <c r="I2" s="840"/>
      <c r="J2" s="840"/>
      <c r="K2" s="840"/>
      <c r="L2" s="840"/>
      <c r="M2" s="840"/>
      <c r="N2" s="840"/>
      <c r="O2" s="840"/>
      <c r="P2" s="840"/>
      <c r="Q2" s="840"/>
      <c r="R2" s="840"/>
      <c r="S2" s="840"/>
      <c r="T2" s="840"/>
      <c r="U2" s="841"/>
      <c r="V2" s="543"/>
      <c r="W2" s="543"/>
    </row>
    <row r="3" spans="2:27" ht="30" customHeight="1" x14ac:dyDescent="0.2">
      <c r="F3" s="842" t="str">
        <f>Vorrunde!$G$3</f>
        <v>Veranstalter:  1. FC Riedwald</v>
      </c>
      <c r="G3" s="843"/>
      <c r="H3" s="843"/>
      <c r="I3" s="843"/>
      <c r="J3" s="843"/>
      <c r="K3" s="843"/>
      <c r="L3" s="843"/>
      <c r="M3" s="843"/>
      <c r="N3" s="843"/>
      <c r="O3" s="843"/>
      <c r="P3" s="843"/>
      <c r="Q3" s="843"/>
      <c r="R3" s="843"/>
      <c r="S3" s="843"/>
      <c r="T3" s="843"/>
      <c r="U3" s="844"/>
      <c r="V3" s="544"/>
      <c r="W3" s="544"/>
    </row>
    <row r="4" spans="2:27" ht="30" customHeight="1" x14ac:dyDescent="0.2">
      <c r="F4" s="845" t="str">
        <f>Vorrunde!$G$4</f>
        <v>Sporthalle Wiesengrund, Wendiger Str. 51, 65432 Riedwald</v>
      </c>
      <c r="G4" s="846"/>
      <c r="H4" s="846"/>
      <c r="I4" s="846"/>
      <c r="J4" s="846"/>
      <c r="K4" s="846"/>
      <c r="L4" s="846"/>
      <c r="M4" s="846"/>
      <c r="N4" s="846"/>
      <c r="O4" s="846"/>
      <c r="P4" s="846"/>
      <c r="Q4" s="846"/>
      <c r="R4" s="846"/>
      <c r="S4" s="846"/>
      <c r="T4" s="846"/>
      <c r="U4" s="847"/>
      <c r="V4" s="545"/>
      <c r="W4" s="545"/>
    </row>
    <row r="5" spans="2:27" ht="30" customHeight="1" thickBot="1" x14ac:dyDescent="0.25">
      <c r="F5" s="848" t="str">
        <f>Vorrunde!$G$5</f>
        <v>Beginn:  9:00 Uhr</v>
      </c>
      <c r="G5" s="849"/>
      <c r="H5" s="849"/>
      <c r="I5" s="849"/>
      <c r="J5" s="849"/>
      <c r="K5" s="849"/>
      <c r="L5" s="849"/>
      <c r="M5" s="849"/>
      <c r="N5" s="849"/>
      <c r="O5" s="849"/>
      <c r="P5" s="849"/>
      <c r="Q5" s="849"/>
      <c r="R5" s="849"/>
      <c r="S5" s="849"/>
      <c r="T5" s="849"/>
      <c r="U5" s="850"/>
      <c r="V5" s="545"/>
      <c r="W5" s="545"/>
    </row>
    <row r="6" spans="2:27" ht="18" customHeight="1" thickTop="1" thickBot="1" x14ac:dyDescent="0.25"/>
    <row r="7" spans="2:27" ht="30" customHeight="1" thickTop="1" x14ac:dyDescent="0.2">
      <c r="J7" s="859" t="str">
        <f>Sprache!$E$19</f>
        <v>Endrunde</v>
      </c>
      <c r="K7" s="860"/>
      <c r="L7" s="860"/>
      <c r="M7" s="860"/>
      <c r="N7" s="860"/>
      <c r="O7" s="860"/>
      <c r="P7" s="860"/>
      <c r="Q7" s="860"/>
      <c r="R7" s="860"/>
      <c r="S7" s="592"/>
      <c r="T7" s="546"/>
      <c r="U7" s="546"/>
    </row>
    <row r="8" spans="2:27" ht="30" customHeight="1" thickBot="1" x14ac:dyDescent="0.25">
      <c r="J8" s="861"/>
      <c r="K8" s="862"/>
      <c r="L8" s="862"/>
      <c r="M8" s="862"/>
      <c r="N8" s="862"/>
      <c r="O8" s="862"/>
      <c r="P8" s="862"/>
      <c r="Q8" s="862"/>
      <c r="R8" s="862"/>
      <c r="S8" s="592"/>
      <c r="T8" s="546"/>
      <c r="U8" s="546"/>
    </row>
    <row r="9" spans="2:27" ht="15.95" customHeight="1" thickTop="1" x14ac:dyDescent="0.2">
      <c r="X9" s="658" t="s">
        <v>445</v>
      </c>
    </row>
    <row r="10" spans="2:27" ht="24" customHeight="1" thickBot="1" x14ac:dyDescent="0.45">
      <c r="C10" s="774" t="str">
        <f>Sprache!$E$69</f>
        <v>Halbfinalspiele</v>
      </c>
      <c r="D10" s="774"/>
      <c r="E10" s="315"/>
      <c r="F10" s="315"/>
      <c r="G10" s="315"/>
      <c r="H10" s="315"/>
      <c r="I10" s="315"/>
      <c r="J10" s="315"/>
      <c r="K10" s="315"/>
      <c r="L10" s="410"/>
      <c r="M10" s="410"/>
      <c r="N10" s="410"/>
      <c r="O10" s="511"/>
      <c r="P10" s="510"/>
      <c r="Q10" s="462"/>
      <c r="R10" s="814" t="str">
        <f>Sprache!$E$20</f>
        <v>Zusätzl. Pause (min)</v>
      </c>
      <c r="T10" s="470"/>
      <c r="U10" s="470"/>
      <c r="V10" s="280"/>
      <c r="W10" s="280"/>
      <c r="X10" s="523">
        <f t="array" aca="1" ref="X10" ca="1">61-SUM(((Planung!$L$6:$L$65="")+(Planung!$N$6:$N$65="")&gt;0)*1)</f>
        <v>41</v>
      </c>
    </row>
    <row r="11" spans="2:27" ht="24" customHeight="1" thickTop="1" thickBot="1" x14ac:dyDescent="0.45">
      <c r="C11" s="411" t="str">
        <f>Sprache!$E$33</f>
        <v>Spiel-Nr.</v>
      </c>
      <c r="D11" s="412" t="str">
        <f>Sprache!$E$39</f>
        <v>Beginn:</v>
      </c>
      <c r="E11" s="412" t="str">
        <f>Sprache!$E$48</f>
        <v>Feld</v>
      </c>
      <c r="F11" s="821"/>
      <c r="G11" s="822"/>
      <c r="H11" s="823"/>
      <c r="I11" s="821" t="str">
        <f>Sprache!$E$14</f>
        <v>Spielpaarung</v>
      </c>
      <c r="J11" s="822"/>
      <c r="K11" s="823"/>
      <c r="L11" s="824" t="str">
        <f>Sprache!$E$15</f>
        <v>Ergebnis</v>
      </c>
      <c r="M11" s="825"/>
      <c r="N11" s="826"/>
      <c r="O11" s="816" t="str">
        <f>Sprache!$E$101</f>
        <v>Elfmeter</v>
      </c>
      <c r="P11" s="817"/>
      <c r="Q11" s="818"/>
      <c r="R11" s="815"/>
      <c r="T11" s="796" t="str">
        <f>Sprache!$E$64</f>
        <v>Gruppensechste</v>
      </c>
      <c r="U11" s="796"/>
      <c r="V11" s="468"/>
      <c r="W11" s="470"/>
      <c r="X11" s="658" t="s">
        <v>16</v>
      </c>
      <c r="Y11" s="659" t="s">
        <v>396</v>
      </c>
      <c r="Z11" s="659" t="s">
        <v>398</v>
      </c>
      <c r="AA11" s="658" t="s">
        <v>397</v>
      </c>
    </row>
    <row r="12" spans="2:27" ht="24" customHeight="1" thickTop="1" x14ac:dyDescent="0.25">
      <c r="B12" s="547" t="str">
        <f>Sprache!$E$71&amp;1</f>
        <v>HF 1</v>
      </c>
      <c r="C12" s="527">
        <f ca="1">$X$10</f>
        <v>41</v>
      </c>
      <c r="D12" s="185">
        <f ca="1">IF(Planung!$U$15,"",Planung!$R$13+(Planung!$R$9+Planung!$P$65)/1440)</f>
        <v>0.61805555555555558</v>
      </c>
      <c r="E12" s="176" t="str">
        <f>IF(Planung!$U$15,"","1")</f>
        <v>1</v>
      </c>
      <c r="F12" s="413" t="s">
        <v>307</v>
      </c>
      <c r="G12" s="414" t="s">
        <v>5</v>
      </c>
      <c r="H12" s="415" t="s">
        <v>309</v>
      </c>
      <c r="I12" s="442" t="str">
        <f t="shared" ref="I12:I23" ca="1" si="0">IF($F12="","",IF(VLOOKUP($F12,$T$13:$U$72,2,0)="","",VLOOKUP($F12,$T$13:$U$72,2,0)))</f>
        <v/>
      </c>
      <c r="J12" s="443" t="s">
        <v>5</v>
      </c>
      <c r="K12" s="515" t="str">
        <f t="shared" ref="K12:K23" ca="1" si="1">IF($H12="","",IF(VLOOKUP($H12,$T$13:$U$72,2,0)="","",VLOOKUP($H12,$T$13:$U$72,2,0)))</f>
        <v/>
      </c>
      <c r="L12" s="422"/>
      <c r="M12" s="368" t="str">
        <f>Sprache!$E$111</f>
        <v>:</v>
      </c>
      <c r="N12" s="512"/>
      <c r="O12" s="367"/>
      <c r="P12" s="368" t="str">
        <f>Sprache!$E$111</f>
        <v>:</v>
      </c>
      <c r="Q12" s="369"/>
      <c r="R12" s="329"/>
      <c r="T12" s="441"/>
      <c r="U12" s="471" t="str">
        <f>Sprache!$E$10</f>
        <v>Teilnehmer bzw. Mannschaft</v>
      </c>
      <c r="V12" s="282"/>
      <c r="W12" s="408"/>
      <c r="X12" s="328" t="b">
        <f t="shared" ref="X12:X16" ca="1" si="2">AND($I12&lt;&gt;"",$K12&lt;&gt;"",$L12&lt;&gt;"",$N12&lt;&gt;"")</f>
        <v>0</v>
      </c>
      <c r="Y12" s="328" t="str">
        <f t="shared" ref="Y12:Y16" ca="1" si="3">IF(NOT(X12),"",IF($L12&gt;$N12,$I12,IF($L12&lt;$N12,$K12,IF(OR($O12="",$Q12="",$O12=$Q12),"",IF($O12&gt;$Q12,$I12,$K12)))))</f>
        <v/>
      </c>
      <c r="Z12" s="328" t="str">
        <f t="shared" ref="Z12:Z16" ca="1" si="4">IF(NOT(X12),"",IF($L12&lt;$N12,$I12,IF($L12&gt;$N12,$K12,IF(OR($O12="",$Q12="",$O12=$Q12),"",IF($O12&lt;$Q12,$I12,$K12)))))</f>
        <v/>
      </c>
      <c r="AA12" s="328" t="b">
        <f t="shared" ref="AA12:AA16" ca="1" si="5">AND(X12,$L12=$N12)</f>
        <v>0</v>
      </c>
    </row>
    <row r="13" spans="2:27" ht="24" customHeight="1" x14ac:dyDescent="0.25">
      <c r="B13" s="548" t="str">
        <f>Sprache!$E$71&amp;2</f>
        <v>HF 2</v>
      </c>
      <c r="C13" s="528">
        <f ca="1">IF($U$17=4,C12+1,C12)</f>
        <v>41</v>
      </c>
      <c r="D13" s="175">
        <f t="array" aca="1" ref="D13" ca="1">IF(Planung!$U$15,"",$D$12+QUOTIENT(($C13-$C$12),Planung!$U$11)*(Planung!$R$7+Planung!$R$9)/1440+SUM($R$12:$R12)/1440)</f>
        <v>0.61805555555555558</v>
      </c>
      <c r="E13" s="177">
        <f ca="1">IF(Planung!$U$15,"",MOD($C13-$C$12,Planung!$U$11)+1)</f>
        <v>1</v>
      </c>
      <c r="F13" s="416" t="s">
        <v>308</v>
      </c>
      <c r="G13" s="417" t="s">
        <v>5</v>
      </c>
      <c r="H13" s="418" t="s">
        <v>353</v>
      </c>
      <c r="I13" s="516" t="str">
        <f t="shared" ca="1" si="0"/>
        <v/>
      </c>
      <c r="J13" s="517" t="s">
        <v>5</v>
      </c>
      <c r="K13" s="518" t="str">
        <f t="shared" ca="1" si="1"/>
        <v/>
      </c>
      <c r="L13" s="423"/>
      <c r="M13" s="424" t="str">
        <f>Sprache!$E$111</f>
        <v>:</v>
      </c>
      <c r="N13" s="513"/>
      <c r="O13" s="337"/>
      <c r="P13" s="424" t="str">
        <f>Sprache!$E$111</f>
        <v>:</v>
      </c>
      <c r="Q13" s="332"/>
      <c r="R13" s="330"/>
      <c r="T13" s="461" t="s">
        <v>307</v>
      </c>
      <c r="U13" s="472" t="str">
        <f ca="1">IF(Vorrunde!$N$17="","",Vorrunde!$N$17)</f>
        <v/>
      </c>
      <c r="V13" s="282"/>
      <c r="W13" s="506"/>
      <c r="X13" s="328" t="b">
        <f t="shared" ca="1" si="2"/>
        <v>0</v>
      </c>
      <c r="Y13" s="328" t="str">
        <f t="shared" ca="1" si="3"/>
        <v/>
      </c>
      <c r="Z13" s="328" t="str">
        <f t="shared" ca="1" si="4"/>
        <v/>
      </c>
      <c r="AA13" s="328" t="b">
        <f t="shared" ca="1" si="5"/>
        <v>0</v>
      </c>
    </row>
    <row r="14" spans="2:27" ht="24" customHeight="1" x14ac:dyDescent="0.25">
      <c r="B14" s="548" t="str">
        <f>Sprache!$E$71&amp;3</f>
        <v>HF 3</v>
      </c>
      <c r="C14" s="528">
        <f ca="1">IF($U$17=4,C13+1,C13)</f>
        <v>41</v>
      </c>
      <c r="D14" s="175">
        <f t="array" aca="1" ref="D14" ca="1">IF(Planung!$U$15,"",$D$12+QUOTIENT(($C14-$C$12),Planung!$U$11)*(Planung!$R$7+Planung!$R$9)/1440+SUM($R$12:$R13)/1440)</f>
        <v>0.61805555555555558</v>
      </c>
      <c r="E14" s="177">
        <f ca="1">IF(Planung!$U$15,"",MOD($C14-$C$12,Planung!$U$11)+1)</f>
        <v>1</v>
      </c>
      <c r="F14" s="416" t="s">
        <v>304</v>
      </c>
      <c r="G14" s="417"/>
      <c r="H14" s="418" t="s">
        <v>306</v>
      </c>
      <c r="I14" s="516" t="str">
        <f t="shared" ca="1" si="0"/>
        <v>Maibach 1822 eV</v>
      </c>
      <c r="J14" s="517"/>
      <c r="K14" s="518" t="str">
        <f t="shared" ca="1" si="1"/>
        <v>FSV Rauen</v>
      </c>
      <c r="L14" s="423">
        <v>1</v>
      </c>
      <c r="M14" s="424" t="str">
        <f>Sprache!$E$111</f>
        <v>:</v>
      </c>
      <c r="N14" s="513">
        <v>2</v>
      </c>
      <c r="O14" s="337"/>
      <c r="P14" s="424" t="str">
        <f>Sprache!$E$111</f>
        <v>:</v>
      </c>
      <c r="Q14" s="332"/>
      <c r="R14" s="330"/>
      <c r="T14" s="440" t="s">
        <v>308</v>
      </c>
      <c r="U14" s="473" t="str">
        <f ca="1">IF(Vorrunde!$N$27="","",Vorrunde!$N$27)</f>
        <v/>
      </c>
      <c r="V14" s="282"/>
      <c r="W14" s="506"/>
      <c r="X14" s="328" t="b">
        <f t="shared" ca="1" si="2"/>
        <v>1</v>
      </c>
      <c r="Y14" s="328" t="str">
        <f t="shared" ca="1" si="3"/>
        <v>FSV Rauen</v>
      </c>
      <c r="Z14" s="328" t="str">
        <f t="shared" ca="1" si="4"/>
        <v>Maibach 1822 eV</v>
      </c>
      <c r="AA14" s="328" t="b">
        <f t="shared" ca="1" si="5"/>
        <v>0</v>
      </c>
    </row>
    <row r="15" spans="2:27" ht="24" customHeight="1" x14ac:dyDescent="0.25">
      <c r="B15" s="548" t="str">
        <f>Sprache!$E$71&amp;4</f>
        <v>HF 4</v>
      </c>
      <c r="C15" s="528">
        <f ca="1">IF($U$24=4,C14+1,C14)</f>
        <v>42</v>
      </c>
      <c r="D15" s="175">
        <f t="array" aca="1" ref="D15" ca="1">IF(Planung!$U$15,"",$D$12+QUOTIENT(($C15-$C$12),Planung!$U$11)*(Planung!$R$7+Planung!$R$9)/1440+SUM($R$12:$R14)/1440)</f>
        <v>0.61805555555555558</v>
      </c>
      <c r="E15" s="177">
        <f ca="1">IF(Planung!$U$15,"",MOD($C15-$C$12,Planung!$U$11)+1)</f>
        <v>2</v>
      </c>
      <c r="F15" s="416" t="s">
        <v>305</v>
      </c>
      <c r="G15" s="417" t="s">
        <v>5</v>
      </c>
      <c r="H15" s="418" t="s">
        <v>352</v>
      </c>
      <c r="I15" s="516" t="str">
        <f t="shared" ca="1" si="0"/>
        <v>SSV Wildbach</v>
      </c>
      <c r="J15" s="517" t="s">
        <v>5</v>
      </c>
      <c r="K15" s="518" t="str">
        <f t="shared" ca="1" si="1"/>
        <v>TSG Saalberg eV</v>
      </c>
      <c r="L15" s="423">
        <v>0</v>
      </c>
      <c r="M15" s="424" t="str">
        <f>Sprache!$E$111</f>
        <v>:</v>
      </c>
      <c r="N15" s="513">
        <v>0</v>
      </c>
      <c r="O15" s="337">
        <v>4</v>
      </c>
      <c r="P15" s="424" t="str">
        <f>Sprache!$E$111</f>
        <v>:</v>
      </c>
      <c r="Q15" s="332">
        <v>3</v>
      </c>
      <c r="R15" s="330"/>
      <c r="T15" s="460" t="s">
        <v>309</v>
      </c>
      <c r="U15" s="473" t="str">
        <f ca="1">IF(Vorrunde!$N$37="","",Vorrunde!$N$37)</f>
        <v/>
      </c>
      <c r="V15" s="282"/>
      <c r="W15" s="506"/>
      <c r="X15" s="328" t="b">
        <f t="shared" ca="1" si="2"/>
        <v>1</v>
      </c>
      <c r="Y15" s="328" t="str">
        <f t="shared" ca="1" si="3"/>
        <v>SSV Wildbach</v>
      </c>
      <c r="Z15" s="328" t="str">
        <f t="shared" ca="1" si="4"/>
        <v>TSG Saalberg eV</v>
      </c>
      <c r="AA15" s="328" t="b">
        <f t="shared" ca="1" si="5"/>
        <v>1</v>
      </c>
    </row>
    <row r="16" spans="2:27" ht="24" customHeight="1" thickBot="1" x14ac:dyDescent="0.3">
      <c r="B16" s="548" t="str">
        <f>Sprache!$E$71&amp;5</f>
        <v>HF 5</v>
      </c>
      <c r="C16" s="528">
        <f ca="1">IF($U$24=4,C15+1,C15)</f>
        <v>43</v>
      </c>
      <c r="D16" s="175">
        <f t="array" aca="1" ref="D16" ca="1">IF(Planung!$U$15,"",$D$12+QUOTIENT(($C16-$C$12),Planung!$U$11)*(Planung!$R$7+Planung!$R$9)/1440+SUM($R$12:$R15)/1440)</f>
        <v>0.61805555555555558</v>
      </c>
      <c r="E16" s="177">
        <f ca="1">IF(Planung!$U$15,"",MOD($C16-$C$12,Planung!$U$11)+1)</f>
        <v>3</v>
      </c>
      <c r="F16" s="416" t="s">
        <v>301</v>
      </c>
      <c r="G16" s="417" t="s">
        <v>5</v>
      </c>
      <c r="H16" s="418" t="s">
        <v>303</v>
      </c>
      <c r="I16" s="516" t="str">
        <f t="shared" ca="1" si="0"/>
        <v>VFB Essenheim</v>
      </c>
      <c r="J16" s="517" t="s">
        <v>5</v>
      </c>
      <c r="K16" s="518" t="str">
        <f t="shared" ca="1" si="1"/>
        <v>Kickers Rodendorf</v>
      </c>
      <c r="L16" s="423">
        <v>5</v>
      </c>
      <c r="M16" s="424" t="str">
        <f>Sprache!$E$111</f>
        <v>:</v>
      </c>
      <c r="N16" s="513">
        <v>1</v>
      </c>
      <c r="O16" s="337"/>
      <c r="P16" s="424" t="str">
        <f>Sprache!$E$111</f>
        <v>:</v>
      </c>
      <c r="Q16" s="332"/>
      <c r="R16" s="330"/>
      <c r="T16" s="405" t="s">
        <v>353</v>
      </c>
      <c r="U16" s="474" t="str">
        <f ca="1">IF(Vorrunde!$N$47="","",Vorrunde!$N$47)</f>
        <v/>
      </c>
      <c r="V16" s="282"/>
      <c r="W16" s="506"/>
      <c r="X16" s="328" t="b">
        <f t="shared" ca="1" si="2"/>
        <v>1</v>
      </c>
      <c r="Y16" s="328" t="str">
        <f t="shared" ca="1" si="3"/>
        <v>VFB Essenheim</v>
      </c>
      <c r="Z16" s="328" t="str">
        <f t="shared" ca="1" si="4"/>
        <v>Kickers Rodendorf</v>
      </c>
      <c r="AA16" s="328" t="b">
        <f t="shared" ca="1" si="5"/>
        <v>0</v>
      </c>
    </row>
    <row r="17" spans="2:27" ht="24" customHeight="1" thickTop="1" x14ac:dyDescent="0.25">
      <c r="B17" s="548" t="str">
        <f>Sprache!$E$71&amp;6</f>
        <v>HF 6</v>
      </c>
      <c r="C17" s="528">
        <f ca="1">IF($U$31=4,C16+1,C16)</f>
        <v>44</v>
      </c>
      <c r="D17" s="175">
        <f t="array" aca="1" ref="D17" ca="1">IF(Planung!$U$15,"",$D$12+QUOTIENT(($C17-$C$12),Planung!$U$11)*(Planung!$R$7+Planung!$R$9)/1440+SUM($R$12:$R16)/1440)</f>
        <v>0.61805555555555558</v>
      </c>
      <c r="E17" s="177">
        <f ca="1">IF(Planung!$U$15,"",MOD($C17-$C$12,Planung!$U$11)+1)</f>
        <v>4</v>
      </c>
      <c r="F17" s="416" t="s">
        <v>302</v>
      </c>
      <c r="G17" s="417" t="s">
        <v>5</v>
      </c>
      <c r="H17" s="418" t="s">
        <v>351</v>
      </c>
      <c r="I17" s="516" t="str">
        <f t="shared" ca="1" si="0"/>
        <v>FC Grönlingen</v>
      </c>
      <c r="J17" s="517" t="s">
        <v>5</v>
      </c>
      <c r="K17" s="518" t="str">
        <f t="shared" ca="1" si="1"/>
        <v>SV Oberredenburg</v>
      </c>
      <c r="L17" s="423">
        <v>2</v>
      </c>
      <c r="M17" s="424" t="str">
        <f>Sprache!$E$111</f>
        <v>:</v>
      </c>
      <c r="N17" s="513">
        <v>3</v>
      </c>
      <c r="O17" s="337"/>
      <c r="P17" s="424" t="str">
        <f>Sprache!$E$111</f>
        <v>:</v>
      </c>
      <c r="Q17" s="332"/>
      <c r="R17" s="330"/>
      <c r="T17" s="407"/>
      <c r="U17" s="634">
        <f t="array" aca="1" ref="U17" ca="1">SUM((U13:U16&lt;&gt;"")*1)</f>
        <v>0</v>
      </c>
      <c r="V17" s="282"/>
      <c r="W17" s="406"/>
      <c r="X17" s="656" t="b">
        <f t="shared" ref="X17:X23" ca="1" si="6">AND($I17&lt;&gt;"",$K17&lt;&gt;"",$L17&lt;&gt;"",$N17&lt;&gt;"")</f>
        <v>1</v>
      </c>
      <c r="Y17" s="581" t="str">
        <f ca="1">IF(NOT(X17),"",IF($L17&gt;$N17,$I17,IF($L17&lt;$N17,$K17,IF(OR($O17="",$Q17="",$O17=$Q17),"",IF($O17&gt;$Q17,$I17,$K17)))))</f>
        <v>SV Oberredenburg</v>
      </c>
      <c r="Z17" s="581" t="str">
        <f ca="1">IF(NOT(X17),"",IF($L17&lt;$N17,$I17,IF($L17&gt;$N17,$K17,IF(OR($O17="",$Q17="",$O17=$Q17),"",IF($O17&lt;$Q17,$I17,$K17)))))</f>
        <v>FC Grönlingen</v>
      </c>
      <c r="AA17" s="656" t="b">
        <f ca="1">AND(X17,$L17=$N17)</f>
        <v>0</v>
      </c>
    </row>
    <row r="18" spans="2:27" ht="24" customHeight="1" thickBot="1" x14ac:dyDescent="0.45">
      <c r="B18" s="548" t="str">
        <f>Sprache!$E$71&amp;7</f>
        <v>HF 7</v>
      </c>
      <c r="C18" s="528">
        <f ca="1">IF($U$31=4,C17+1,C17)</f>
        <v>45</v>
      </c>
      <c r="D18" s="175">
        <f t="array" aca="1" ref="D18" ca="1">IF(Planung!$U$15,"",$D$12+QUOTIENT(($C18-$C$12),Planung!$U$11)*(Planung!$R$7+Planung!$R$9)/1440+SUM($R$12:$R17)/1440)</f>
        <v>0.64236111111111116</v>
      </c>
      <c r="E18" s="177">
        <f ca="1">IF(Planung!$U$15,"",MOD($C18-$C$12,Planung!$U$11)+1)</f>
        <v>1</v>
      </c>
      <c r="F18" s="416" t="s">
        <v>298</v>
      </c>
      <c r="G18" s="417" t="s">
        <v>5</v>
      </c>
      <c r="H18" s="418" t="s">
        <v>300</v>
      </c>
      <c r="I18" s="516" t="str">
        <f t="shared" ca="1" si="0"/>
        <v>1. FC Riedwald</v>
      </c>
      <c r="J18" s="517" t="s">
        <v>5</v>
      </c>
      <c r="K18" s="518" t="str">
        <f t="shared" ca="1" si="1"/>
        <v>1. FC Nürnberg</v>
      </c>
      <c r="L18" s="423">
        <v>2</v>
      </c>
      <c r="M18" s="424" t="str">
        <f>Sprache!$E$111</f>
        <v>:</v>
      </c>
      <c r="N18" s="513">
        <v>5</v>
      </c>
      <c r="O18" s="337"/>
      <c r="P18" s="424" t="str">
        <f>Sprache!$E$111</f>
        <v>:</v>
      </c>
      <c r="Q18" s="332"/>
      <c r="R18" s="330"/>
      <c r="T18" s="796" t="str">
        <f>Sprache!$E$63</f>
        <v>Gruppenfünfte</v>
      </c>
      <c r="U18" s="796"/>
      <c r="V18" s="280"/>
      <c r="W18" s="406"/>
      <c r="X18" s="328" t="b">
        <f t="shared" ca="1" si="6"/>
        <v>1</v>
      </c>
      <c r="Y18" s="328" t="str">
        <f t="shared" ref="Y18:Y23" ca="1" si="7">IF(NOT(X18),"",IF($L18&gt;$N18,$I18,IF($L18&lt;$N18,$K18,IF(OR($O18="",$Q18="",$O18=$Q18),"",IF($O18&gt;$Q18,$I18,$K18)))))</f>
        <v>1. FC Nürnberg</v>
      </c>
      <c r="Z18" s="328" t="str">
        <f t="shared" ref="Z18:Z23" ca="1" si="8">IF(NOT(X18),"",IF($L18&lt;$N18,$I18,IF($L18&gt;$N18,$K18,IF(OR($O18="",$Q18="",$O18=$Q18),"",IF($O18&lt;$Q18,$I18,$K18)))))</f>
        <v>1. FC Riedwald</v>
      </c>
      <c r="AA18" s="328" t="b">
        <f t="shared" ref="AA18:AA23" ca="1" si="9">AND(X18,$L18=$N18)</f>
        <v>0</v>
      </c>
    </row>
    <row r="19" spans="2:27" ht="24" customHeight="1" thickTop="1" x14ac:dyDescent="0.4">
      <c r="B19" s="548" t="str">
        <f>Sprache!$E$71&amp;8</f>
        <v>HF 8</v>
      </c>
      <c r="C19" s="528">
        <f ca="1">C18+1</f>
        <v>46</v>
      </c>
      <c r="D19" s="175">
        <f t="array" aca="1" ref="D19" ca="1">IF(Planung!$U$15,"",$D$12+QUOTIENT(($C19-$C$12),Planung!$U$11)*(Planung!$R$7+Planung!$R$9)/1440+SUM($R$12:$R18)/1440)</f>
        <v>0.64236111111111116</v>
      </c>
      <c r="E19" s="177">
        <f ca="1">IF(Planung!$U$15,"",MOD($C19-$C$12,Planung!$U$11)+1)</f>
        <v>2</v>
      </c>
      <c r="F19" s="416" t="s">
        <v>299</v>
      </c>
      <c r="G19" s="417" t="s">
        <v>5</v>
      </c>
      <c r="H19" s="418" t="s">
        <v>350</v>
      </c>
      <c r="I19" s="516" t="str">
        <f t="shared" ca="1" si="0"/>
        <v>Mainz 05</v>
      </c>
      <c r="J19" s="517" t="s">
        <v>5</v>
      </c>
      <c r="K19" s="518" t="str">
        <f t="shared" ca="1" si="1"/>
        <v>HSV</v>
      </c>
      <c r="L19" s="423">
        <v>5</v>
      </c>
      <c r="M19" s="424" t="str">
        <f>Sprache!$E$111</f>
        <v>:</v>
      </c>
      <c r="N19" s="513">
        <v>3</v>
      </c>
      <c r="O19" s="337"/>
      <c r="P19" s="424" t="str">
        <f>Sprache!$E$111</f>
        <v>:</v>
      </c>
      <c r="Q19" s="332"/>
      <c r="R19" s="330"/>
      <c r="T19" s="441"/>
      <c r="U19" s="471" t="str">
        <f>Sprache!$E$10</f>
        <v>Teilnehmer bzw. Mannschaft</v>
      </c>
      <c r="V19" s="468"/>
      <c r="W19" s="470"/>
      <c r="X19" s="328" t="b">
        <f t="shared" ca="1" si="6"/>
        <v>1</v>
      </c>
      <c r="Y19" s="328" t="str">
        <f t="shared" ca="1" si="7"/>
        <v>Mainz 05</v>
      </c>
      <c r="Z19" s="328" t="str">
        <f t="shared" ca="1" si="8"/>
        <v>HSV</v>
      </c>
      <c r="AA19" s="328" t="b">
        <f t="shared" ca="1" si="9"/>
        <v>0</v>
      </c>
    </row>
    <row r="20" spans="2:27" ht="24" customHeight="1" x14ac:dyDescent="0.25">
      <c r="B20" s="548" t="str">
        <f>Sprache!$E$71&amp;9</f>
        <v>HF 9</v>
      </c>
      <c r="C20" s="528">
        <f t="shared" ref="C20:C23" ca="1" si="10">C19+1</f>
        <v>47</v>
      </c>
      <c r="D20" s="175">
        <f t="array" aca="1" ref="D20" ca="1">IF(Planung!$U$15,"",$D$12+QUOTIENT(($C20-$C$12),Planung!$U$11)*(Planung!$R$7+Planung!$R$9)/1440+SUM($R$12:$R19)/1440)</f>
        <v>0.64236111111111116</v>
      </c>
      <c r="E20" s="177">
        <f ca="1">IF(Planung!$U$15,"",MOD($C20-$C$12,Planung!$U$11)+1)</f>
        <v>3</v>
      </c>
      <c r="F20" s="416" t="s">
        <v>295</v>
      </c>
      <c r="G20" s="417" t="s">
        <v>5</v>
      </c>
      <c r="H20" s="418" t="s">
        <v>297</v>
      </c>
      <c r="I20" s="516" t="str">
        <f t="shared" ca="1" si="0"/>
        <v>Eintracht Frankfurt</v>
      </c>
      <c r="J20" s="517" t="s">
        <v>5</v>
      </c>
      <c r="K20" s="518" t="str">
        <f t="shared" ca="1" si="1"/>
        <v>Real Madrid</v>
      </c>
      <c r="L20" s="423">
        <v>2</v>
      </c>
      <c r="M20" s="424" t="str">
        <f>Sprache!$E$111</f>
        <v>:</v>
      </c>
      <c r="N20" s="513">
        <v>1</v>
      </c>
      <c r="O20" s="337"/>
      <c r="P20" s="424" t="str">
        <f>Sprache!$E$111</f>
        <v>:</v>
      </c>
      <c r="Q20" s="332"/>
      <c r="R20" s="330"/>
      <c r="T20" s="461" t="s">
        <v>304</v>
      </c>
      <c r="U20" s="472" t="str">
        <f ca="1">IF(Vorrunde!$N$16="","",Vorrunde!$N$16)</f>
        <v>Maibach 1822 eV</v>
      </c>
      <c r="V20" s="282"/>
      <c r="W20" s="408"/>
      <c r="X20" s="328" t="b">
        <f t="shared" ca="1" si="6"/>
        <v>1</v>
      </c>
      <c r="Y20" s="328" t="str">
        <f t="shared" ca="1" si="7"/>
        <v>Eintracht Frankfurt</v>
      </c>
      <c r="Z20" s="328" t="str">
        <f t="shared" ca="1" si="8"/>
        <v>Real Madrid</v>
      </c>
      <c r="AA20" s="328" t="b">
        <f t="shared" ca="1" si="9"/>
        <v>0</v>
      </c>
    </row>
    <row r="21" spans="2:27" ht="24" customHeight="1" x14ac:dyDescent="0.25">
      <c r="B21" s="548" t="str">
        <f>Sprache!$E$71&amp;10</f>
        <v>HF 10</v>
      </c>
      <c r="C21" s="528">
        <f t="shared" ca="1" si="10"/>
        <v>48</v>
      </c>
      <c r="D21" s="175">
        <f t="array" aca="1" ref="D21" ca="1">IF(Planung!$U$15,"",$D$12+QUOTIENT(($C21-$C$12),Planung!$U$11)*(Planung!$R$7+Planung!$R$9)/1440+SUM($R$12:$R20)/1440)</f>
        <v>0.64236111111111116</v>
      </c>
      <c r="E21" s="177">
        <f ca="1">IF(Planung!$U$15,"",MOD($C21-$C$12,Planung!$U$11)+1)</f>
        <v>4</v>
      </c>
      <c r="F21" s="416" t="s">
        <v>296</v>
      </c>
      <c r="G21" s="417" t="s">
        <v>5</v>
      </c>
      <c r="H21" s="418" t="s">
        <v>349</v>
      </c>
      <c r="I21" s="516" t="str">
        <f t="shared" ca="1" si="0"/>
        <v>Inter Mailand</v>
      </c>
      <c r="J21" s="517" t="s">
        <v>5</v>
      </c>
      <c r="K21" s="518" t="str">
        <f t="shared" ca="1" si="1"/>
        <v>RB Leipzig</v>
      </c>
      <c r="L21" s="423">
        <v>3</v>
      </c>
      <c r="M21" s="424" t="str">
        <f>Sprache!$E$111</f>
        <v>:</v>
      </c>
      <c r="N21" s="513">
        <v>1</v>
      </c>
      <c r="O21" s="337"/>
      <c r="P21" s="424" t="str">
        <f>Sprache!$E$111</f>
        <v>:</v>
      </c>
      <c r="Q21" s="332"/>
      <c r="R21" s="330"/>
      <c r="T21" s="440" t="s">
        <v>305</v>
      </c>
      <c r="U21" s="473" t="str">
        <f ca="1">IF(Vorrunde!$N$26="","",Vorrunde!$N$26)</f>
        <v>SSV Wildbach</v>
      </c>
      <c r="V21" s="282"/>
      <c r="W21" s="506"/>
      <c r="X21" s="328" t="b">
        <f t="shared" ca="1" si="6"/>
        <v>1</v>
      </c>
      <c r="Y21" s="328" t="str">
        <f t="shared" ca="1" si="7"/>
        <v>Inter Mailand</v>
      </c>
      <c r="Z21" s="328" t="str">
        <f t="shared" ca="1" si="8"/>
        <v>RB Leipzig</v>
      </c>
      <c r="AA21" s="328" t="b">
        <f t="shared" ca="1" si="9"/>
        <v>0</v>
      </c>
    </row>
    <row r="22" spans="2:27" ht="24" customHeight="1" x14ac:dyDescent="0.25">
      <c r="B22" s="548" t="str">
        <f>Sprache!$E$71&amp;11</f>
        <v>HF 11</v>
      </c>
      <c r="C22" s="528">
        <f t="shared" ca="1" si="10"/>
        <v>49</v>
      </c>
      <c r="D22" s="175">
        <f t="array" aca="1" ref="D22" ca="1">IF(Planung!$U$15,"",$D$12+QUOTIENT(($C22-$C$12),Planung!$U$11)*(Planung!$R$7+Planung!$R$9)/1440+SUM($R$12:$R21)/1440)</f>
        <v>0.66666666666666674</v>
      </c>
      <c r="E22" s="177">
        <f ca="1">IF(Planung!$U$15,"",MOD($C22-$C$12,Planung!$U$11)+1)</f>
        <v>1</v>
      </c>
      <c r="F22" s="416" t="s">
        <v>292</v>
      </c>
      <c r="G22" s="417"/>
      <c r="H22" s="418" t="s">
        <v>294</v>
      </c>
      <c r="I22" s="516" t="str">
        <f t="shared" ca="1" si="0"/>
        <v>FC Barcelona</v>
      </c>
      <c r="J22" s="517"/>
      <c r="K22" s="518" t="str">
        <f t="shared" ca="1" si="1"/>
        <v>Borussia Dortmund</v>
      </c>
      <c r="L22" s="423">
        <v>4</v>
      </c>
      <c r="M22" s="424" t="str">
        <f>Sprache!$E$111</f>
        <v>:</v>
      </c>
      <c r="N22" s="513">
        <v>2</v>
      </c>
      <c r="O22" s="337"/>
      <c r="P22" s="424" t="str">
        <f>Sprache!$E$111</f>
        <v>:</v>
      </c>
      <c r="Q22" s="332"/>
      <c r="R22" s="330"/>
      <c r="T22" s="460" t="s">
        <v>306</v>
      </c>
      <c r="U22" s="473" t="str">
        <f ca="1">IF(Vorrunde!$N$36="","",Vorrunde!$N$36)</f>
        <v>FSV Rauen</v>
      </c>
      <c r="V22" s="282"/>
      <c r="W22" s="506"/>
      <c r="X22" s="328" t="b">
        <f t="shared" ca="1" si="6"/>
        <v>1</v>
      </c>
      <c r="Y22" s="328" t="str">
        <f t="shared" ca="1" si="7"/>
        <v>FC Barcelona</v>
      </c>
      <c r="Z22" s="328" t="str">
        <f t="shared" ca="1" si="8"/>
        <v>Borussia Dortmund</v>
      </c>
      <c r="AA22" s="328" t="b">
        <f t="shared" ca="1" si="9"/>
        <v>0</v>
      </c>
    </row>
    <row r="23" spans="2:27" ht="24" customHeight="1" thickBot="1" x14ac:dyDescent="0.3">
      <c r="B23" s="549" t="str">
        <f>Sprache!$E$71&amp;12</f>
        <v>HF 12</v>
      </c>
      <c r="C23" s="529">
        <f t="shared" ca="1" si="10"/>
        <v>50</v>
      </c>
      <c r="D23" s="178">
        <f t="array" aca="1" ref="D23" ca="1">IF(Planung!$U$15,"",$D$12+QUOTIENT(($C23-$C$12),Planung!$U$11)*(Planung!$R$7+Planung!$R$9)/1440+SUM($R$12:$R22)/1440)</f>
        <v>0.66666666666666674</v>
      </c>
      <c r="E23" s="179">
        <f ca="1">IF(Planung!$U$15,"",MOD($C23-$C$12,Planung!$U$11)+1)</f>
        <v>2</v>
      </c>
      <c r="F23" s="419" t="s">
        <v>293</v>
      </c>
      <c r="G23" s="420" t="s">
        <v>5</v>
      </c>
      <c r="H23" s="421" t="s">
        <v>348</v>
      </c>
      <c r="I23" s="507" t="str">
        <f t="shared" ca="1" si="0"/>
        <v>Manchester City</v>
      </c>
      <c r="J23" s="508" t="s">
        <v>5</v>
      </c>
      <c r="K23" s="519" t="str">
        <f t="shared" ca="1" si="1"/>
        <v>Paris St. Germain</v>
      </c>
      <c r="L23" s="425">
        <v>1</v>
      </c>
      <c r="M23" s="362" t="str">
        <f>Sprache!$E$111</f>
        <v>:</v>
      </c>
      <c r="N23" s="514">
        <v>2</v>
      </c>
      <c r="O23" s="338"/>
      <c r="P23" s="362" t="str">
        <f>Sprache!$E$111</f>
        <v>:</v>
      </c>
      <c r="Q23" s="333"/>
      <c r="R23" s="404"/>
      <c r="T23" s="405" t="s">
        <v>352</v>
      </c>
      <c r="U23" s="474" t="str">
        <f ca="1">IF(Vorrunde!$N$46="","",Vorrunde!$N$46)</f>
        <v>TSG Saalberg eV</v>
      </c>
      <c r="V23" s="282"/>
      <c r="W23" s="506"/>
      <c r="X23" s="328" t="b">
        <f t="shared" ca="1" si="6"/>
        <v>1</v>
      </c>
      <c r="Y23" s="328" t="str">
        <f t="shared" ca="1" si="7"/>
        <v>Paris St. Germain</v>
      </c>
      <c r="Z23" s="328" t="str">
        <f t="shared" ca="1" si="8"/>
        <v>Manchester City</v>
      </c>
      <c r="AA23" s="328" t="b">
        <f t="shared" ca="1" si="9"/>
        <v>0</v>
      </c>
    </row>
    <row r="24" spans="2:27" ht="24" customHeight="1" thickTop="1" x14ac:dyDescent="0.25">
      <c r="B24" s="316"/>
      <c r="C24" s="475"/>
      <c r="D24" s="476"/>
      <c r="E24" s="477"/>
      <c r="F24" s="478"/>
      <c r="G24" s="479"/>
      <c r="H24" s="480"/>
      <c r="I24" s="524" t="s">
        <v>270</v>
      </c>
      <c r="J24" s="481"/>
      <c r="K24" s="524" t="s">
        <v>270</v>
      </c>
      <c r="L24" s="482"/>
      <c r="M24" s="351"/>
      <c r="N24" s="483"/>
      <c r="O24" s="484"/>
      <c r="P24" s="484"/>
      <c r="Q24" s="484"/>
      <c r="R24" s="484"/>
      <c r="U24" s="634">
        <f t="array" aca="1" ref="U24" ca="1">SUM((U20:U23&lt;&gt;"")*1)</f>
        <v>4</v>
      </c>
      <c r="V24" s="469"/>
      <c r="W24" s="506"/>
    </row>
    <row r="25" spans="2:27" ht="24" customHeight="1" thickBot="1" x14ac:dyDescent="0.45">
      <c r="B25" s="316"/>
      <c r="C25" s="505"/>
      <c r="D25" s="505"/>
      <c r="E25" s="505"/>
      <c r="F25" s="505"/>
      <c r="G25" s="505"/>
      <c r="H25" s="505"/>
      <c r="I25" s="524" t="s">
        <v>270</v>
      </c>
      <c r="J25" s="481"/>
      <c r="K25" s="524" t="s">
        <v>270</v>
      </c>
      <c r="L25" s="482"/>
      <c r="M25" s="351"/>
      <c r="N25" s="483"/>
      <c r="O25" s="484"/>
      <c r="P25" s="484"/>
      <c r="Q25" s="484"/>
      <c r="R25" s="484"/>
      <c r="T25" s="796" t="str">
        <f>Sprache!$E$62</f>
        <v>Gruppenvierte</v>
      </c>
      <c r="U25" s="796"/>
      <c r="V25" s="469"/>
      <c r="W25" s="406"/>
    </row>
    <row r="26" spans="2:27" ht="24" customHeight="1" thickTop="1" thickBot="1" x14ac:dyDescent="0.3">
      <c r="B26" s="316"/>
      <c r="C26" s="774" t="str">
        <f>Sprache!$E$67&amp;"21"&amp;Sprache!$E$68&amp;"24"</f>
        <v>Finalspiele um die Plätze 21 bis 24</v>
      </c>
      <c r="D26" s="774"/>
      <c r="E26" s="774"/>
      <c r="F26" s="774"/>
      <c r="G26" s="774"/>
      <c r="H26" s="774"/>
      <c r="I26" s="526" t="s">
        <v>270</v>
      </c>
      <c r="J26" s="525"/>
      <c r="K26" s="526" t="s">
        <v>270</v>
      </c>
      <c r="L26" s="811" t="str">
        <f>Sprache!$E$15</f>
        <v>Ergebnis</v>
      </c>
      <c r="M26" s="812"/>
      <c r="N26" s="812"/>
      <c r="O26" s="812" t="str">
        <f>Sprache!$E$101</f>
        <v>Elfmeter</v>
      </c>
      <c r="P26" s="812"/>
      <c r="Q26" s="813"/>
      <c r="R26" s="484"/>
      <c r="T26" s="441"/>
      <c r="U26" s="471" t="str">
        <f>Sprache!$E$10</f>
        <v>Teilnehmer bzw. Mannschaft</v>
      </c>
      <c r="V26" s="280"/>
      <c r="W26" s="280"/>
    </row>
    <row r="27" spans="2:27" ht="24" customHeight="1" thickTop="1" x14ac:dyDescent="0.4">
      <c r="B27" s="523"/>
      <c r="C27" s="531">
        <f ca="1">C23+1</f>
        <v>51</v>
      </c>
      <c r="D27" s="485">
        <f t="array" aca="1" ref="D27" ca="1">IF(Planung!$U$15,"",$D$12+QUOTIENT(($C27-$C$12),Planung!$U$11)*(Planung!$R$7+Planung!$R$9)/1440+SUM($R$12:$R26)/1440)</f>
        <v>0.66666666666666674</v>
      </c>
      <c r="E27" s="486">
        <f ca="1">IF(Planung!$U$15,"",MOD($C27-$C$12,Planung!$U$11)+1)</f>
        <v>3</v>
      </c>
      <c r="F27" s="487" t="str">
        <f>"2. "&amp;B12</f>
        <v>2. HF 1</v>
      </c>
      <c r="G27" s="488" t="s">
        <v>5</v>
      </c>
      <c r="H27" s="489" t="str">
        <f>"2. "&amp;B13</f>
        <v>2. HF 2</v>
      </c>
      <c r="I27" s="490" t="str">
        <f ca="1">INDEX($Y$12:$Z$23,RIGHT($F27,2),_xlfn.NUMBERVALUE(LEFT($F27,2)))</f>
        <v/>
      </c>
      <c r="J27" s="491" t="s">
        <v>5</v>
      </c>
      <c r="K27" s="492" t="str">
        <f ca="1">INDEX($Y$12:$Z$23,RIGHT($H27,2),_xlfn.NUMBERVALUE(LEFT($H27,2)))</f>
        <v/>
      </c>
      <c r="L27" s="493"/>
      <c r="M27" s="359" t="str">
        <f>Sprache!$E$111</f>
        <v>:</v>
      </c>
      <c r="N27" s="520"/>
      <c r="O27" s="358"/>
      <c r="P27" s="359" t="str">
        <f>Sprache!$E$111</f>
        <v>:</v>
      </c>
      <c r="Q27" s="360"/>
      <c r="R27" s="329"/>
      <c r="T27" s="461" t="s">
        <v>301</v>
      </c>
      <c r="U27" s="472" t="str">
        <f ca="1">IF(Vorrunde!$N$15="","",Vorrunde!$N$15)</f>
        <v>VFB Essenheim</v>
      </c>
      <c r="V27" s="280"/>
      <c r="W27" s="470"/>
      <c r="X27" s="328" t="b">
        <f t="shared" ref="X27:X28" ca="1" si="11">AND($I27&lt;&gt;"",$K27&lt;&gt;"",$L27&lt;&gt;"",$N27&lt;&gt;"")</f>
        <v>0</v>
      </c>
      <c r="Y27" s="328" t="str">
        <f t="shared" ref="Y27:Y28" ca="1" si="12">IF(NOT(X27),"",IF($L27&gt;$N27,$I27,IF($L27&lt;$N27,$K27,IF(OR($O27="",$Q27="",$O27=$Q27),"",IF($O27&gt;$Q27,$I27,$K27)))))</f>
        <v/>
      </c>
      <c r="Z27" s="328" t="str">
        <f t="shared" ref="Z27:Z28" ca="1" si="13">IF(NOT(X27),"",IF($L27&lt;$N27,$I27,IF($L27&gt;$N27,$K27,IF(OR($O27="",$Q27="",$O27=$Q27),"",IF($O27&lt;$Q27,$I27,$K27)))))</f>
        <v/>
      </c>
      <c r="AA27" s="328" t="b">
        <f t="shared" ref="AA27:AA28" ca="1" si="14">AND(X27,$L27=$N27)</f>
        <v>0</v>
      </c>
    </row>
    <row r="28" spans="2:27" ht="24" customHeight="1" thickBot="1" x14ac:dyDescent="0.3">
      <c r="B28" s="523"/>
      <c r="C28" s="529">
        <f ca="1">IF($U$17=4,C27+1,C27)</f>
        <v>51</v>
      </c>
      <c r="D28" s="178">
        <f t="array" aca="1" ref="D28" ca="1">IF(Planung!$U$15,"",$D$12+QUOTIENT(($C28-$C$12),Planung!$U$11)*(Planung!$R$7+Planung!$R$9)/1440+SUM($R$12:$R27)/1440)</f>
        <v>0.66666666666666674</v>
      </c>
      <c r="E28" s="179">
        <f ca="1">IF(Planung!$U$15,"",MOD($C28-$C$12,Planung!$U$11)+1)</f>
        <v>3</v>
      </c>
      <c r="F28" s="419" t="str">
        <f>"1. "&amp;B12</f>
        <v>1. HF 1</v>
      </c>
      <c r="G28" s="420" t="s">
        <v>5</v>
      </c>
      <c r="H28" s="421" t="str">
        <f>"1. "&amp;B13</f>
        <v>1. HF 2</v>
      </c>
      <c r="I28" s="507" t="str">
        <f ca="1">INDEX($Y$12:$Z$23,RIGHT($F28,2),_xlfn.NUMBERVALUE(LEFT($F28,2)))</f>
        <v/>
      </c>
      <c r="J28" s="508" t="s">
        <v>5</v>
      </c>
      <c r="K28" s="509" t="str">
        <f ca="1">INDEX($Y$12:$Z$23,RIGHT($H28,2),_xlfn.NUMBERVALUE(LEFT($H28,2)))</f>
        <v/>
      </c>
      <c r="L28" s="425"/>
      <c r="M28" s="362" t="str">
        <f>Sprache!$E$111</f>
        <v>:</v>
      </c>
      <c r="N28" s="514"/>
      <c r="O28" s="338"/>
      <c r="P28" s="362" t="str">
        <f>Sprache!$E$111</f>
        <v>:</v>
      </c>
      <c r="Q28" s="333"/>
      <c r="R28" s="404"/>
      <c r="T28" s="440" t="s">
        <v>302</v>
      </c>
      <c r="U28" s="473" t="str">
        <f ca="1">IF(Vorrunde!$N$25="","",Vorrunde!$N$25)</f>
        <v>FC Grönlingen</v>
      </c>
      <c r="V28" s="280"/>
      <c r="W28" s="408"/>
      <c r="X28" s="328" t="b">
        <f t="shared" ca="1" si="11"/>
        <v>0</v>
      </c>
      <c r="Y28" s="328" t="str">
        <f t="shared" ca="1" si="12"/>
        <v/>
      </c>
      <c r="Z28" s="328" t="str">
        <f t="shared" ca="1" si="13"/>
        <v/>
      </c>
      <c r="AA28" s="328" t="b">
        <f t="shared" ca="1" si="14"/>
        <v>0</v>
      </c>
    </row>
    <row r="29" spans="2:27" ht="24" customHeight="1" thickTop="1" thickBot="1" x14ac:dyDescent="0.25">
      <c r="B29" s="316"/>
      <c r="I29" s="524" t="s">
        <v>270</v>
      </c>
      <c r="J29" s="481"/>
      <c r="K29" s="524" t="s">
        <v>270</v>
      </c>
      <c r="T29" s="460" t="s">
        <v>303</v>
      </c>
      <c r="U29" s="473" t="str">
        <f ca="1">IF(Vorrunde!$N$35="","",Vorrunde!$N$35)</f>
        <v>Kickers Rodendorf</v>
      </c>
      <c r="V29" s="468"/>
      <c r="W29" s="506"/>
    </row>
    <row r="30" spans="2:27" ht="24" customHeight="1" thickBot="1" x14ac:dyDescent="0.3">
      <c r="B30" s="316"/>
      <c r="C30" s="774" t="str">
        <f>Sprache!$E$67&amp;"17"&amp;Sprache!$E$68&amp;"20"</f>
        <v>Finalspiele um die Plätze 17 bis 20</v>
      </c>
      <c r="D30" s="774"/>
      <c r="E30" s="774"/>
      <c r="F30" s="774"/>
      <c r="G30" s="774"/>
      <c r="H30" s="774"/>
      <c r="I30" s="526" t="s">
        <v>270</v>
      </c>
      <c r="J30" s="525"/>
      <c r="K30" s="526" t="s">
        <v>270</v>
      </c>
      <c r="L30" s="811" t="str">
        <f>Sprache!$E$15</f>
        <v>Ergebnis</v>
      </c>
      <c r="M30" s="812"/>
      <c r="N30" s="812"/>
      <c r="O30" s="812" t="str">
        <f>Sprache!$E$101</f>
        <v>Elfmeter</v>
      </c>
      <c r="P30" s="812"/>
      <c r="Q30" s="813"/>
      <c r="R30" s="484"/>
      <c r="T30" s="405" t="s">
        <v>351</v>
      </c>
      <c r="U30" s="474" t="str">
        <f ca="1">IF(Vorrunde!$N$45="","",Vorrunde!$N$45)</f>
        <v>SV Oberredenburg</v>
      </c>
      <c r="V30" s="468"/>
      <c r="W30" s="506"/>
    </row>
    <row r="31" spans="2:27" ht="24" customHeight="1" thickTop="1" x14ac:dyDescent="0.25">
      <c r="B31" s="523"/>
      <c r="C31" s="531">
        <f ca="1">IF($U$17=4,C28+1,C28)</f>
        <v>51</v>
      </c>
      <c r="D31" s="485">
        <f t="array" aca="1" ref="D31" ca="1">IF(Planung!$U$15,"",$D$12+QUOTIENT(($C31-$C$12),Planung!$U$11)*(Planung!$R$7+Planung!$R$9)/1440+SUM($R$12:$R30)/1440)</f>
        <v>0.66666666666666674</v>
      </c>
      <c r="E31" s="486">
        <f ca="1">IF(Planung!$U$15,"",MOD($C31-$C$12,Planung!$U$11)+1)</f>
        <v>3</v>
      </c>
      <c r="F31" s="487" t="str">
        <f>"2. "&amp;B14</f>
        <v>2. HF 3</v>
      </c>
      <c r="G31" s="488" t="s">
        <v>5</v>
      </c>
      <c r="H31" s="489" t="str">
        <f>"2. "&amp;B15</f>
        <v>2. HF 4</v>
      </c>
      <c r="I31" s="490" t="str">
        <f ca="1">INDEX($Y$12:$Z$23,RIGHT($F31,2),_xlfn.NUMBERVALUE(LEFT($F31,2)))</f>
        <v>Maibach 1822 eV</v>
      </c>
      <c r="J31" s="491" t="s">
        <v>5</v>
      </c>
      <c r="K31" s="492" t="str">
        <f ca="1">INDEX($Y$12:$Z$23,RIGHT($H31,2),_xlfn.NUMBERVALUE(LEFT($H31,2)))</f>
        <v>TSG Saalberg eV</v>
      </c>
      <c r="L31" s="493">
        <v>2</v>
      </c>
      <c r="M31" s="359" t="str">
        <f>Sprache!$E$111</f>
        <v>:</v>
      </c>
      <c r="N31" s="520">
        <v>1</v>
      </c>
      <c r="O31" s="358"/>
      <c r="P31" s="359" t="str">
        <f>Sprache!$E$111</f>
        <v>:</v>
      </c>
      <c r="Q31" s="360"/>
      <c r="R31" s="329"/>
      <c r="U31" s="634">
        <f t="array" aca="1" ref="U31" ca="1">SUM((U27:U30&lt;&gt;"")*1)</f>
        <v>4</v>
      </c>
      <c r="V31" s="468"/>
      <c r="W31" s="506"/>
      <c r="X31" s="328" t="b">
        <f t="shared" ref="X31:X32" ca="1" si="15">AND($I31&lt;&gt;"",$K31&lt;&gt;"",$L31&lt;&gt;"",$N31&lt;&gt;"")</f>
        <v>1</v>
      </c>
      <c r="Y31" s="328" t="str">
        <f t="shared" ref="Y31:Y32" ca="1" si="16">IF(NOT(X31),"",IF($L31&gt;$N31,$I31,IF($L31&lt;$N31,$K31,IF(OR($O31="",$Q31="",$O31=$Q31),"",IF($O31&gt;$Q31,$I31,$K31)))))</f>
        <v>Maibach 1822 eV</v>
      </c>
      <c r="Z31" s="328" t="str">
        <f t="shared" ref="Z31:Z32" ca="1" si="17">IF(NOT(X31),"",IF($L31&lt;$N31,$I31,IF($L31&gt;$N31,$K31,IF(OR($O31="",$Q31="",$O31=$Q31),"",IF($O31&lt;$Q31,$I31,$K31)))))</f>
        <v>TSG Saalberg eV</v>
      </c>
      <c r="AA31" s="328" t="b">
        <f t="shared" ref="AA31:AA32" ca="1" si="18">AND(X31,$L31=$N31)</f>
        <v>0</v>
      </c>
    </row>
    <row r="32" spans="2:27" ht="24" customHeight="1" thickBot="1" x14ac:dyDescent="0.45">
      <c r="B32" s="523"/>
      <c r="C32" s="529">
        <f ca="1">IF($U$24=4,C31+1,C31)</f>
        <v>52</v>
      </c>
      <c r="D32" s="178">
        <f t="array" aca="1" ref="D32" ca="1">IF(Planung!$U$15,"",$D$12+QUOTIENT(($C32-$C$12),Planung!$U$11)*(Planung!$R$7+Planung!$R$9)/1440+SUM($R$12:$R31)/1440)</f>
        <v>0.66666666666666674</v>
      </c>
      <c r="E32" s="179">
        <f ca="1">IF(Planung!$U$15,"",MOD($C32-$C$12,Planung!$U$11)+1)</f>
        <v>4</v>
      </c>
      <c r="F32" s="419" t="str">
        <f>"1. "&amp;B14</f>
        <v>1. HF 3</v>
      </c>
      <c r="G32" s="420" t="s">
        <v>5</v>
      </c>
      <c r="H32" s="421" t="str">
        <f>"1. "&amp;B15</f>
        <v>1. HF 4</v>
      </c>
      <c r="I32" s="507" t="str">
        <f ca="1">INDEX($Y$12:$Z$23,RIGHT($F32,2),_xlfn.NUMBERVALUE(LEFT($F32,2)))</f>
        <v>FSV Rauen</v>
      </c>
      <c r="J32" s="508" t="s">
        <v>5</v>
      </c>
      <c r="K32" s="509" t="str">
        <f ca="1">INDEX($Y$12:$Z$23,RIGHT($H32,2),_xlfn.NUMBERVALUE(LEFT($H32,2)))</f>
        <v>SSV Wildbach</v>
      </c>
      <c r="L32" s="425">
        <v>2</v>
      </c>
      <c r="M32" s="362" t="str">
        <f>Sprache!$E$111</f>
        <v>:</v>
      </c>
      <c r="N32" s="514">
        <v>1</v>
      </c>
      <c r="O32" s="338"/>
      <c r="P32" s="362" t="str">
        <f>Sprache!$E$111</f>
        <v>:</v>
      </c>
      <c r="Q32" s="333"/>
      <c r="R32" s="404"/>
      <c r="T32" s="796" t="str">
        <f>Sprache!$E$61</f>
        <v>Gruppendritte</v>
      </c>
      <c r="U32" s="796"/>
      <c r="V32" s="282"/>
      <c r="W32" s="506"/>
      <c r="X32" s="328" t="b">
        <f t="shared" ca="1" si="15"/>
        <v>1</v>
      </c>
      <c r="Y32" s="328" t="str">
        <f t="shared" ca="1" si="16"/>
        <v>FSV Rauen</v>
      </c>
      <c r="Z32" s="328" t="str">
        <f t="shared" ca="1" si="17"/>
        <v>SSV Wildbach</v>
      </c>
      <c r="AA32" s="328" t="b">
        <f t="shared" ca="1" si="18"/>
        <v>0</v>
      </c>
    </row>
    <row r="33" spans="2:27" ht="24" customHeight="1" thickTop="1" thickBot="1" x14ac:dyDescent="0.25">
      <c r="B33" s="316"/>
      <c r="I33" s="524" t="s">
        <v>270</v>
      </c>
      <c r="J33" s="481"/>
      <c r="K33" s="524" t="s">
        <v>270</v>
      </c>
      <c r="T33" s="441"/>
      <c r="U33" s="471" t="str">
        <f>Sprache!$E$10</f>
        <v>Teilnehmer bzw. Mannschaft</v>
      </c>
      <c r="V33" s="282"/>
      <c r="W33" s="282"/>
    </row>
    <row r="34" spans="2:27" ht="24" customHeight="1" thickBot="1" x14ac:dyDescent="0.3">
      <c r="B34" s="316"/>
      <c r="C34" s="774" t="str">
        <f>Sprache!$E$67&amp;"13"&amp;Sprache!$E$68&amp;"16"</f>
        <v>Finalspiele um die Plätze 13 bis 16</v>
      </c>
      <c r="D34" s="774"/>
      <c r="E34" s="774"/>
      <c r="F34" s="774"/>
      <c r="G34" s="774"/>
      <c r="H34" s="774"/>
      <c r="I34" s="526" t="s">
        <v>270</v>
      </c>
      <c r="J34" s="525"/>
      <c r="K34" s="526" t="s">
        <v>270</v>
      </c>
      <c r="L34" s="811" t="str">
        <f>Sprache!$E$15</f>
        <v>Ergebnis</v>
      </c>
      <c r="M34" s="812"/>
      <c r="N34" s="812"/>
      <c r="O34" s="812" t="str">
        <f>Sprache!$E$101</f>
        <v>Elfmeter</v>
      </c>
      <c r="P34" s="812"/>
      <c r="Q34" s="813"/>
      <c r="R34" s="484"/>
      <c r="T34" s="461" t="s">
        <v>298</v>
      </c>
      <c r="U34" s="472" t="str">
        <f ca="1">IF(Vorrunde!$N$14="","",Vorrunde!$N$14)</f>
        <v>1. FC Riedwald</v>
      </c>
      <c r="V34" s="282"/>
      <c r="W34" s="282"/>
    </row>
    <row r="35" spans="2:27" ht="24" customHeight="1" thickTop="1" x14ac:dyDescent="0.25">
      <c r="B35" s="523"/>
      <c r="C35" s="531">
        <f ca="1">IF($U$24=4,C32+1,C32)</f>
        <v>53</v>
      </c>
      <c r="D35" s="485">
        <f t="array" aca="1" ref="D35" ca="1">IF(Planung!$U$15,"",$D$12+QUOTIENT(($C35-$C$12),Planung!$U$11)*(Planung!$R$7+Planung!$R$9)/1440+SUM($R$12:$R34)/1440)</f>
        <v>0.69097222222222221</v>
      </c>
      <c r="E35" s="486">
        <f ca="1">IF(Planung!$U$15,"",MOD($C35-$C$12,Planung!$U$11)+1)</f>
        <v>1</v>
      </c>
      <c r="F35" s="487" t="str">
        <f>"2. "&amp;B16</f>
        <v>2. HF 5</v>
      </c>
      <c r="G35" s="488" t="s">
        <v>5</v>
      </c>
      <c r="H35" s="489" t="str">
        <f>"2. "&amp;B17</f>
        <v>2. HF 6</v>
      </c>
      <c r="I35" s="490" t="str">
        <f t="shared" ref="I35:I36" ca="1" si="19">INDEX($Y$12:$Z$23,RIGHT($F35,2),_xlfn.NUMBERVALUE(LEFT($F35,2)))</f>
        <v>Kickers Rodendorf</v>
      </c>
      <c r="J35" s="491" t="s">
        <v>5</v>
      </c>
      <c r="K35" s="492" t="str">
        <f t="shared" ref="K35:K36" ca="1" si="20">INDEX($Y$12:$Z$23,RIGHT($H35,2),_xlfn.NUMBERVALUE(LEFT($H35,2)))</f>
        <v>FC Grönlingen</v>
      </c>
      <c r="L35" s="493">
        <v>2</v>
      </c>
      <c r="M35" s="359" t="str">
        <f>Sprache!$E$111</f>
        <v>:</v>
      </c>
      <c r="N35" s="520">
        <v>1</v>
      </c>
      <c r="O35" s="358"/>
      <c r="P35" s="359" t="str">
        <f>Sprache!$E$111</f>
        <v>:</v>
      </c>
      <c r="Q35" s="360"/>
      <c r="R35" s="329"/>
      <c r="T35" s="440" t="s">
        <v>299</v>
      </c>
      <c r="U35" s="473" t="str">
        <f ca="1">IF(Vorrunde!$N$24="","",Vorrunde!$N$24)</f>
        <v>Mainz 05</v>
      </c>
      <c r="V35" s="282"/>
      <c r="W35" s="282"/>
      <c r="X35" s="328" t="b">
        <f t="shared" ref="X35:X36" ca="1" si="21">AND($I35&lt;&gt;"",$K35&lt;&gt;"",$L35&lt;&gt;"",$N35&lt;&gt;"")</f>
        <v>1</v>
      </c>
      <c r="Y35" s="328" t="str">
        <f t="shared" ref="Y35:Y36" ca="1" si="22">IF(NOT(X35),"",IF($L35&gt;$N35,$I35,IF($L35&lt;$N35,$K35,IF(OR($O35="",$Q35="",$O35=$Q35),"",IF($O35&gt;$Q35,$I35,$K35)))))</f>
        <v>Kickers Rodendorf</v>
      </c>
      <c r="Z35" s="328" t="str">
        <f t="shared" ref="Z35:Z36" ca="1" si="23">IF(NOT(X35),"",IF($L35&lt;$N35,$I35,IF($L35&gt;$N35,$K35,IF(OR($O35="",$Q35="",$O35=$Q35),"",IF($O35&lt;$Q35,$I35,$K35)))))</f>
        <v>FC Grönlingen</v>
      </c>
      <c r="AA35" s="328" t="b">
        <f t="shared" ref="AA35:AA36" ca="1" si="24">AND(X35,$L35=$N35)</f>
        <v>0</v>
      </c>
    </row>
    <row r="36" spans="2:27" ht="24" customHeight="1" thickBot="1" x14ac:dyDescent="0.3">
      <c r="B36" s="523"/>
      <c r="C36" s="529">
        <f ca="1">IF($U$31=4,C35+1,C35)</f>
        <v>54</v>
      </c>
      <c r="D36" s="178">
        <f t="array" aca="1" ref="D36" ca="1">IF(Planung!$U$15,"",$D$12+QUOTIENT(($C36-$C$12),Planung!$U$11)*(Planung!$R$7+Planung!$R$9)/1440+SUM($R$12:$R35)/1440)</f>
        <v>0.69097222222222221</v>
      </c>
      <c r="E36" s="179">
        <f ca="1">IF(Planung!$U$15,"",MOD($C36-$C$12,Planung!$U$11)+1)</f>
        <v>2</v>
      </c>
      <c r="F36" s="419" t="str">
        <f>"1. "&amp;B16</f>
        <v>1. HF 5</v>
      </c>
      <c r="G36" s="420" t="s">
        <v>5</v>
      </c>
      <c r="H36" s="421" t="str">
        <f>"1. "&amp;B17</f>
        <v>1. HF 6</v>
      </c>
      <c r="I36" s="507" t="str">
        <f t="shared" ca="1" si="19"/>
        <v>VFB Essenheim</v>
      </c>
      <c r="J36" s="508" t="s">
        <v>5</v>
      </c>
      <c r="K36" s="509" t="str">
        <f t="shared" ca="1" si="20"/>
        <v>SV Oberredenburg</v>
      </c>
      <c r="L36" s="425">
        <v>2</v>
      </c>
      <c r="M36" s="362" t="str">
        <f>Sprache!$E$111</f>
        <v>:</v>
      </c>
      <c r="N36" s="514">
        <v>1</v>
      </c>
      <c r="O36" s="338"/>
      <c r="P36" s="362" t="str">
        <f>Sprache!$E$111</f>
        <v>:</v>
      </c>
      <c r="Q36" s="333"/>
      <c r="R36" s="404"/>
      <c r="T36" s="460" t="s">
        <v>300</v>
      </c>
      <c r="U36" s="473" t="str">
        <f ca="1">IF(Vorrunde!$N$34="","",Vorrunde!$N$34)</f>
        <v>1. FC Nürnberg</v>
      </c>
      <c r="V36" s="282"/>
      <c r="W36" s="282"/>
      <c r="X36" s="328" t="b">
        <f t="shared" ca="1" si="21"/>
        <v>1</v>
      </c>
      <c r="Y36" s="328" t="str">
        <f t="shared" ca="1" si="22"/>
        <v>VFB Essenheim</v>
      </c>
      <c r="Z36" s="328" t="str">
        <f t="shared" ca="1" si="23"/>
        <v>SV Oberredenburg</v>
      </c>
      <c r="AA36" s="328" t="b">
        <f t="shared" ca="1" si="24"/>
        <v>0</v>
      </c>
    </row>
    <row r="37" spans="2:27" ht="24" customHeight="1" thickTop="1" thickBot="1" x14ac:dyDescent="0.25">
      <c r="B37" s="316"/>
      <c r="I37" s="524" t="s">
        <v>270</v>
      </c>
      <c r="J37" s="481"/>
      <c r="K37" s="524" t="s">
        <v>270</v>
      </c>
      <c r="T37" s="405" t="s">
        <v>350</v>
      </c>
      <c r="U37" s="474" t="str">
        <f ca="1">IF(Vorrunde!$N$44="","",Vorrunde!$N$44)</f>
        <v>HSV</v>
      </c>
      <c r="V37" s="282"/>
    </row>
    <row r="38" spans="2:27" ht="24" customHeight="1" thickTop="1" thickBot="1" x14ac:dyDescent="0.3">
      <c r="B38" s="316"/>
      <c r="C38" s="774" t="str">
        <f>Sprache!$E$67&amp;"9"&amp;Sprache!$E$68&amp;"12"</f>
        <v>Finalspiele um die Plätze 9 bis 12</v>
      </c>
      <c r="D38" s="774"/>
      <c r="E38" s="774"/>
      <c r="F38" s="774"/>
      <c r="G38" s="774"/>
      <c r="H38" s="774"/>
      <c r="I38" s="526" t="s">
        <v>270</v>
      </c>
      <c r="J38" s="525"/>
      <c r="K38" s="526" t="s">
        <v>270</v>
      </c>
      <c r="L38" s="811" t="str">
        <f>Sprache!$E$15</f>
        <v>Ergebnis</v>
      </c>
      <c r="M38" s="812"/>
      <c r="N38" s="812"/>
      <c r="O38" s="812" t="str">
        <f>Sprache!$E$101</f>
        <v>Elfmeter</v>
      </c>
      <c r="P38" s="812"/>
      <c r="Q38" s="813"/>
      <c r="R38" s="484"/>
      <c r="U38" s="634">
        <f t="array" aca="1" ref="U38" ca="1">SUM((U34:U37&lt;&gt;"")*1)</f>
        <v>4</v>
      </c>
      <c r="V38" s="282"/>
    </row>
    <row r="39" spans="2:27" ht="24" customHeight="1" thickTop="1" thickBot="1" x14ac:dyDescent="0.45">
      <c r="B39" s="523"/>
      <c r="C39" s="531">
        <f ca="1">IF($U$31=4,C36+1,C36)</f>
        <v>55</v>
      </c>
      <c r="D39" s="485">
        <f t="array" aca="1" ref="D39" ca="1">IF(Planung!$U$15,"",$D$12+QUOTIENT(($C39-$C$12),Planung!$U$11)*(Planung!$R$7+Planung!$R$9)/1440+SUM($R$12:$R38)/1440)</f>
        <v>0.69097222222222221</v>
      </c>
      <c r="E39" s="486">
        <f ca="1">IF(Planung!$U$15,"",MOD($C39-$C$12,Planung!$U$11)+1)</f>
        <v>3</v>
      </c>
      <c r="F39" s="487" t="str">
        <f>"2. "&amp;B18</f>
        <v>2. HF 7</v>
      </c>
      <c r="G39" s="488" t="s">
        <v>5</v>
      </c>
      <c r="H39" s="489" t="str">
        <f>"2. "&amp;B19</f>
        <v>2. HF 8</v>
      </c>
      <c r="I39" s="490" t="str">
        <f t="shared" ref="I39:I40" ca="1" si="25">INDEX($Y$12:$Z$23,RIGHT($F39,2),_xlfn.NUMBERVALUE(LEFT($F39,2)))</f>
        <v>1. FC Riedwald</v>
      </c>
      <c r="J39" s="491" t="s">
        <v>5</v>
      </c>
      <c r="K39" s="492" t="str">
        <f t="shared" ref="K39:K40" ca="1" si="26">INDEX($Y$12:$Z$23,RIGHT($H39,2),_xlfn.NUMBERVALUE(LEFT($H39,2)))</f>
        <v>HSV</v>
      </c>
      <c r="L39" s="493">
        <v>2</v>
      </c>
      <c r="M39" s="359" t="str">
        <f>Sprache!$E$111</f>
        <v>:</v>
      </c>
      <c r="N39" s="520">
        <v>1</v>
      </c>
      <c r="O39" s="358"/>
      <c r="P39" s="359" t="str">
        <f>Sprache!$E$111</f>
        <v>:</v>
      </c>
      <c r="Q39" s="360"/>
      <c r="R39" s="329"/>
      <c r="T39" s="796" t="str">
        <f>Sprache!$E$60</f>
        <v>Gruppenzweite</v>
      </c>
      <c r="U39" s="796"/>
      <c r="V39" s="282"/>
      <c r="X39" s="328" t="b">
        <f t="shared" ref="X39:X40" ca="1" si="27">AND($I39&lt;&gt;"",$K39&lt;&gt;"",$L39&lt;&gt;"",$N39&lt;&gt;"")</f>
        <v>1</v>
      </c>
      <c r="Y39" s="328" t="str">
        <f t="shared" ref="Y39:Y40" ca="1" si="28">IF(NOT(X39),"",IF($L39&gt;$N39,$I39,IF($L39&lt;$N39,$K39,IF(OR($O39="",$Q39="",$O39=$Q39),"",IF($O39&gt;$Q39,$I39,$K39)))))</f>
        <v>1. FC Riedwald</v>
      </c>
      <c r="Z39" s="328" t="str">
        <f t="shared" ref="Z39:Z40" ca="1" si="29">IF(NOT(X39),"",IF($L39&lt;$N39,$I39,IF($L39&gt;$N39,$K39,IF(OR($O39="",$Q39="",$O39=$Q39),"",IF($O39&lt;$Q39,$I39,$K39)))))</f>
        <v>HSV</v>
      </c>
      <c r="AA39" s="328" t="b">
        <f t="shared" ref="AA39:AA40" ca="1" si="30">AND(X39,$L39=$N39)</f>
        <v>0</v>
      </c>
    </row>
    <row r="40" spans="2:27" ht="24" customHeight="1" thickTop="1" thickBot="1" x14ac:dyDescent="0.3">
      <c r="B40" s="523"/>
      <c r="C40" s="529">
        <f ca="1">C39+1</f>
        <v>56</v>
      </c>
      <c r="D40" s="178">
        <f t="array" aca="1" ref="D40" ca="1">IF(Planung!$U$15,"",$D$12+QUOTIENT(($C40-$C$12),Planung!$U$11)*(Planung!$R$7+Planung!$R$9)/1440+SUM($R$12:$R39)/1440)</f>
        <v>0.69097222222222221</v>
      </c>
      <c r="E40" s="179">
        <f ca="1">IF(Planung!$U$15,"",MOD($C40-$C$12,Planung!$U$11)+1)</f>
        <v>4</v>
      </c>
      <c r="F40" s="419" t="str">
        <f>"1. "&amp;B18</f>
        <v>1. HF 7</v>
      </c>
      <c r="G40" s="420" t="s">
        <v>5</v>
      </c>
      <c r="H40" s="421" t="str">
        <f>"1. "&amp;B19</f>
        <v>1. HF 8</v>
      </c>
      <c r="I40" s="507" t="str">
        <f t="shared" ca="1" si="25"/>
        <v>1. FC Nürnberg</v>
      </c>
      <c r="J40" s="508" t="s">
        <v>5</v>
      </c>
      <c r="K40" s="509" t="str">
        <f t="shared" ca="1" si="26"/>
        <v>Mainz 05</v>
      </c>
      <c r="L40" s="425">
        <v>2</v>
      </c>
      <c r="M40" s="362" t="str">
        <f>Sprache!$E$111</f>
        <v>:</v>
      </c>
      <c r="N40" s="514">
        <v>1</v>
      </c>
      <c r="O40" s="338"/>
      <c r="P40" s="362" t="str">
        <f>Sprache!$E$111</f>
        <v>:</v>
      </c>
      <c r="Q40" s="333"/>
      <c r="R40" s="404"/>
      <c r="T40" s="441"/>
      <c r="U40" s="471" t="str">
        <f>Sprache!$E$10</f>
        <v>Teilnehmer bzw. Mannschaft</v>
      </c>
      <c r="V40" s="282"/>
      <c r="X40" s="328" t="b">
        <f t="shared" ca="1" si="27"/>
        <v>1</v>
      </c>
      <c r="Y40" s="328" t="str">
        <f t="shared" ca="1" si="28"/>
        <v>1. FC Nürnberg</v>
      </c>
      <c r="Z40" s="328" t="str">
        <f t="shared" ca="1" si="29"/>
        <v>Mainz 05</v>
      </c>
      <c r="AA40" s="328" t="b">
        <f t="shared" ca="1" si="30"/>
        <v>0</v>
      </c>
    </row>
    <row r="41" spans="2:27" ht="24" customHeight="1" thickTop="1" thickBot="1" x14ac:dyDescent="0.25">
      <c r="B41" s="316"/>
      <c r="I41" s="524" t="s">
        <v>270</v>
      </c>
      <c r="J41" s="481"/>
      <c r="K41" s="524" t="s">
        <v>270</v>
      </c>
      <c r="T41" s="461" t="s">
        <v>295</v>
      </c>
      <c r="U41" s="472" t="str">
        <f ca="1">IF(Vorrunde!$N$13="","",Vorrunde!$N$13)</f>
        <v>Eintracht Frankfurt</v>
      </c>
      <c r="V41" s="282"/>
    </row>
    <row r="42" spans="2:27" ht="24" customHeight="1" thickBot="1" x14ac:dyDescent="0.3">
      <c r="B42" s="316"/>
      <c r="C42" s="774" t="str">
        <f>Sprache!$E$67&amp;"5"&amp;Sprache!$E$68&amp;"8"</f>
        <v>Finalspiele um die Plätze 5 bis 8</v>
      </c>
      <c r="D42" s="774"/>
      <c r="E42" s="774"/>
      <c r="F42" s="774"/>
      <c r="G42" s="774"/>
      <c r="H42" s="774"/>
      <c r="I42" s="526" t="s">
        <v>270</v>
      </c>
      <c r="J42" s="525"/>
      <c r="K42" s="526" t="s">
        <v>270</v>
      </c>
      <c r="L42" s="811" t="str">
        <f>Sprache!$E$15</f>
        <v>Ergebnis</v>
      </c>
      <c r="M42" s="812"/>
      <c r="N42" s="812"/>
      <c r="O42" s="812" t="str">
        <f>Sprache!$E$101</f>
        <v>Elfmeter</v>
      </c>
      <c r="P42" s="812"/>
      <c r="Q42" s="813"/>
      <c r="R42" s="484"/>
      <c r="T42" s="440" t="s">
        <v>296</v>
      </c>
      <c r="U42" s="473" t="str">
        <f ca="1">IF(Vorrunde!$N$23="","",Vorrunde!$N$23)</f>
        <v>Inter Mailand</v>
      </c>
      <c r="V42" s="282"/>
    </row>
    <row r="43" spans="2:27" ht="24" customHeight="1" thickTop="1" x14ac:dyDescent="0.25">
      <c r="B43" s="523"/>
      <c r="C43" s="531">
        <f ca="1">C40+1</f>
        <v>57</v>
      </c>
      <c r="D43" s="485">
        <f t="array" aca="1" ref="D43" ca="1">IF(Planung!$U$15,"",$D$12+QUOTIENT(($C43-$C$12),Planung!$U$11)*(Planung!$R$7+Planung!$R$9)/1440+SUM($R$12:$R42)/1440)</f>
        <v>0.71527777777777779</v>
      </c>
      <c r="E43" s="486">
        <f ca="1">IF(Planung!$U$15,"",MOD($C43-$C$12,Planung!$U$11)+1)</f>
        <v>1</v>
      </c>
      <c r="F43" s="487" t="str">
        <f>"2. "&amp;B20</f>
        <v>2. HF 9</v>
      </c>
      <c r="G43" s="488" t="s">
        <v>5</v>
      </c>
      <c r="H43" s="489" t="str">
        <f>"2. "&amp;B21</f>
        <v>2. HF 10</v>
      </c>
      <c r="I43" s="490" t="str">
        <f t="shared" ref="I43:I44" ca="1" si="31">INDEX($Y$12:$Z$23,RIGHT($F43,2),_xlfn.NUMBERVALUE(LEFT($F43,2)))</f>
        <v>Real Madrid</v>
      </c>
      <c r="J43" s="491" t="s">
        <v>5</v>
      </c>
      <c r="K43" s="492" t="str">
        <f t="shared" ref="K43:K44" ca="1" si="32">INDEX($Y$12:$Z$23,RIGHT($H43,2),_xlfn.NUMBERVALUE(LEFT($H43,2)))</f>
        <v>RB Leipzig</v>
      </c>
      <c r="L43" s="493">
        <v>2</v>
      </c>
      <c r="M43" s="359" t="str">
        <f>Sprache!$E$111</f>
        <v>:</v>
      </c>
      <c r="N43" s="520">
        <v>1</v>
      </c>
      <c r="O43" s="358"/>
      <c r="P43" s="359" t="str">
        <f>Sprache!$E$111</f>
        <v>:</v>
      </c>
      <c r="Q43" s="360"/>
      <c r="R43" s="329"/>
      <c r="T43" s="460" t="s">
        <v>297</v>
      </c>
      <c r="U43" s="473" t="str">
        <f ca="1">IF(Vorrunde!$N$33="","",Vorrunde!$N$33)</f>
        <v>Real Madrid</v>
      </c>
      <c r="V43" s="282"/>
      <c r="X43" s="328" t="b">
        <f t="shared" ref="X43:X44" ca="1" si="33">AND($I43&lt;&gt;"",$K43&lt;&gt;"",$L43&lt;&gt;"",$N43&lt;&gt;"")</f>
        <v>1</v>
      </c>
      <c r="Y43" s="328" t="str">
        <f t="shared" ref="Y43:Y44" ca="1" si="34">IF(NOT(X43),"",IF($L43&gt;$N43,$I43,IF($L43&lt;$N43,$K43,IF(OR($O43="",$Q43="",$O43=$Q43),"",IF($O43&gt;$Q43,$I43,$K43)))))</f>
        <v>Real Madrid</v>
      </c>
      <c r="Z43" s="328" t="str">
        <f t="shared" ref="Z43:Z44" ca="1" si="35">IF(NOT(X43),"",IF($L43&lt;$N43,$I43,IF($L43&gt;$N43,$K43,IF(OR($O43="",$Q43="",$O43=$Q43),"",IF($O43&lt;$Q43,$I43,$K43)))))</f>
        <v>RB Leipzig</v>
      </c>
      <c r="AA43" s="328" t="b">
        <f t="shared" ref="AA43:AA44" ca="1" si="36">AND(X43,$L43=$N43)</f>
        <v>0</v>
      </c>
    </row>
    <row r="44" spans="2:27" ht="24" customHeight="1" thickBot="1" x14ac:dyDescent="0.3">
      <c r="B44" s="523"/>
      <c r="C44" s="529">
        <f ca="1">C43+1</f>
        <v>58</v>
      </c>
      <c r="D44" s="178">
        <f t="array" aca="1" ref="D44" ca="1">IF(Planung!$U$15,"",$D$12+QUOTIENT(($C44-$C$12),Planung!$U$11)*(Planung!$R$7+Planung!$R$9)/1440+SUM($R$12:$R43)/1440)</f>
        <v>0.71527777777777779</v>
      </c>
      <c r="E44" s="179">
        <f ca="1">IF(Planung!$U$15,"",MOD($C44-$C$12,Planung!$U$11)+1)</f>
        <v>2</v>
      </c>
      <c r="F44" s="419" t="str">
        <f>"1. "&amp;B20</f>
        <v>1. HF 9</v>
      </c>
      <c r="G44" s="420" t="s">
        <v>5</v>
      </c>
      <c r="H44" s="421" t="str">
        <f>"1. "&amp;B21</f>
        <v>1. HF 10</v>
      </c>
      <c r="I44" s="507" t="str">
        <f t="shared" ca="1" si="31"/>
        <v>Eintracht Frankfurt</v>
      </c>
      <c r="J44" s="508" t="s">
        <v>5</v>
      </c>
      <c r="K44" s="509" t="str">
        <f t="shared" ca="1" si="32"/>
        <v>Inter Mailand</v>
      </c>
      <c r="L44" s="425">
        <v>2</v>
      </c>
      <c r="M44" s="362" t="str">
        <f>Sprache!$E$111</f>
        <v>:</v>
      </c>
      <c r="N44" s="514">
        <v>1</v>
      </c>
      <c r="O44" s="338"/>
      <c r="P44" s="362" t="str">
        <f>Sprache!$E$111</f>
        <v>:</v>
      </c>
      <c r="Q44" s="333"/>
      <c r="R44" s="404"/>
      <c r="T44" s="405" t="s">
        <v>349</v>
      </c>
      <c r="U44" s="474" t="str">
        <f ca="1">IF(Vorrunde!$N$43="","",Vorrunde!$N$43)</f>
        <v>RB Leipzig</v>
      </c>
      <c r="V44" s="469"/>
      <c r="X44" s="328" t="b">
        <f t="shared" ca="1" si="33"/>
        <v>1</v>
      </c>
      <c r="Y44" s="328" t="str">
        <f t="shared" ca="1" si="34"/>
        <v>Eintracht Frankfurt</v>
      </c>
      <c r="Z44" s="328" t="str">
        <f t="shared" ca="1" si="35"/>
        <v>Inter Mailand</v>
      </c>
      <c r="AA44" s="328" t="b">
        <f t="shared" ca="1" si="36"/>
        <v>0</v>
      </c>
    </row>
    <row r="45" spans="2:27" ht="24" customHeight="1" thickTop="1" thickBot="1" x14ac:dyDescent="0.25">
      <c r="B45" s="316"/>
      <c r="I45" s="524" t="s">
        <v>270</v>
      </c>
      <c r="J45" s="481"/>
      <c r="K45" s="524" t="s">
        <v>270</v>
      </c>
      <c r="U45" s="634">
        <f t="array" aca="1" ref="U45" ca="1">SUM((U41:U44&lt;&gt;"")*1)</f>
        <v>4</v>
      </c>
      <c r="V45" s="469"/>
    </row>
    <row r="46" spans="2:27" ht="24" customHeight="1" thickBot="1" x14ac:dyDescent="0.45">
      <c r="B46" s="316"/>
      <c r="C46" s="774" t="str">
        <f>Sprache!$E$66</f>
        <v>Spiel um den dritten Platz</v>
      </c>
      <c r="D46" s="774"/>
      <c r="E46" s="774"/>
      <c r="F46" s="774"/>
      <c r="G46" s="774"/>
      <c r="H46" s="774"/>
      <c r="I46" s="526" t="s">
        <v>270</v>
      </c>
      <c r="J46" s="525"/>
      <c r="K46" s="526" t="s">
        <v>270</v>
      </c>
      <c r="L46" s="811" t="str">
        <f>Sprache!$E$15</f>
        <v>Ergebnis</v>
      </c>
      <c r="M46" s="812"/>
      <c r="N46" s="812"/>
      <c r="O46" s="812" t="str">
        <f>Sprache!$E$101</f>
        <v>Elfmeter</v>
      </c>
      <c r="P46" s="812"/>
      <c r="Q46" s="813"/>
      <c r="R46" s="484"/>
      <c r="T46" s="796" t="str">
        <f>Sprache!$E$59</f>
        <v>Gruppenerste</v>
      </c>
      <c r="U46" s="796"/>
      <c r="V46" s="469"/>
    </row>
    <row r="47" spans="2:27" ht="24" customHeight="1" thickTop="1" thickBot="1" x14ac:dyDescent="0.3">
      <c r="B47" s="523"/>
      <c r="C47" s="530">
        <f ca="1">C44+1</f>
        <v>59</v>
      </c>
      <c r="D47" s="535">
        <f ca="1">IF(Planung!$U$15,"",$D$44+($R$44+Planung!$R$9+Planung!$R$7)/1440)</f>
        <v>0.73958333333333337</v>
      </c>
      <c r="E47" s="496">
        <f>IF(Planung!$U$15,"",1)</f>
        <v>1</v>
      </c>
      <c r="F47" s="497" t="str">
        <f>"2. "&amp;B22</f>
        <v>2. HF 11</v>
      </c>
      <c r="G47" s="498" t="s">
        <v>5</v>
      </c>
      <c r="H47" s="499" t="str">
        <f>"2. "&amp;B23</f>
        <v>2. HF 12</v>
      </c>
      <c r="I47" s="500" t="str">
        <f ca="1">INDEX($Y$12:$Z$23,RIGHT($F47,2),_xlfn.NUMBERVALUE(LEFT($F47,2)))</f>
        <v>Borussia Dortmund</v>
      </c>
      <c r="J47" s="501" t="s">
        <v>5</v>
      </c>
      <c r="K47" s="502" t="str">
        <f ca="1">INDEX($Y$12:$Z$23,RIGHT($H47,2),_xlfn.NUMBERVALUE(LEFT($H47,2)))</f>
        <v>Manchester City</v>
      </c>
      <c r="L47" s="503">
        <v>1</v>
      </c>
      <c r="M47" s="504" t="str">
        <f>Sprache!$E$111</f>
        <v>:</v>
      </c>
      <c r="N47" s="521">
        <v>3</v>
      </c>
      <c r="O47" s="522"/>
      <c r="P47" s="504" t="str">
        <f>Sprache!$E$111</f>
        <v>:</v>
      </c>
      <c r="Q47" s="536"/>
      <c r="R47" s="495"/>
      <c r="T47" s="441"/>
      <c r="U47" s="471" t="str">
        <f>Sprache!$E$10</f>
        <v>Teilnehmer bzw. Mannschaft</v>
      </c>
      <c r="V47" s="469"/>
      <c r="X47" s="328" t="b">
        <f t="shared" ref="X47" ca="1" si="37">AND($I47&lt;&gt;"",$K47&lt;&gt;"",$L47&lt;&gt;"",$N47&lt;&gt;"")</f>
        <v>1</v>
      </c>
      <c r="Y47" s="328" t="str">
        <f ca="1">IF(NOT(X47),"",IF($L47&gt;$N47,$I47,IF($L47&lt;$N47,$K47,IF(OR($O47="",$Q47="",$O47=$Q47),"",IF($O47&gt;$Q47,$I47,$K47)))))</f>
        <v>Manchester City</v>
      </c>
      <c r="Z47" s="328" t="str">
        <f ca="1">IF(NOT(X47),"",IF($L47&lt;$N47,$I47,IF($L47&gt;$N47,$K47,IF(OR($O47="",$Q47="",$O47=$Q47),"",IF($O47&lt;$Q47,$I47,$K47)))))</f>
        <v>Borussia Dortmund</v>
      </c>
      <c r="AA47" s="328" t="b">
        <f ca="1">AND(X47,$L47=$N47)</f>
        <v>0</v>
      </c>
    </row>
    <row r="48" spans="2:27" ht="24" customHeight="1" thickTop="1" thickBot="1" x14ac:dyDescent="0.25">
      <c r="B48" s="316"/>
      <c r="I48" s="524" t="s">
        <v>270</v>
      </c>
      <c r="J48" s="481"/>
      <c r="K48" s="524" t="s">
        <v>270</v>
      </c>
      <c r="T48" s="461" t="s">
        <v>292</v>
      </c>
      <c r="U48" s="472" t="str">
        <f ca="1">IF(Vorrunde!$N$12="","",Vorrunde!$N$12)</f>
        <v>FC Barcelona</v>
      </c>
      <c r="V48" s="469"/>
    </row>
    <row r="49" spans="2:27" ht="24" customHeight="1" thickBot="1" x14ac:dyDescent="0.3">
      <c r="B49" s="316"/>
      <c r="C49" s="774" t="str">
        <f>Sprache!$E$65</f>
        <v>Finale</v>
      </c>
      <c r="D49" s="774"/>
      <c r="E49" s="774"/>
      <c r="F49" s="774"/>
      <c r="G49" s="774"/>
      <c r="H49" s="774"/>
      <c r="I49" s="526" t="s">
        <v>270</v>
      </c>
      <c r="J49" s="525"/>
      <c r="K49" s="526" t="s">
        <v>270</v>
      </c>
      <c r="L49" s="811" t="str">
        <f>Sprache!$E$15</f>
        <v>Ergebnis</v>
      </c>
      <c r="M49" s="812"/>
      <c r="N49" s="812"/>
      <c r="O49" s="812" t="str">
        <f>Sprache!$E$101</f>
        <v>Elfmeter</v>
      </c>
      <c r="P49" s="812"/>
      <c r="Q49" s="813"/>
      <c r="R49" s="484"/>
      <c r="T49" s="440" t="s">
        <v>293</v>
      </c>
      <c r="U49" s="473" t="str">
        <f ca="1">IF(Vorrunde!$N$22="","",Vorrunde!$N$22)</f>
        <v>Manchester City</v>
      </c>
      <c r="V49" s="469"/>
    </row>
    <row r="50" spans="2:27" ht="24" customHeight="1" thickTop="1" thickBot="1" x14ac:dyDescent="0.3">
      <c r="B50" s="523"/>
      <c r="C50" s="528">
        <f ca="1">$C$47+1</f>
        <v>60</v>
      </c>
      <c r="D50" s="175">
        <f ca="1">IF(Planung!$U$15,"",$D$47+($R$47+Planung!$R$9+Planung!$R$7)/1440)</f>
        <v>0.76388888888888895</v>
      </c>
      <c r="E50" s="177">
        <f>IF(Planung!$U$15,"",1)</f>
        <v>1</v>
      </c>
      <c r="F50" s="497" t="str">
        <f>"1. "&amp;B22</f>
        <v>1. HF 11</v>
      </c>
      <c r="G50" s="498" t="s">
        <v>5</v>
      </c>
      <c r="H50" s="499" t="str">
        <f>"1. "&amp;B23</f>
        <v>1. HF 12</v>
      </c>
      <c r="I50" s="500" t="str">
        <f ca="1">INDEX($Y$12:$Z$23,RIGHT($F50,2),_xlfn.NUMBERVALUE(LEFT($F50,2)))</f>
        <v>FC Barcelona</v>
      </c>
      <c r="J50" s="501" t="s">
        <v>5</v>
      </c>
      <c r="K50" s="502" t="str">
        <f ca="1">INDEX($Y$12:$Z$23,RIGHT($H50,2),_xlfn.NUMBERVALUE(LEFT($H50,2)))</f>
        <v>Paris St. Germain</v>
      </c>
      <c r="L50" s="503">
        <v>2</v>
      </c>
      <c r="M50" s="504" t="str">
        <f>Sprache!$E$111</f>
        <v>:</v>
      </c>
      <c r="N50" s="521">
        <v>2</v>
      </c>
      <c r="O50" s="522">
        <v>5</v>
      </c>
      <c r="P50" s="362" t="str">
        <f>Sprache!$E$111</f>
        <v>:</v>
      </c>
      <c r="Q50" s="333">
        <v>4</v>
      </c>
      <c r="R50" s="570"/>
      <c r="T50" s="460" t="s">
        <v>294</v>
      </c>
      <c r="U50" s="473" t="str">
        <f ca="1">IF(Vorrunde!$N$32="","",Vorrunde!$N$32)</f>
        <v>Borussia Dortmund</v>
      </c>
      <c r="V50" s="280"/>
      <c r="X50" s="328" t="b">
        <f t="shared" ref="X50" ca="1" si="38">AND($I50&lt;&gt;"",$K50&lt;&gt;"",$L50&lt;&gt;"",$N50&lt;&gt;"")</f>
        <v>1</v>
      </c>
      <c r="Y50" s="328" t="str">
        <f ca="1">IF(NOT(X50),"",IF($L50&gt;$N50,$I50,IF($L50&lt;$N50,$K50,IF(OR($O50="",$Q50="",$O50=$Q50),"",IF($O50&gt;$Q50,$I50,$K50)))))</f>
        <v>FC Barcelona</v>
      </c>
      <c r="Z50" s="328" t="str">
        <f ca="1">IF(NOT(X50),"",IF($L50&lt;$N50,$I50,IF($L50&gt;$N50,$K50,IF(OR($O50="",$Q50="",$O50=$Q50),"",IF($O50&lt;$Q50,$I50,$K50)))))</f>
        <v>Paris St. Germain</v>
      </c>
      <c r="AA50" s="328" t="b">
        <f ca="1">AND(X50,$L50=$N50)</f>
        <v>1</v>
      </c>
    </row>
    <row r="51" spans="2:27" ht="24" customHeight="1" thickTop="1" thickBot="1" x14ac:dyDescent="0.25">
      <c r="C51" s="540"/>
      <c r="D51" s="540"/>
      <c r="E51" s="540"/>
      <c r="F51" s="540"/>
      <c r="G51" s="540"/>
      <c r="H51" s="540"/>
      <c r="I51" s="540"/>
      <c r="J51" s="540"/>
      <c r="K51" s="540"/>
      <c r="L51" s="540"/>
      <c r="M51" s="540"/>
      <c r="N51" s="540"/>
      <c r="O51" s="540"/>
      <c r="P51" s="540"/>
      <c r="Q51" s="540"/>
      <c r="R51" s="539"/>
      <c r="T51" s="405" t="s">
        <v>348</v>
      </c>
      <c r="U51" s="474" t="str">
        <f ca="1">IF(Vorrunde!$N$42="","",Vorrunde!$N$42)</f>
        <v>Paris St. Germain</v>
      </c>
      <c r="V51" s="280"/>
    </row>
    <row r="52" spans="2:27" ht="24" customHeight="1" thickTop="1" x14ac:dyDescent="0.2">
      <c r="C52" s="865" t="str">
        <f>Sprache!$E$29</f>
        <v>Turnierende:</v>
      </c>
      <c r="D52" s="865"/>
      <c r="E52" s="865"/>
      <c r="F52" s="865"/>
      <c r="G52" s="865"/>
      <c r="H52" s="865"/>
      <c r="I52" s="865"/>
      <c r="J52" s="866">
        <f ca="1">IF(Planung!$R$13="","",$D$50+Planung!$R$7/1440)</f>
        <v>0.78472222222222232</v>
      </c>
      <c r="K52" s="866"/>
      <c r="L52" s="866"/>
      <c r="M52" s="866"/>
      <c r="N52" s="866"/>
      <c r="O52" s="866"/>
      <c r="P52" s="866"/>
      <c r="Q52" s="866"/>
      <c r="R52" s="866"/>
      <c r="U52" s="634">
        <f t="array" aca="1" ref="U52" ca="1">SUM((U48:U51&lt;&gt;"")*1)</f>
        <v>4</v>
      </c>
      <c r="V52" s="280"/>
    </row>
    <row r="53" spans="2:27" ht="24" customHeight="1" thickBot="1" x14ac:dyDescent="0.25">
      <c r="L53" s="538"/>
      <c r="M53" s="538"/>
      <c r="V53" s="468"/>
    </row>
    <row r="54" spans="2:27" ht="24" customHeight="1" thickBot="1" x14ac:dyDescent="0.25">
      <c r="F54" s="827" t="str">
        <f>Sprache!$E$119</f>
        <v>Rang</v>
      </c>
      <c r="G54" s="828"/>
      <c r="H54" s="828"/>
      <c r="I54" s="851" t="str">
        <f>Sprache!$E$10</f>
        <v>Teilnehmer bzw. Mannschaft</v>
      </c>
      <c r="J54" s="851"/>
      <c r="K54" s="852"/>
      <c r="L54" s="550"/>
      <c r="M54" s="550"/>
      <c r="N54" s="171"/>
      <c r="O54" s="171"/>
      <c r="P54" s="551"/>
      <c r="Q54" s="171"/>
      <c r="R54" s="171"/>
      <c r="V54" s="468"/>
    </row>
    <row r="55" spans="2:27" ht="24" customHeight="1" thickTop="1" x14ac:dyDescent="0.2">
      <c r="F55" s="829">
        <v>1</v>
      </c>
      <c r="G55" s="830"/>
      <c r="H55" s="830"/>
      <c r="I55" s="853" t="str">
        <f ca="1">IF($U$52=1,VLOOKUP(1,CalcE1!$C$4:$F$12,4,0),$Y50)</f>
        <v>FC Barcelona</v>
      </c>
      <c r="J55" s="853"/>
      <c r="K55" s="854"/>
      <c r="L55" s="550"/>
      <c r="M55" s="550"/>
      <c r="N55" s="171"/>
      <c r="O55" s="171"/>
      <c r="P55" s="551"/>
      <c r="Q55" s="171"/>
      <c r="R55" s="171"/>
      <c r="V55" s="468"/>
    </row>
    <row r="56" spans="2:27" ht="24" customHeight="1" x14ac:dyDescent="0.2">
      <c r="F56" s="831">
        <v>2</v>
      </c>
      <c r="G56" s="832"/>
      <c r="H56" s="832"/>
      <c r="I56" s="855" t="str">
        <f ca="1">$Z50</f>
        <v>Paris St. Germain</v>
      </c>
      <c r="J56" s="855"/>
      <c r="K56" s="856"/>
      <c r="L56" s="550"/>
      <c r="M56" s="550"/>
      <c r="N56" s="171"/>
      <c r="O56" s="171"/>
      <c r="P56" s="551"/>
      <c r="Q56" s="171"/>
      <c r="R56" s="171"/>
      <c r="V56" s="282"/>
    </row>
    <row r="57" spans="2:27" ht="24" customHeight="1" x14ac:dyDescent="0.2">
      <c r="F57" s="833">
        <v>3</v>
      </c>
      <c r="G57" s="834"/>
      <c r="H57" s="834"/>
      <c r="I57" s="857" t="str">
        <f ca="1">$Y47</f>
        <v>Manchester City</v>
      </c>
      <c r="J57" s="857"/>
      <c r="K57" s="858"/>
      <c r="L57" s="550"/>
      <c r="M57" s="550"/>
      <c r="N57" s="171"/>
      <c r="O57" s="171"/>
      <c r="P57" s="551"/>
      <c r="Q57" s="171"/>
      <c r="R57" s="171"/>
      <c r="V57" s="282"/>
    </row>
    <row r="58" spans="2:27" ht="24" customHeight="1" x14ac:dyDescent="0.2">
      <c r="F58" s="835">
        <v>4</v>
      </c>
      <c r="G58" s="836"/>
      <c r="H58" s="836"/>
      <c r="I58" s="819" t="str">
        <f ca="1">$Z47</f>
        <v>Borussia Dortmund</v>
      </c>
      <c r="J58" s="819"/>
      <c r="K58" s="820"/>
      <c r="L58" s="550"/>
      <c r="M58" s="550"/>
      <c r="N58" s="171"/>
      <c r="O58" s="171"/>
      <c r="P58" s="551"/>
      <c r="Q58" s="171"/>
      <c r="R58" s="171"/>
      <c r="V58" s="282"/>
    </row>
    <row r="59" spans="2:27" ht="24" customHeight="1" x14ac:dyDescent="0.2">
      <c r="F59" s="835">
        <v>5</v>
      </c>
      <c r="G59" s="836"/>
      <c r="H59" s="836"/>
      <c r="I59" s="819" t="str">
        <f ca="1">IF($U$45=1,VLOOKUP(1,CalcE2!$C$4:$F$12,4,0),$Y44)</f>
        <v>Eintracht Frankfurt</v>
      </c>
      <c r="J59" s="819"/>
      <c r="K59" s="820"/>
      <c r="L59" s="550"/>
      <c r="M59" s="550"/>
      <c r="N59" s="171"/>
      <c r="O59" s="171"/>
      <c r="P59" s="551"/>
      <c r="Q59" s="171"/>
      <c r="R59" s="171"/>
      <c r="V59" s="282"/>
    </row>
    <row r="60" spans="2:27" ht="24" customHeight="1" x14ac:dyDescent="0.25">
      <c r="C60" s="494"/>
      <c r="F60" s="835">
        <v>6</v>
      </c>
      <c r="G60" s="836"/>
      <c r="H60" s="836"/>
      <c r="I60" s="819" t="str">
        <f ca="1">$Z44</f>
        <v>Inter Mailand</v>
      </c>
      <c r="J60" s="819"/>
      <c r="K60" s="820"/>
      <c r="L60" s="550"/>
      <c r="M60" s="550"/>
      <c r="N60" s="483"/>
      <c r="O60" s="484"/>
      <c r="P60" s="484"/>
      <c r="Q60" s="484"/>
      <c r="R60" s="484"/>
      <c r="U60" s="171"/>
      <c r="V60" s="282"/>
    </row>
    <row r="61" spans="2:27" ht="24" customHeight="1" x14ac:dyDescent="0.25">
      <c r="C61" s="494"/>
      <c r="F61" s="835">
        <v>7</v>
      </c>
      <c r="G61" s="836"/>
      <c r="H61" s="836"/>
      <c r="I61" s="819" t="str">
        <f ca="1">$Y43</f>
        <v>Real Madrid</v>
      </c>
      <c r="J61" s="819"/>
      <c r="K61" s="820"/>
      <c r="L61" s="550"/>
      <c r="M61" s="550"/>
      <c r="N61" s="483"/>
      <c r="O61" s="484"/>
      <c r="P61" s="484"/>
      <c r="Q61" s="484"/>
      <c r="R61" s="484"/>
      <c r="U61" s="171"/>
      <c r="V61" s="282"/>
    </row>
    <row r="62" spans="2:27" ht="24" customHeight="1" x14ac:dyDescent="0.25">
      <c r="C62" s="494"/>
      <c r="F62" s="835">
        <v>8</v>
      </c>
      <c r="G62" s="836"/>
      <c r="H62" s="836"/>
      <c r="I62" s="819" t="str">
        <f ca="1">$Z43</f>
        <v>RB Leipzig</v>
      </c>
      <c r="J62" s="819"/>
      <c r="K62" s="820"/>
      <c r="L62" s="550"/>
      <c r="M62" s="550"/>
      <c r="N62" s="483"/>
      <c r="O62" s="484"/>
      <c r="P62" s="484"/>
      <c r="Q62" s="484"/>
      <c r="R62" s="484"/>
      <c r="U62" s="171"/>
      <c r="V62" s="469"/>
    </row>
    <row r="63" spans="2:27" ht="24" customHeight="1" x14ac:dyDescent="0.25">
      <c r="C63" s="494"/>
      <c r="F63" s="835">
        <v>9</v>
      </c>
      <c r="G63" s="836"/>
      <c r="H63" s="836"/>
      <c r="I63" s="819" t="str">
        <f ca="1">IF($U$38=1,VLOOKUP(1,CalcE3!$C$4:$F$12,4,0),$Y40)</f>
        <v>1. FC Nürnberg</v>
      </c>
      <c r="J63" s="819"/>
      <c r="K63" s="820"/>
      <c r="L63" s="550"/>
      <c r="M63" s="550"/>
      <c r="N63" s="483"/>
      <c r="O63" s="484"/>
      <c r="P63" s="484"/>
      <c r="Q63" s="484"/>
      <c r="R63" s="484"/>
      <c r="T63" s="407"/>
      <c r="U63" s="444"/>
      <c r="V63" s="469"/>
    </row>
    <row r="64" spans="2:27" ht="24" customHeight="1" x14ac:dyDescent="0.25">
      <c r="C64" s="494"/>
      <c r="F64" s="835">
        <v>10</v>
      </c>
      <c r="G64" s="836"/>
      <c r="H64" s="836"/>
      <c r="I64" s="819" t="str">
        <f ca="1">$Z40</f>
        <v>Mainz 05</v>
      </c>
      <c r="J64" s="819"/>
      <c r="K64" s="820"/>
      <c r="L64" s="550"/>
      <c r="M64" s="550"/>
      <c r="N64" s="483"/>
      <c r="O64" s="484"/>
      <c r="P64" s="484"/>
      <c r="Q64" s="484"/>
      <c r="R64" s="484"/>
      <c r="T64" s="407"/>
      <c r="U64" s="444"/>
      <c r="V64" s="280"/>
    </row>
    <row r="65" spans="3:23" ht="24" customHeight="1" x14ac:dyDescent="0.25">
      <c r="C65" s="494"/>
      <c r="F65" s="835">
        <v>11</v>
      </c>
      <c r="G65" s="836"/>
      <c r="H65" s="836"/>
      <c r="I65" s="819" t="str">
        <f ca="1">$Y39</f>
        <v>1. FC Riedwald</v>
      </c>
      <c r="J65" s="819"/>
      <c r="K65" s="820"/>
      <c r="L65" s="550"/>
      <c r="M65" s="550"/>
      <c r="N65" s="483"/>
      <c r="O65" s="484"/>
      <c r="P65" s="484"/>
      <c r="Q65" s="484"/>
      <c r="R65" s="484"/>
      <c r="U65" s="171"/>
      <c r="V65" s="468"/>
    </row>
    <row r="66" spans="3:23" ht="24" customHeight="1" x14ac:dyDescent="0.25">
      <c r="C66" s="494"/>
      <c r="F66" s="835">
        <v>12</v>
      </c>
      <c r="G66" s="836"/>
      <c r="H66" s="836"/>
      <c r="I66" s="819" t="str">
        <f ca="1">$Z39</f>
        <v>HSV</v>
      </c>
      <c r="J66" s="819"/>
      <c r="K66" s="820"/>
      <c r="L66" s="550"/>
      <c r="M66" s="550"/>
      <c r="N66" s="483"/>
      <c r="O66" s="484"/>
      <c r="P66" s="484"/>
      <c r="Q66" s="484"/>
      <c r="R66" s="484"/>
      <c r="U66" s="171"/>
      <c r="V66" s="282"/>
    </row>
    <row r="67" spans="3:23" ht="24" customHeight="1" x14ac:dyDescent="0.2">
      <c r="F67" s="835">
        <v>13</v>
      </c>
      <c r="G67" s="836"/>
      <c r="H67" s="836"/>
      <c r="I67" s="819" t="str">
        <f ca="1">IF($U$31=1,VLOOKUP(1,CalcE4!$C$4:$F$12,4,0),$Y36)</f>
        <v>VFB Essenheim</v>
      </c>
      <c r="J67" s="819"/>
      <c r="K67" s="820"/>
      <c r="L67" s="550"/>
      <c r="M67" s="550"/>
      <c r="N67" s="171"/>
      <c r="O67" s="171"/>
      <c r="P67" s="551"/>
      <c r="Q67" s="171"/>
      <c r="R67" s="171"/>
      <c r="U67" s="171"/>
      <c r="V67" s="282"/>
    </row>
    <row r="68" spans="3:23" ht="24" customHeight="1" x14ac:dyDescent="0.2">
      <c r="F68" s="835">
        <v>14</v>
      </c>
      <c r="G68" s="836"/>
      <c r="H68" s="836"/>
      <c r="I68" s="819" t="str">
        <f ca="1">$Z36</f>
        <v>SV Oberredenburg</v>
      </c>
      <c r="J68" s="819"/>
      <c r="K68" s="820"/>
      <c r="L68" s="550"/>
      <c r="M68" s="550"/>
      <c r="N68" s="171"/>
      <c r="O68" s="171"/>
      <c r="P68" s="551"/>
      <c r="Q68" s="171"/>
      <c r="R68" s="171"/>
      <c r="V68" s="282"/>
    </row>
    <row r="69" spans="3:23" ht="24" customHeight="1" x14ac:dyDescent="0.2">
      <c r="F69" s="835">
        <v>15</v>
      </c>
      <c r="G69" s="836"/>
      <c r="H69" s="836"/>
      <c r="I69" s="819" t="str">
        <f ca="1">$Y35</f>
        <v>Kickers Rodendorf</v>
      </c>
      <c r="J69" s="819"/>
      <c r="K69" s="820"/>
      <c r="L69" s="550"/>
      <c r="M69" s="550"/>
      <c r="N69" s="171"/>
      <c r="O69" s="171"/>
      <c r="P69" s="551"/>
      <c r="Q69" s="171"/>
      <c r="R69" s="171"/>
      <c r="V69" s="282"/>
    </row>
    <row r="70" spans="3:23" ht="24" customHeight="1" x14ac:dyDescent="0.2">
      <c r="F70" s="835">
        <v>16</v>
      </c>
      <c r="G70" s="836"/>
      <c r="H70" s="836"/>
      <c r="I70" s="819" t="str">
        <f ca="1">$Z35</f>
        <v>FC Grönlingen</v>
      </c>
      <c r="J70" s="819"/>
      <c r="K70" s="820"/>
      <c r="L70" s="550"/>
      <c r="M70" s="550"/>
      <c r="N70" s="171"/>
      <c r="O70" s="171"/>
      <c r="P70" s="551"/>
      <c r="Q70" s="171"/>
      <c r="R70" s="171"/>
      <c r="V70" s="469"/>
    </row>
    <row r="71" spans="3:23" ht="24" customHeight="1" x14ac:dyDescent="0.2">
      <c r="F71" s="835">
        <v>17</v>
      </c>
      <c r="G71" s="836"/>
      <c r="H71" s="836"/>
      <c r="I71" s="819" t="str">
        <f ca="1">IF($U$24=1,VLOOKUP(1,CalcE5!$C$4:$F$12,4,0),$Y32)</f>
        <v>FSV Rauen</v>
      </c>
      <c r="J71" s="819"/>
      <c r="K71" s="820"/>
      <c r="L71" s="550"/>
      <c r="M71" s="550"/>
      <c r="N71" s="171"/>
      <c r="O71" s="171"/>
      <c r="P71" s="551"/>
      <c r="Q71" s="171"/>
      <c r="R71" s="171"/>
      <c r="V71" s="469"/>
    </row>
    <row r="72" spans="3:23" ht="24" customHeight="1" x14ac:dyDescent="0.2">
      <c r="F72" s="835">
        <v>18</v>
      </c>
      <c r="G72" s="836"/>
      <c r="H72" s="836"/>
      <c r="I72" s="819" t="str">
        <f ca="1">$Z32</f>
        <v>SSV Wildbach</v>
      </c>
      <c r="J72" s="819"/>
      <c r="K72" s="820"/>
      <c r="L72" s="550"/>
      <c r="M72" s="550"/>
      <c r="N72" s="171"/>
      <c r="O72" s="171"/>
      <c r="P72" s="551"/>
      <c r="Q72" s="171"/>
      <c r="R72" s="171"/>
      <c r="V72" s="280"/>
      <c r="W72" s="280"/>
    </row>
    <row r="73" spans="3:23" ht="24" customHeight="1" x14ac:dyDescent="0.2">
      <c r="F73" s="835">
        <v>19</v>
      </c>
      <c r="G73" s="836"/>
      <c r="H73" s="836"/>
      <c r="I73" s="819" t="str">
        <f ca="1">$Y31</f>
        <v>Maibach 1822 eV</v>
      </c>
      <c r="J73" s="819"/>
      <c r="K73" s="820"/>
      <c r="L73" s="550"/>
      <c r="M73" s="550"/>
      <c r="N73" s="171"/>
      <c r="O73" s="171"/>
      <c r="P73" s="551"/>
      <c r="Q73" s="171"/>
      <c r="R73" s="171"/>
    </row>
    <row r="74" spans="3:23" ht="24" customHeight="1" x14ac:dyDescent="0.2">
      <c r="F74" s="835">
        <v>20</v>
      </c>
      <c r="G74" s="836"/>
      <c r="H74" s="836"/>
      <c r="I74" s="819" t="str">
        <f ca="1">$Z31</f>
        <v>TSG Saalberg eV</v>
      </c>
      <c r="J74" s="819"/>
      <c r="K74" s="820"/>
      <c r="L74" s="550"/>
      <c r="M74" s="550"/>
      <c r="N74" s="171"/>
      <c r="O74" s="171"/>
      <c r="P74" s="551"/>
      <c r="Q74" s="171"/>
      <c r="R74" s="171"/>
    </row>
    <row r="75" spans="3:23" ht="24" customHeight="1" x14ac:dyDescent="0.2">
      <c r="F75" s="835">
        <v>21</v>
      </c>
      <c r="G75" s="836"/>
      <c r="H75" s="836"/>
      <c r="I75" s="819" t="str">
        <f ca="1">IF($U$17=1,VLOOKUP(1,CalcE6!$C$4:$F$12,4,0),$Y28)</f>
        <v/>
      </c>
      <c r="J75" s="819"/>
      <c r="K75" s="820"/>
      <c r="L75" s="550"/>
      <c r="M75" s="550"/>
      <c r="N75" s="171"/>
      <c r="O75" s="171"/>
      <c r="P75" s="551"/>
      <c r="Q75" s="171"/>
      <c r="R75" s="171"/>
    </row>
    <row r="76" spans="3:23" ht="24" customHeight="1" x14ac:dyDescent="0.2">
      <c r="F76" s="835">
        <v>22</v>
      </c>
      <c r="G76" s="836"/>
      <c r="H76" s="836"/>
      <c r="I76" s="819" t="str">
        <f ca="1">$Z28</f>
        <v/>
      </c>
      <c r="J76" s="819"/>
      <c r="K76" s="820"/>
      <c r="L76" s="550"/>
      <c r="M76" s="550"/>
      <c r="N76" s="171"/>
      <c r="O76" s="171"/>
      <c r="P76" s="551"/>
      <c r="Q76" s="171"/>
      <c r="R76" s="171"/>
    </row>
    <row r="77" spans="3:23" ht="24" customHeight="1" x14ac:dyDescent="0.2">
      <c r="F77" s="835">
        <v>23</v>
      </c>
      <c r="G77" s="836"/>
      <c r="H77" s="836"/>
      <c r="I77" s="819" t="str">
        <f ca="1">$Y27</f>
        <v/>
      </c>
      <c r="J77" s="819"/>
      <c r="K77" s="820"/>
      <c r="L77" s="550"/>
      <c r="M77" s="550"/>
      <c r="N77" s="171"/>
      <c r="O77" s="171"/>
      <c r="P77" s="551"/>
      <c r="Q77" s="171"/>
      <c r="R77" s="171"/>
    </row>
    <row r="78" spans="3:23" ht="24" customHeight="1" thickBot="1" x14ac:dyDescent="0.25">
      <c r="F78" s="837">
        <v>24</v>
      </c>
      <c r="G78" s="838"/>
      <c r="H78" s="838"/>
      <c r="I78" s="863" t="str">
        <f ca="1">$Z27</f>
        <v/>
      </c>
      <c r="J78" s="863"/>
      <c r="K78" s="864"/>
      <c r="L78" s="171"/>
      <c r="M78" s="171"/>
      <c r="N78" s="171"/>
      <c r="O78" s="171"/>
      <c r="P78" s="551"/>
      <c r="Q78" s="171"/>
      <c r="R78" s="171"/>
    </row>
    <row r="79" spans="3:23" ht="24" customHeight="1" thickTop="1" x14ac:dyDescent="0.2"/>
    <row r="80" spans="3:23" x14ac:dyDescent="0.2"/>
    <row r="81" x14ac:dyDescent="0.2"/>
  </sheetData>
  <sheetProtection sheet="1" selectLockedCells="1"/>
  <mergeCells count="90">
    <mergeCell ref="J7:R8"/>
    <mergeCell ref="I77:K77"/>
    <mergeCell ref="I78:K78"/>
    <mergeCell ref="C52:I52"/>
    <mergeCell ref="J52:R52"/>
    <mergeCell ref="I64:K64"/>
    <mergeCell ref="I65:K65"/>
    <mergeCell ref="I66:K66"/>
    <mergeCell ref="I67:K67"/>
    <mergeCell ref="F74:H74"/>
    <mergeCell ref="F75:H75"/>
    <mergeCell ref="F64:H64"/>
    <mergeCell ref="F65:H65"/>
    <mergeCell ref="F66:H66"/>
    <mergeCell ref="F67:H67"/>
    <mergeCell ref="F68:H68"/>
    <mergeCell ref="F2:U2"/>
    <mergeCell ref="F3:U3"/>
    <mergeCell ref="F4:U4"/>
    <mergeCell ref="F5:U5"/>
    <mergeCell ref="I63:K63"/>
    <mergeCell ref="I54:K54"/>
    <mergeCell ref="I55:K55"/>
    <mergeCell ref="I56:K56"/>
    <mergeCell ref="I57:K57"/>
    <mergeCell ref="I58:K58"/>
    <mergeCell ref="F59:H59"/>
    <mergeCell ref="F60:H60"/>
    <mergeCell ref="F61:H61"/>
    <mergeCell ref="F62:H62"/>
    <mergeCell ref="F63:H63"/>
    <mergeCell ref="I59:K59"/>
    <mergeCell ref="F76:H76"/>
    <mergeCell ref="F77:H77"/>
    <mergeCell ref="F78:H78"/>
    <mergeCell ref="F69:H69"/>
    <mergeCell ref="F70:H70"/>
    <mergeCell ref="F71:H71"/>
    <mergeCell ref="F72:H72"/>
    <mergeCell ref="F73:H73"/>
    <mergeCell ref="F54:H54"/>
    <mergeCell ref="F55:H55"/>
    <mergeCell ref="F56:H56"/>
    <mergeCell ref="F57:H57"/>
    <mergeCell ref="F58:H58"/>
    <mergeCell ref="I60:K60"/>
    <mergeCell ref="I61:K61"/>
    <mergeCell ref="I62:K62"/>
    <mergeCell ref="I68:K68"/>
    <mergeCell ref="I69:K69"/>
    <mergeCell ref="I70:K70"/>
    <mergeCell ref="I71:K71"/>
    <mergeCell ref="I72:K72"/>
    <mergeCell ref="I73:K73"/>
    <mergeCell ref="I74:K74"/>
    <mergeCell ref="I75:K75"/>
    <mergeCell ref="I76:K76"/>
    <mergeCell ref="C10:D10"/>
    <mergeCell ref="T18:U18"/>
    <mergeCell ref="T11:U11"/>
    <mergeCell ref="T25:U25"/>
    <mergeCell ref="T32:U32"/>
    <mergeCell ref="F11:H11"/>
    <mergeCell ref="I11:K11"/>
    <mergeCell ref="L11:N11"/>
    <mergeCell ref="C49:H49"/>
    <mergeCell ref="C46:H46"/>
    <mergeCell ref="C42:H42"/>
    <mergeCell ref="C38:H38"/>
    <mergeCell ref="C34:H34"/>
    <mergeCell ref="C30:H30"/>
    <mergeCell ref="C26:H26"/>
    <mergeCell ref="L34:N34"/>
    <mergeCell ref="T39:U39"/>
    <mergeCell ref="T46:U46"/>
    <mergeCell ref="L46:N46"/>
    <mergeCell ref="O46:Q46"/>
    <mergeCell ref="L49:N49"/>
    <mergeCell ref="O49:Q49"/>
    <mergeCell ref="R10:R11"/>
    <mergeCell ref="O11:Q11"/>
    <mergeCell ref="O26:Q26"/>
    <mergeCell ref="L26:N26"/>
    <mergeCell ref="L30:N30"/>
    <mergeCell ref="O30:Q30"/>
    <mergeCell ref="O34:Q34"/>
    <mergeCell ref="L38:N38"/>
    <mergeCell ref="O38:Q38"/>
    <mergeCell ref="L42:N42"/>
    <mergeCell ref="O42:Q42"/>
  </mergeCells>
  <conditionalFormatting sqref="C12:Q23">
    <cfRule type="expression" dxfId="32" priority="6">
      <formula>OR($I12="",$K12="")</formula>
    </cfRule>
  </conditionalFormatting>
  <conditionalFormatting sqref="O12:Q23 O27:Q28 O31:Q32 O35:Q36 O39:Q40 O43:Q44 O47:Q47 O50:Q50">
    <cfRule type="expression" dxfId="31" priority="4">
      <formula>NOT($AA12)</formula>
    </cfRule>
    <cfRule type="expression" dxfId="30" priority="5">
      <formula>AND($AA12,$O12&lt;&gt;"",$Q12&lt;&gt;"",$O12=$Q12)</formula>
    </cfRule>
  </conditionalFormatting>
  <conditionalFormatting sqref="C12:Q13 C27:Q28">
    <cfRule type="expression" dxfId="29" priority="3">
      <formula>$U$17&lt;4</formula>
    </cfRule>
  </conditionalFormatting>
  <conditionalFormatting sqref="C14:Q15 C31:Q32">
    <cfRule type="expression" dxfId="28" priority="2">
      <formula>$U$24&lt;4</formula>
    </cfRule>
  </conditionalFormatting>
  <conditionalFormatting sqref="C16:Q17 C35:Q36">
    <cfRule type="expression" dxfId="27" priority="1">
      <formula>$U$31&lt;4</formula>
    </cfRule>
  </conditionalFormatting>
  <dataValidations count="1">
    <dataValidation allowBlank="1" showInputMessage="1" showErrorMessage="1" errorTitle="Unzulässige Teilnehmernummer" error="Es müssen Zahlen von 1 bis 9 eingetragen werden!" sqref="H50 F50 H46:H47 F46:F47 H42:H44 F42:F44 F38:F40 H38:H40 H34:H36 F34:F36 F30:F32 F12:F28 H30:H32 H12:H28" xr:uid="{D5B13F29-6FD3-4B89-A2A8-1D3A42BA0B24}"/>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15A8FA8E-E6F6-4E25-908B-69E13EC79089}">
            <xm:f>$F55&gt;4*Calc1!$F$14</xm:f>
            <x14:dxf>
              <numFmt numFmtId="165" formatCode=";;;"/>
            </x14:dxf>
          </x14:cfRule>
          <xm:sqref>F55:H78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E34"/>
  <sheetViews>
    <sheetView showGridLines="0" showRowColHeaders="0" workbookViewId="0">
      <selection activeCell="L12" sqref="L12"/>
    </sheetView>
  </sheetViews>
  <sheetFormatPr baseColWidth="10" defaultColWidth="0" defaultRowHeight="12.75" zeroHeight="1" x14ac:dyDescent="0.2"/>
  <cols>
    <col min="1" max="1" width="10.42578125" style="49" customWidth="1"/>
    <col min="2" max="3" width="5.28515625" style="49" customWidth="1"/>
    <col min="4" max="4" width="11.42578125" style="49" customWidth="1"/>
    <col min="5" max="5" width="9.140625" style="49" customWidth="1"/>
    <col min="6" max="6" width="5.7109375" style="49" customWidth="1"/>
    <col min="7" max="7" width="2"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42578125" customWidth="1"/>
    <col min="24" max="24" width="8" hidden="1" customWidth="1"/>
    <col min="25" max="25" width="17.42578125" hidden="1" customWidth="1"/>
    <col min="26" max="26" width="15.85546875" hidden="1" customWidth="1"/>
    <col min="27" max="27" width="8.140625" hidden="1" customWidth="1"/>
    <col min="28" max="31" width="6.7109375" hidden="1" customWidth="1"/>
    <col min="32" max="16384" width="11.42578125" hidden="1"/>
  </cols>
  <sheetData>
    <row r="1" spans="1:27" ht="13.5" thickBot="1" x14ac:dyDescent="0.25"/>
    <row r="2" spans="1:27" ht="36.75" thickTop="1" x14ac:dyDescent="0.2">
      <c r="H2" s="839" t="str">
        <f>Vorrunde!$G$2</f>
        <v>Internationales U10-Turnier am 12.04.2025</v>
      </c>
      <c r="I2" s="840"/>
      <c r="J2" s="840"/>
      <c r="K2" s="840"/>
      <c r="L2" s="840"/>
      <c r="M2" s="840"/>
      <c r="N2" s="840"/>
      <c r="O2" s="840"/>
      <c r="P2" s="840"/>
      <c r="Q2" s="840"/>
      <c r="R2" s="840"/>
      <c r="S2" s="840"/>
      <c r="T2" s="840"/>
      <c r="U2" s="841"/>
    </row>
    <row r="3" spans="1:27" ht="30" customHeight="1" x14ac:dyDescent="0.2">
      <c r="H3" s="842" t="str">
        <f>Vorrunde!$G$3</f>
        <v>Veranstalter:  1. FC Riedwald</v>
      </c>
      <c r="I3" s="843"/>
      <c r="J3" s="843"/>
      <c r="K3" s="843"/>
      <c r="L3" s="843"/>
      <c r="M3" s="843"/>
      <c r="N3" s="843"/>
      <c r="O3" s="843"/>
      <c r="P3" s="843"/>
      <c r="Q3" s="843"/>
      <c r="R3" s="843"/>
      <c r="S3" s="843"/>
      <c r="T3" s="843"/>
      <c r="U3" s="844"/>
    </row>
    <row r="4" spans="1:27" ht="30" customHeight="1" x14ac:dyDescent="0.2">
      <c r="H4" s="845" t="str">
        <f>Vorrunde!$G$4</f>
        <v>Sporthalle Wiesengrund, Wendiger Str. 51, 65432 Riedwald</v>
      </c>
      <c r="I4" s="846"/>
      <c r="J4" s="846"/>
      <c r="K4" s="846"/>
      <c r="L4" s="846"/>
      <c r="M4" s="846"/>
      <c r="N4" s="846"/>
      <c r="O4" s="846"/>
      <c r="P4" s="846"/>
      <c r="Q4" s="846"/>
      <c r="R4" s="846"/>
      <c r="S4" s="846"/>
      <c r="T4" s="846"/>
      <c r="U4" s="847"/>
    </row>
    <row r="5" spans="1:27" ht="30" customHeight="1" thickBot="1" x14ac:dyDescent="0.25">
      <c r="H5" s="848" t="str">
        <f>Vorrunde!$G$5</f>
        <v>Beginn:  9:00 Uhr</v>
      </c>
      <c r="I5" s="849"/>
      <c r="J5" s="849"/>
      <c r="K5" s="849"/>
      <c r="L5" s="849"/>
      <c r="M5" s="849"/>
      <c r="N5" s="849"/>
      <c r="O5" s="849"/>
      <c r="P5" s="849"/>
      <c r="Q5" s="849"/>
      <c r="R5" s="849"/>
      <c r="S5" s="849"/>
      <c r="T5" s="849"/>
      <c r="U5" s="850"/>
    </row>
    <row r="6" spans="1:27" ht="18" customHeight="1" thickTop="1" thickBot="1" x14ac:dyDescent="0.25"/>
    <row r="7" spans="1:27" ht="30" customHeight="1" thickTop="1" x14ac:dyDescent="0.9">
      <c r="J7" s="877" t="str">
        <f>Sprache!$E$19</f>
        <v>Endrunde</v>
      </c>
      <c r="K7" s="878"/>
      <c r="L7" s="878"/>
      <c r="M7" s="878"/>
      <c r="N7" s="878"/>
      <c r="O7" s="878"/>
      <c r="P7" s="878"/>
      <c r="Q7" s="878"/>
      <c r="R7" s="878"/>
      <c r="S7" s="591"/>
    </row>
    <row r="8" spans="1:27" ht="30" customHeight="1" thickBot="1" x14ac:dyDescent="0.95">
      <c r="J8" s="879"/>
      <c r="K8" s="880"/>
      <c r="L8" s="880"/>
      <c r="M8" s="880"/>
      <c r="N8" s="880"/>
      <c r="O8" s="880"/>
      <c r="P8" s="880"/>
      <c r="Q8" s="880"/>
      <c r="R8" s="880"/>
      <c r="S8" s="591"/>
    </row>
    <row r="9" spans="1:27" ht="12.6" customHeight="1" thickTop="1" x14ac:dyDescent="0.2">
      <c r="R9" s="775" t="str">
        <f>Sprache!$E$20</f>
        <v>Zusätzl. Pause (min)</v>
      </c>
    </row>
    <row r="10" spans="1:27" ht="27.95" customHeight="1" thickBot="1" x14ac:dyDescent="0.35">
      <c r="C10" s="875" t="str">
        <f>Sprache!$E$58</f>
        <v>Viertelfinale</v>
      </c>
      <c r="D10" s="875"/>
      <c r="E10" s="875"/>
      <c r="F10" s="875"/>
      <c r="G10" s="875"/>
      <c r="H10" s="875"/>
      <c r="R10" s="775"/>
    </row>
    <row r="11" spans="1:27" ht="24" customHeight="1" thickTop="1" thickBot="1" x14ac:dyDescent="0.45">
      <c r="B11" s="343"/>
      <c r="C11" s="386" t="str">
        <f>Sprache!$E$9</f>
        <v>Nr.</v>
      </c>
      <c r="D11" s="342" t="str">
        <f>Sprache!$E$39</f>
        <v>Beginn:</v>
      </c>
      <c r="E11" s="336" t="str">
        <f>Sprache!$E$48</f>
        <v>Feld</v>
      </c>
      <c r="F11" s="824"/>
      <c r="G11" s="825"/>
      <c r="H11" s="826"/>
      <c r="I11" s="783" t="str">
        <f>Sprache!$E$14</f>
        <v>Spielpaarung</v>
      </c>
      <c r="J11" s="783"/>
      <c r="K11" s="783"/>
      <c r="L11" s="783" t="str">
        <f>Sprache!$E$15</f>
        <v>Ergebnis</v>
      </c>
      <c r="M11" s="783"/>
      <c r="N11" s="783"/>
      <c r="O11" s="783" t="str">
        <f>Sprache!$E$101</f>
        <v>Elfmeter</v>
      </c>
      <c r="P11" s="783"/>
      <c r="Q11" s="784"/>
      <c r="R11" s="776"/>
      <c r="T11" s="796" t="str">
        <f>Sprache!$E$60</f>
        <v>Gruppenzweite</v>
      </c>
      <c r="U11" s="796"/>
      <c r="X11" s="658" t="s">
        <v>16</v>
      </c>
      <c r="Y11" s="659" t="s">
        <v>396</v>
      </c>
      <c r="Z11" s="659" t="s">
        <v>398</v>
      </c>
      <c r="AA11" s="658" t="s">
        <v>397</v>
      </c>
    </row>
    <row r="12" spans="1:27" ht="24" customHeight="1" thickTop="1" x14ac:dyDescent="0.2">
      <c r="A12" s="328"/>
      <c r="B12" s="547" t="str">
        <f>Sprache!$E$70&amp;1</f>
        <v>VF 1</v>
      </c>
      <c r="C12" s="378">
        <f t="array" aca="1" ref="C12" ca="1">61-SUM(((Planung!$L$6:$L$65="")+(Planung!$N$6:$N$65="")&gt;0)*1)</f>
        <v>41</v>
      </c>
      <c r="D12" s="381">
        <f ca="1">IF(Planung!$U$15,"",Planung!$R$13+(Planung!$R$9+Planung!$P$65)/1440)</f>
        <v>0.61805555555555558</v>
      </c>
      <c r="E12" s="364">
        <f>IF(Planung!$U$15,"",1)</f>
        <v>1</v>
      </c>
      <c r="F12" s="413" t="s">
        <v>292</v>
      </c>
      <c r="G12" s="414" t="s">
        <v>5</v>
      </c>
      <c r="H12" s="415" t="s">
        <v>297</v>
      </c>
      <c r="I12" s="365" t="str">
        <f ca="1">VLOOKUP($F12,$T$13:$U$23,2,0)</f>
        <v>FC Barcelona</v>
      </c>
      <c r="J12" s="154" t="s">
        <v>5</v>
      </c>
      <c r="K12" s="366" t="str">
        <f ca="1">VLOOKUP($H12,$T$13:$U$23,2,0)</f>
        <v>Real Madrid</v>
      </c>
      <c r="L12" s="367">
        <v>2</v>
      </c>
      <c r="M12" s="368" t="str">
        <f>Sprache!$E$111</f>
        <v>:</v>
      </c>
      <c r="N12" s="662">
        <v>3</v>
      </c>
      <c r="O12" s="367"/>
      <c r="P12" s="368" t="str">
        <f>Sprache!$E$111</f>
        <v>:</v>
      </c>
      <c r="Q12" s="369"/>
      <c r="R12" s="340"/>
      <c r="S12" s="328"/>
      <c r="T12" s="441"/>
      <c r="U12" s="471" t="str">
        <f>Sprache!$E$10</f>
        <v>Teilnehmer bzw. Mannschaft</v>
      </c>
      <c r="X12" s="328" t="b">
        <f t="shared" ref="X12:X21" ca="1" si="0">AND($I12&lt;&gt;"",$K12&lt;&gt;"",$L12&lt;&gt;"",$N12&lt;&gt;"")</f>
        <v>1</v>
      </c>
      <c r="Y12" s="328" t="str">
        <f t="shared" ref="Y12:Y21" ca="1" si="1">IF(NOT(X12),"",IF($L12&gt;$N12,$I12,IF($L12&lt;$N12,$K12,IF(OR($O12="",$Q12="",$O12=$Q12),"",IF($O12&gt;$Q12,$I12,$K12)))))</f>
        <v>Real Madrid</v>
      </c>
      <c r="Z12" s="328"/>
      <c r="AA12" s="328" t="b">
        <f t="shared" ref="AA12" ca="1" si="2">AND(X12,$L12=$N12)</f>
        <v>0</v>
      </c>
    </row>
    <row r="13" spans="1:27" ht="24" customHeight="1" x14ac:dyDescent="0.2">
      <c r="A13" s="328"/>
      <c r="B13" s="548" t="str">
        <f>Sprache!$E$70&amp;2</f>
        <v>VF 2</v>
      </c>
      <c r="C13" s="379">
        <f t="array" aca="1" ref="C13" ca="1">ROW(62:62)-SUM(((Planung!$L$6:$L$65="")+(Planung!$N$6:$N$65="")&gt;0)*1)-SUM((($I$12:$I12="")+($K$12:$K12="")&gt;0)*1)</f>
        <v>42</v>
      </c>
      <c r="D13" s="382">
        <f t="array" aca="1" ref="D13" ca="1">IF(Planung!$U$15,"",$D$12+QUOTIENT(($C13-$C$12),Planung!$U$11)*(Planung!$R$7+Planung!$R$9)/1440+SUM($R$12:$R12)/1440)</f>
        <v>0.61805555555555558</v>
      </c>
      <c r="E13" s="665">
        <f ca="1">IF(Planung!$U$15,"",MOD($C13-$C$12,Planung!$U$11)+1)</f>
        <v>2</v>
      </c>
      <c r="F13" s="416" t="s">
        <v>293</v>
      </c>
      <c r="G13" s="417" t="s">
        <v>5</v>
      </c>
      <c r="H13" s="418" t="s">
        <v>349</v>
      </c>
      <c r="I13" s="666" t="str">
        <f t="shared" ref="I13:I15" ca="1" si="3">VLOOKUP($F13,$T$13:$U$23,2,0)</f>
        <v>Manchester City</v>
      </c>
      <c r="J13" s="155" t="s">
        <v>5</v>
      </c>
      <c r="K13" s="667" t="str">
        <f t="shared" ref="K13:K15" ca="1" si="4">VLOOKUP($H13,$T$13:$U$23,2,0)</f>
        <v>RB Leipzig</v>
      </c>
      <c r="L13" s="337">
        <v>4</v>
      </c>
      <c r="M13" s="339" t="str">
        <f>Sprache!$E$111</f>
        <v>:</v>
      </c>
      <c r="N13" s="663">
        <v>3</v>
      </c>
      <c r="O13" s="337"/>
      <c r="P13" s="339" t="str">
        <f>Sprache!$E$111</f>
        <v>:</v>
      </c>
      <c r="Q13" s="332"/>
      <c r="R13" s="341"/>
      <c r="S13" s="328"/>
      <c r="T13" s="533" t="s">
        <v>295</v>
      </c>
      <c r="U13" s="472" t="str">
        <f ca="1">IF(Vorrunde!$N$13="","",Vorrunde!$N$13)</f>
        <v>Eintracht Frankfurt</v>
      </c>
      <c r="X13" s="328" t="b">
        <f t="shared" ca="1" si="0"/>
        <v>1</v>
      </c>
      <c r="Y13" s="328" t="str">
        <f t="shared" ca="1" si="1"/>
        <v>Manchester City</v>
      </c>
      <c r="Z13" s="328"/>
      <c r="AA13" s="328" t="b">
        <f t="shared" ref="AA13:AA15" ca="1" si="5">AND(X13,$L13=$N13)</f>
        <v>0</v>
      </c>
    </row>
    <row r="14" spans="1:27" ht="24" customHeight="1" x14ac:dyDescent="0.2">
      <c r="A14" s="328"/>
      <c r="B14" s="548" t="str">
        <f>Sprache!$E$70&amp;3</f>
        <v>VF 3</v>
      </c>
      <c r="C14" s="379">
        <f t="array" aca="1" ref="C14" ca="1">ROW(63:63)-SUM(((Planung!$L$6:$L$65="")+(Planung!$N$6:$N$65="")&gt;0)*1)-SUM((($I$12:$I13="")+($K$12:$K13="")&gt;0)*1)</f>
        <v>43</v>
      </c>
      <c r="D14" s="382">
        <f t="array" aca="1" ref="D14" ca="1">IF(Planung!$U$15,"",$D$12+QUOTIENT(($C14-$C$12),Planung!$U$11)*(Planung!$R$7+Planung!$R$9)/1440+SUM($R$12:$R13)/1440)</f>
        <v>0.61805555555555558</v>
      </c>
      <c r="E14" s="665">
        <f ca="1">IF(Planung!$U$15,"",MOD($C14-$C$12,Planung!$U$11)+1)</f>
        <v>3</v>
      </c>
      <c r="F14" s="416" t="s">
        <v>294</v>
      </c>
      <c r="G14" s="417" t="s">
        <v>5</v>
      </c>
      <c r="H14" s="418" t="s">
        <v>295</v>
      </c>
      <c r="I14" s="666" t="str">
        <f t="shared" ca="1" si="3"/>
        <v>Borussia Dortmund</v>
      </c>
      <c r="J14" s="155" t="s">
        <v>5</v>
      </c>
      <c r="K14" s="667" t="str">
        <f t="shared" ca="1" si="4"/>
        <v>Eintracht Frankfurt</v>
      </c>
      <c r="L14" s="337">
        <v>5</v>
      </c>
      <c r="M14" s="339" t="str">
        <f>Sprache!$E$111</f>
        <v>:</v>
      </c>
      <c r="N14" s="663">
        <v>3</v>
      </c>
      <c r="O14" s="337"/>
      <c r="P14" s="339" t="str">
        <f>Sprache!$E$111</f>
        <v>:</v>
      </c>
      <c r="Q14" s="332"/>
      <c r="R14" s="341"/>
      <c r="S14" s="328"/>
      <c r="T14" s="440" t="s">
        <v>296</v>
      </c>
      <c r="U14" s="473" t="str">
        <f ca="1">IF(Vorrunde!$N$23="","",Vorrunde!$N$23)</f>
        <v>Inter Mailand</v>
      </c>
      <c r="X14" s="328" t="b">
        <f t="shared" ca="1" si="0"/>
        <v>1</v>
      </c>
      <c r="Y14" s="328" t="str">
        <f t="shared" ca="1" si="1"/>
        <v>Borussia Dortmund</v>
      </c>
      <c r="Z14" s="328"/>
      <c r="AA14" s="328" t="b">
        <f t="shared" ca="1" si="5"/>
        <v>0</v>
      </c>
    </row>
    <row r="15" spans="1:27" ht="24" customHeight="1" thickBot="1" x14ac:dyDescent="0.25">
      <c r="A15" s="328"/>
      <c r="B15" s="549" t="str">
        <f>Sprache!$E$70&amp;4</f>
        <v>VF 4</v>
      </c>
      <c r="C15" s="380">
        <f t="array" aca="1" ref="C15" ca="1">ROW(64:64)-SUM(((Planung!$L$6:$L$65="")+(Planung!$N$6:$N$65="")&gt;0)*1)-SUM((($I$12:$I14="")+($K$12:$K14="")&gt;0)*1)</f>
        <v>44</v>
      </c>
      <c r="D15" s="383">
        <f t="array" aca="1" ref="D15" ca="1">IF(Planung!$U$15,"",$D$12+QUOTIENT(($C15-$C$12),Planung!$U$11)*(Planung!$R$7+Planung!$R$9)/1440+SUM($R$12:$R14)/1440)</f>
        <v>0.61805555555555558</v>
      </c>
      <c r="E15" s="361">
        <f ca="1">IF(Planung!$U$15,"",MOD($C15-$C$12,Planung!$U$11)+1)</f>
        <v>4</v>
      </c>
      <c r="F15" s="419" t="s">
        <v>348</v>
      </c>
      <c r="G15" s="657" t="s">
        <v>5</v>
      </c>
      <c r="H15" s="421" t="s">
        <v>296</v>
      </c>
      <c r="I15" s="334" t="str">
        <f t="shared" ca="1" si="3"/>
        <v>Paris St. Germain</v>
      </c>
      <c r="J15" s="156" t="s">
        <v>5</v>
      </c>
      <c r="K15" s="335" t="str">
        <f t="shared" ca="1" si="4"/>
        <v>Inter Mailand</v>
      </c>
      <c r="L15" s="338">
        <v>2</v>
      </c>
      <c r="M15" s="362" t="str">
        <f>Sprache!$E$111</f>
        <v>:</v>
      </c>
      <c r="N15" s="664">
        <v>4</v>
      </c>
      <c r="O15" s="338"/>
      <c r="P15" s="362" t="str">
        <f>Sprache!$E$111</f>
        <v>:</v>
      </c>
      <c r="Q15" s="333"/>
      <c r="R15" s="363"/>
      <c r="S15" s="328"/>
      <c r="T15" s="532" t="s">
        <v>297</v>
      </c>
      <c r="U15" s="473" t="str">
        <f ca="1">IF(Vorrunde!$N$33="","",Vorrunde!$N$33)</f>
        <v>Real Madrid</v>
      </c>
      <c r="X15" s="328" t="b">
        <f t="shared" ca="1" si="0"/>
        <v>1</v>
      </c>
      <c r="Y15" s="328" t="str">
        <f t="shared" ca="1" si="1"/>
        <v>Inter Mailand</v>
      </c>
      <c r="Z15" s="328"/>
      <c r="AA15" s="328" t="b">
        <f t="shared" ca="1" si="5"/>
        <v>0</v>
      </c>
    </row>
    <row r="16" spans="1:27" ht="27.95" customHeight="1" thickTop="1" thickBot="1" x14ac:dyDescent="0.35">
      <c r="A16" s="328"/>
      <c r="B16" s="377"/>
      <c r="C16" s="876" t="str">
        <f>Sprache!$E$53</f>
        <v>Halbfinale</v>
      </c>
      <c r="D16" s="876"/>
      <c r="E16" s="876"/>
      <c r="F16" s="876"/>
      <c r="G16" s="876"/>
      <c r="H16" s="876"/>
      <c r="I16" s="390" t="s">
        <v>270</v>
      </c>
      <c r="J16" s="122"/>
      <c r="K16" s="390" t="s">
        <v>270</v>
      </c>
      <c r="L16" s="351"/>
      <c r="M16" s="351"/>
      <c r="N16" s="351"/>
      <c r="O16" s="351"/>
      <c r="P16" s="351"/>
      <c r="Q16" s="351"/>
      <c r="R16" s="353"/>
      <c r="S16" s="328"/>
      <c r="T16" s="405" t="s">
        <v>349</v>
      </c>
      <c r="U16" s="474" t="str">
        <f ca="1">IF(Vorrunde!$N$43="","",Vorrunde!$N$43)</f>
        <v>RB Leipzig</v>
      </c>
      <c r="X16" s="328"/>
      <c r="Y16" s="328"/>
      <c r="Z16" s="328"/>
      <c r="AA16" s="328"/>
    </row>
    <row r="17" spans="1:31" ht="24" customHeight="1" thickTop="1" x14ac:dyDescent="0.2">
      <c r="A17" s="328"/>
      <c r="B17" s="376"/>
      <c r="C17" s="384">
        <f t="array" aca="1" ref="C17" ca="1">ROW(65:65)-SUM(((Planung!$L$6:$L$65="")+(Planung!$N$6:$N$65="")&gt;0)*1)-SUM((($I$12:$I16="")+($K$12:$K16="")&gt;0)*1)</f>
        <v>45</v>
      </c>
      <c r="D17" s="385">
        <f ca="1">IF(Planung!$U$15,"",$D$15+($R$15+Planung!$R$9+Planung!$R$7)/1440)</f>
        <v>0.64236111111111116</v>
      </c>
      <c r="E17" s="354">
        <f>IF(Planung!$U$15,"",1)</f>
        <v>1</v>
      </c>
      <c r="F17" s="487" t="str">
        <f>B12</f>
        <v>VF 1</v>
      </c>
      <c r="G17" s="488" t="s">
        <v>5</v>
      </c>
      <c r="H17" s="489" t="str">
        <f>B14</f>
        <v>VF 3</v>
      </c>
      <c r="I17" s="355" t="str">
        <f ca="1">INDEX($Y$12:$Y$15,RIGHT($F$17,1))</f>
        <v>Real Madrid</v>
      </c>
      <c r="J17" s="356" t="s">
        <v>5</v>
      </c>
      <c r="K17" s="357" t="str">
        <f ca="1">INDEX($Y$12:$Y$15,RIGHT($H$17,1))</f>
        <v>Borussia Dortmund</v>
      </c>
      <c r="L17" s="358">
        <v>2</v>
      </c>
      <c r="M17" s="359" t="str">
        <f>Sprache!$E$111</f>
        <v>:</v>
      </c>
      <c r="N17" s="668">
        <v>1</v>
      </c>
      <c r="O17" s="358"/>
      <c r="P17" s="359" t="str">
        <f>Sprache!$E$111</f>
        <v>:</v>
      </c>
      <c r="Q17" s="360"/>
      <c r="R17" s="340"/>
      <c r="S17" s="328"/>
      <c r="T17" s="49"/>
      <c r="U17" s="49"/>
      <c r="X17" s="328" t="b">
        <f t="shared" ca="1" si="0"/>
        <v>1</v>
      </c>
      <c r="Y17" s="328" t="str">
        <f t="shared" ca="1" si="1"/>
        <v>Real Madrid</v>
      </c>
      <c r="Z17" s="328" t="str">
        <f t="shared" ref="Z17:Z21" ca="1" si="6">IF(NOT(X17),"",IF($L17&lt;$N17,$I17,IF($L17&gt;$N17,$K17,IF(OR($O17="",$Q17="",$O17=$Q17),"",IF($O17&lt;$Q17,$I17,$K17)))))</f>
        <v>Borussia Dortmund</v>
      </c>
      <c r="AA17" s="328" t="b">
        <f t="shared" ref="AA17:AA21" ca="1" si="7">AND(X17,$L17=$N17)</f>
        <v>0</v>
      </c>
      <c r="AB17" s="581"/>
      <c r="AC17" s="581"/>
      <c r="AD17" s="581"/>
      <c r="AE17" s="581"/>
    </row>
    <row r="18" spans="1:31" ht="24" customHeight="1" thickBot="1" x14ac:dyDescent="0.45">
      <c r="A18" s="328"/>
      <c r="B18" s="376"/>
      <c r="C18" s="380">
        <f ca="1">$C$17+1</f>
        <v>46</v>
      </c>
      <c r="D18" s="383">
        <f ca="1">IF(Planung!$U$15,"",$D$17+($R$17+(Planung!$R$9+Planung!$R$7)*($E$17=$E$18))/1440)</f>
        <v>0.64236111111111116</v>
      </c>
      <c r="E18" s="361">
        <f>IF(Planung!$U$15,"",1+(Planung!$R$11&gt;1)*1)</f>
        <v>2</v>
      </c>
      <c r="F18" s="419" t="str">
        <f>B13</f>
        <v>VF 2</v>
      </c>
      <c r="G18" s="420" t="s">
        <v>5</v>
      </c>
      <c r="H18" s="421" t="str">
        <f>B15</f>
        <v>VF 4</v>
      </c>
      <c r="I18" s="334" t="str">
        <f ca="1">INDEX($Y$12:$Y$15,RIGHT($F$18,1))</f>
        <v>Manchester City</v>
      </c>
      <c r="J18" s="156" t="s">
        <v>5</v>
      </c>
      <c r="K18" s="335" t="str">
        <f ca="1">INDEX($Y$12:$Y$15,RIGHT($H$18,1))</f>
        <v>Inter Mailand</v>
      </c>
      <c r="L18" s="338">
        <v>1</v>
      </c>
      <c r="M18" s="362" t="str">
        <f>Sprache!$E$111</f>
        <v>:</v>
      </c>
      <c r="N18" s="664">
        <v>1</v>
      </c>
      <c r="O18" s="338">
        <v>5</v>
      </c>
      <c r="P18" s="362" t="str">
        <f>Sprache!$E$111</f>
        <v>:</v>
      </c>
      <c r="Q18" s="333">
        <v>6</v>
      </c>
      <c r="R18" s="363">
        <v>15</v>
      </c>
      <c r="S18" s="328"/>
      <c r="T18" s="796" t="str">
        <f>Sprache!$E$59</f>
        <v>Gruppenerste</v>
      </c>
      <c r="U18" s="796"/>
      <c r="X18" s="328" t="b">
        <f t="shared" ca="1" si="0"/>
        <v>1</v>
      </c>
      <c r="Y18" s="328" t="str">
        <f t="shared" ca="1" si="1"/>
        <v>Inter Mailand</v>
      </c>
      <c r="Z18" s="328" t="str">
        <f t="shared" ca="1" si="6"/>
        <v>Manchester City</v>
      </c>
      <c r="AA18" s="328" t="b">
        <f t="shared" ca="1" si="7"/>
        <v>1</v>
      </c>
      <c r="AB18" s="581"/>
      <c r="AC18" s="581"/>
      <c r="AD18" s="581"/>
      <c r="AE18" s="581"/>
    </row>
    <row r="19" spans="1:31" ht="27.95" customHeight="1" thickTop="1" thickBot="1" x14ac:dyDescent="0.35">
      <c r="A19" s="328"/>
      <c r="B19" s="377"/>
      <c r="C19" s="876" t="str">
        <f>Sprache!$E$54</f>
        <v>Endspiele</v>
      </c>
      <c r="D19" s="876"/>
      <c r="E19" s="876"/>
      <c r="F19" s="876"/>
      <c r="G19" s="876"/>
      <c r="H19" s="876"/>
      <c r="I19" s="537"/>
      <c r="J19" s="122"/>
      <c r="K19" s="537"/>
      <c r="L19" s="351"/>
      <c r="M19" s="351"/>
      <c r="N19" s="351"/>
      <c r="O19" s="351"/>
      <c r="P19" s="351"/>
      <c r="Q19" s="351"/>
      <c r="R19" s="353"/>
      <c r="S19" s="328"/>
      <c r="T19" s="441"/>
      <c r="U19" s="471" t="str">
        <f>Sprache!$E$10</f>
        <v>Teilnehmer bzw. Mannschaft</v>
      </c>
      <c r="X19" s="328"/>
      <c r="Y19" s="328"/>
      <c r="Z19" s="328"/>
      <c r="AA19" s="328"/>
      <c r="AB19" s="581"/>
      <c r="AC19" s="581"/>
      <c r="AD19" s="581"/>
      <c r="AE19" s="581"/>
    </row>
    <row r="20" spans="1:31" ht="24" customHeight="1" thickTop="1" x14ac:dyDescent="0.2">
      <c r="A20" s="328"/>
      <c r="B20" s="376"/>
      <c r="C20" s="384">
        <f ca="1">$C$17+2</f>
        <v>47</v>
      </c>
      <c r="D20" s="385">
        <f ca="1">IF(Planung!$U$15,"",$D$18+($R$18+Planung!$R$9+Planung!$R$7)/1440)</f>
        <v>0.67708333333333337</v>
      </c>
      <c r="E20" s="354">
        <f>IF(Planung!$U$15,"",1)</f>
        <v>1</v>
      </c>
      <c r="F20" s="869" t="str">
        <f>Sprache!$E$120</f>
        <v>3. Platz</v>
      </c>
      <c r="G20" s="870"/>
      <c r="H20" s="871"/>
      <c r="I20" s="355" t="str">
        <f ca="1">$Z17</f>
        <v>Borussia Dortmund</v>
      </c>
      <c r="J20" s="356" t="s">
        <v>5</v>
      </c>
      <c r="K20" s="357" t="str">
        <f ca="1">$Z18</f>
        <v>Manchester City</v>
      </c>
      <c r="L20" s="358">
        <v>2</v>
      </c>
      <c r="M20" s="359" t="str">
        <f>Sprache!$E$111</f>
        <v>:</v>
      </c>
      <c r="N20" s="668">
        <v>1</v>
      </c>
      <c r="O20" s="358"/>
      <c r="P20" s="359" t="str">
        <f>Sprache!$E$111</f>
        <v>:</v>
      </c>
      <c r="Q20" s="360"/>
      <c r="R20" s="340"/>
      <c r="S20" s="328"/>
      <c r="T20" s="533" t="s">
        <v>292</v>
      </c>
      <c r="U20" s="472" t="str">
        <f ca="1">IF(Vorrunde!$N$12="","",Vorrunde!$N$12)</f>
        <v>FC Barcelona</v>
      </c>
      <c r="X20" s="328" t="b">
        <f t="shared" ca="1" si="0"/>
        <v>1</v>
      </c>
      <c r="Y20" s="328" t="str">
        <f t="shared" ca="1" si="1"/>
        <v>Borussia Dortmund</v>
      </c>
      <c r="Z20" s="328" t="str">
        <f t="shared" ca="1" si="6"/>
        <v>Manchester City</v>
      </c>
      <c r="AA20" s="328" t="b">
        <f t="shared" ca="1" si="7"/>
        <v>0</v>
      </c>
      <c r="AB20" s="581"/>
      <c r="AC20" s="581"/>
      <c r="AD20" s="581"/>
      <c r="AE20" s="581"/>
    </row>
    <row r="21" spans="1:31" ht="24" customHeight="1" thickBot="1" x14ac:dyDescent="0.25">
      <c r="A21" s="328"/>
      <c r="B21" s="376"/>
      <c r="C21" s="380">
        <f ca="1">$C$17+3</f>
        <v>48</v>
      </c>
      <c r="D21" s="383">
        <f ca="1">IF(Planung!$U$15,"",$D$20+($R$20+Planung!$R$9+Planung!$R$7)/1440)</f>
        <v>0.70138888888888895</v>
      </c>
      <c r="E21" s="361">
        <f>IF(Planung!$U$15,"",1)</f>
        <v>1</v>
      </c>
      <c r="F21" s="872" t="str">
        <f>Sprache!$E$121</f>
        <v>Finale</v>
      </c>
      <c r="G21" s="873"/>
      <c r="H21" s="874"/>
      <c r="I21" s="334" t="str">
        <f ca="1">$Y17</f>
        <v>Real Madrid</v>
      </c>
      <c r="J21" s="156" t="s">
        <v>5</v>
      </c>
      <c r="K21" s="335" t="str">
        <f ca="1">$Y18</f>
        <v>Inter Mailand</v>
      </c>
      <c r="L21" s="338">
        <v>2</v>
      </c>
      <c r="M21" s="362" t="str">
        <f>Sprache!$E$111</f>
        <v>:</v>
      </c>
      <c r="N21" s="664">
        <v>3</v>
      </c>
      <c r="O21" s="338"/>
      <c r="P21" s="362" t="str">
        <f>Sprache!$E$111</f>
        <v>:</v>
      </c>
      <c r="Q21" s="333"/>
      <c r="R21" s="350"/>
      <c r="S21" s="328"/>
      <c r="T21" s="440" t="s">
        <v>293</v>
      </c>
      <c r="U21" s="473" t="str">
        <f ca="1">IF(Vorrunde!$N$22="","",Vorrunde!$N$22)</f>
        <v>Manchester City</v>
      </c>
      <c r="X21" s="328" t="b">
        <f t="shared" ca="1" si="0"/>
        <v>1</v>
      </c>
      <c r="Y21" s="328" t="str">
        <f t="shared" ca="1" si="1"/>
        <v>Inter Mailand</v>
      </c>
      <c r="Z21" s="328" t="str">
        <f t="shared" ca="1" si="6"/>
        <v>Real Madrid</v>
      </c>
      <c r="AA21" s="328" t="b">
        <f t="shared" ca="1" si="7"/>
        <v>0</v>
      </c>
    </row>
    <row r="22" spans="1:31" ht="24" customHeight="1" thickTop="1" x14ac:dyDescent="0.2">
      <c r="T22" s="532" t="s">
        <v>294</v>
      </c>
      <c r="U22" s="473" t="str">
        <f ca="1">IF(Vorrunde!$N$32="","",Vorrunde!$N$32)</f>
        <v>Borussia Dortmund</v>
      </c>
    </row>
    <row r="23" spans="1:31" ht="24" customHeight="1" thickBot="1" x14ac:dyDescent="0.25">
      <c r="C23" s="346"/>
      <c r="D23" s="346"/>
      <c r="E23" s="346"/>
      <c r="F23" s="346"/>
      <c r="G23" s="346"/>
      <c r="H23" s="346"/>
      <c r="I23" s="347" t="str">
        <f>Sprache!$E$29</f>
        <v>Turnierende:</v>
      </c>
      <c r="J23" s="346"/>
      <c r="K23" s="348">
        <f ca="1">IF(Planung!$R$13="","",$D$21+Planung!$R$7/1440)</f>
        <v>0.72222222222222232</v>
      </c>
      <c r="L23" s="349"/>
      <c r="M23" s="349"/>
      <c r="N23" s="349"/>
      <c r="O23" s="349"/>
      <c r="P23" s="349"/>
      <c r="Q23" s="349"/>
      <c r="R23" s="349"/>
      <c r="T23" s="405" t="s">
        <v>348</v>
      </c>
      <c r="U23" s="474" t="str">
        <f ca="1">IF(Vorrunde!$N$42="","",Vorrunde!$N$42)</f>
        <v>Paris St. Germain</v>
      </c>
    </row>
    <row r="24" spans="1:31" ht="24" customHeight="1" thickTop="1" thickBot="1" x14ac:dyDescent="0.25">
      <c r="D24" s="344"/>
    </row>
    <row r="25" spans="1:31" ht="24" customHeight="1" thickBot="1" x14ac:dyDescent="0.25">
      <c r="F25" s="827" t="str">
        <f>Sprache!$E$119</f>
        <v>Rang</v>
      </c>
      <c r="G25" s="828"/>
      <c r="H25" s="828"/>
      <c r="I25" s="867" t="str">
        <f>"  "&amp;Sprache!$E$10</f>
        <v xml:space="preserve">  Teilnehmer bzw. Mannschaft</v>
      </c>
      <c r="J25" s="867"/>
      <c r="K25" s="868"/>
    </row>
    <row r="26" spans="1:31" ht="24" customHeight="1" thickTop="1" x14ac:dyDescent="0.2">
      <c r="E26" s="345">
        <v>1</v>
      </c>
      <c r="F26" s="829">
        <v>1</v>
      </c>
      <c r="G26" s="830"/>
      <c r="H26" s="830"/>
      <c r="I26" s="853" t="str">
        <f ca="1">$Y21</f>
        <v>Inter Mailand</v>
      </c>
      <c r="J26" s="853"/>
      <c r="K26" s="854"/>
      <c r="Y26" s="575"/>
      <c r="Z26" s="581"/>
    </row>
    <row r="27" spans="1:31" ht="24" customHeight="1" x14ac:dyDescent="0.2">
      <c r="E27" s="345">
        <v>2</v>
      </c>
      <c r="F27" s="831">
        <v>2</v>
      </c>
      <c r="G27" s="832"/>
      <c r="H27" s="832"/>
      <c r="I27" s="855" t="str">
        <f ca="1">$Z21</f>
        <v>Real Madrid</v>
      </c>
      <c r="J27" s="855"/>
      <c r="K27" s="856"/>
      <c r="Y27" s="575"/>
      <c r="Z27" s="581"/>
    </row>
    <row r="28" spans="1:31" ht="24" customHeight="1" x14ac:dyDescent="0.2">
      <c r="E28" s="345">
        <v>3</v>
      </c>
      <c r="F28" s="833">
        <v>3</v>
      </c>
      <c r="G28" s="834"/>
      <c r="H28" s="834"/>
      <c r="I28" s="857" t="str">
        <f ca="1">$Y20</f>
        <v>Borussia Dortmund</v>
      </c>
      <c r="J28" s="857"/>
      <c r="K28" s="858"/>
      <c r="Y28" s="575"/>
      <c r="Z28" s="581"/>
    </row>
    <row r="29" spans="1:31" ht="24" customHeight="1" thickBot="1" x14ac:dyDescent="0.25">
      <c r="E29" s="345">
        <v>4</v>
      </c>
      <c r="F29" s="837">
        <v>4</v>
      </c>
      <c r="G29" s="838"/>
      <c r="H29" s="838"/>
      <c r="I29" s="863" t="str">
        <f ca="1">$Z20</f>
        <v>Manchester City</v>
      </c>
      <c r="J29" s="863"/>
      <c r="K29" s="864"/>
      <c r="Y29" s="575"/>
      <c r="Z29" s="581"/>
    </row>
    <row r="30" spans="1:31" ht="13.5" thickTop="1" x14ac:dyDescent="0.2"/>
    <row r="31" spans="1:31" x14ac:dyDescent="0.2"/>
    <row r="32" spans="1:31" x14ac:dyDescent="0.2"/>
    <row r="33" x14ac:dyDescent="0.2"/>
    <row r="34" x14ac:dyDescent="0.2"/>
  </sheetData>
  <sheetProtection sheet="1" selectLockedCells="1"/>
  <mergeCells count="27">
    <mergeCell ref="H2:U2"/>
    <mergeCell ref="H3:U3"/>
    <mergeCell ref="F20:H20"/>
    <mergeCell ref="F21:H21"/>
    <mergeCell ref="H4:U4"/>
    <mergeCell ref="H5:U5"/>
    <mergeCell ref="R9:R11"/>
    <mergeCell ref="T11:U11"/>
    <mergeCell ref="I11:K11"/>
    <mergeCell ref="L11:N11"/>
    <mergeCell ref="O11:Q11"/>
    <mergeCell ref="F11:H11"/>
    <mergeCell ref="C10:H10"/>
    <mergeCell ref="C16:H16"/>
    <mergeCell ref="C19:H19"/>
    <mergeCell ref="J7:R8"/>
    <mergeCell ref="T18:U18"/>
    <mergeCell ref="F29:H29"/>
    <mergeCell ref="I29:K29"/>
    <mergeCell ref="I25:K25"/>
    <mergeCell ref="I26:K26"/>
    <mergeCell ref="I27:K27"/>
    <mergeCell ref="I28:K28"/>
    <mergeCell ref="F25:H25"/>
    <mergeCell ref="F26:H26"/>
    <mergeCell ref="F27:H27"/>
    <mergeCell ref="F28:H28"/>
  </mergeCells>
  <conditionalFormatting sqref="C12:Q15">
    <cfRule type="expression" dxfId="25" priority="3">
      <formula>OR($I12="",$K12="")</formula>
    </cfRule>
  </conditionalFormatting>
  <conditionalFormatting sqref="O12:Q15 O17:Q18 O20:Q21">
    <cfRule type="expression" dxfId="24" priority="1">
      <formula>NOT($AA12)</formula>
    </cfRule>
    <cfRule type="expression" dxfId="23" priority="2">
      <formula>AND($AA12,$O12&lt;&gt;"",$Q12&lt;&gt;"",$O12=$Q12)</formula>
    </cfRule>
  </conditionalFormatting>
  <pageMargins left="0.7" right="0.7" top="0.78740157499999996" bottom="0.78740157499999996"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C309-B477-46ED-925E-2278F071BB0E}">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Sprache!$E$7</f>
        <v>Direkte Vergleiche</v>
      </c>
      <c r="C2" s="881"/>
      <c r="D2" s="881"/>
      <c r="E2" s="881"/>
      <c r="F2" s="881"/>
      <c r="G2" s="881"/>
      <c r="H2" s="881"/>
      <c r="I2" s="881"/>
      <c r="J2" s="881"/>
      <c r="K2" s="881"/>
      <c r="L2" s="881"/>
      <c r="M2" s="881"/>
    </row>
    <row r="3" spans="2:14" ht="42.75" customHeight="1" x14ac:dyDescent="0.2">
      <c r="B3" s="882" t="str">
        <f>Sprache!$E$56&amp;" A"</f>
        <v>Vorrunde Gruppe A</v>
      </c>
      <c r="C3" s="882"/>
      <c r="D3" s="882"/>
      <c r="E3" s="882"/>
      <c r="F3" s="882"/>
      <c r="G3" s="882"/>
      <c r="H3" s="882"/>
      <c r="I3" s="882"/>
      <c r="J3" s="882"/>
      <c r="K3" s="882"/>
      <c r="L3" s="882"/>
      <c r="M3" s="882"/>
    </row>
    <row r="4" spans="2:14" ht="17.25" customHeight="1" x14ac:dyDescent="0.2">
      <c r="B4" s="883" t="str">
        <f>Sprache!$E$109</f>
        <v>Rote Schrift bedeutet, dass die Rangfolge auch mit dem direkten Vergleich nicht geklärt ist. Fair Play oder Los muss hier entscheiden.</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IF(LEN(H7)&gt;Einstellungen!$C$17,LEFT(H7,Einstellungen!$C$17)&amp;".",H7)</f>
        <v/>
      </c>
      <c r="I6" s="151" t="str">
        <f ca="1">IF(LEN(I7)&gt;Einstellungen!$C$17,LEFT(I7,Einstellungen!$C$17)&amp;".",I7)</f>
        <v/>
      </c>
      <c r="J6" s="151" t="str">
        <f ca="1">IF(LEN(J7)&gt;Einstellungen!$C$17,LEFT(J7,Einstellungen!$C$17)&amp;".",J7)</f>
        <v/>
      </c>
      <c r="K6" s="151" t="str">
        <f ca="1">IF(LEN(K7)&gt;Einstellungen!$C$17,LEFT(K7,Einstellungen!$C$17)&amp;".",K7)</f>
        <v/>
      </c>
      <c r="L6" s="151" t="str">
        <f ca="1">IF(LEN(L7)&gt;Einstellungen!$C$17,LEFT(L7,Einstellungen!$C$17)&amp;".",L7)</f>
        <v/>
      </c>
      <c r="M6" s="152" t="str">
        <f ca="1">IF(LEN(M7)&gt;Einstellungen!$C$17,LEFT(M7,Einstellungen!$C$17)&amp;".",M7)</f>
        <v/>
      </c>
    </row>
    <row r="7" spans="2:14" ht="21.95" customHeight="1" thickTop="1" thickBot="1" x14ac:dyDescent="0.25">
      <c r="B7" s="119"/>
      <c r="C7" s="124" t="str">
        <f>Sprache!$E$10</f>
        <v>Teilnehmer bzw. Mannschaft</v>
      </c>
      <c r="D7" s="128" t="str">
        <f>Sprache!$E$27</f>
        <v>Pkt</v>
      </c>
      <c r="E7" s="116" t="str">
        <f>Sprache!$E$26</f>
        <v>Diff.</v>
      </c>
      <c r="F7" s="116" t="str">
        <f>Sprache!$E$28</f>
        <v>erz. Tore</v>
      </c>
      <c r="G7" s="153" t="str">
        <f>Sprache!$E$49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IF($C8="","",INDEX(Calc1!$E$4:$E$12,MATCH($C8,Calc1!$F$4:$F$12,0)))</f>
        <v/>
      </c>
      <c r="C8" s="125" t="str">
        <f ca="1">IF(Calc1!$K$13=0,"",Calc1!$X4)</f>
        <v/>
      </c>
      <c r="D8" s="129" t="str">
        <f ca="1">IF($C8="","",VLOOKUP($C8,Calc1!$C$17:$AC$25,25,0))</f>
        <v/>
      </c>
      <c r="E8" s="113" t="str">
        <f ca="1">IF($C8="","",VLOOKUP($C8,Calc1!$C$17:$AC$25,26,0))</f>
        <v/>
      </c>
      <c r="F8" s="113" t="str">
        <f ca="1">IF($C8="","",VLOOKUP($C8,Calc1!$C$17:$AC$25,27,0))</f>
        <v/>
      </c>
      <c r="G8" s="154" t="str">
        <f ca="1">IF($C8="","",VLOOKUP($C8,Vorrunde!$AH$12:$AI$47,2,0))</f>
        <v/>
      </c>
      <c r="H8" s="137"/>
      <c r="I8" s="113" t="str">
        <f ca="1">IFERROR(VLOOKUP($C8&amp;I$7,Calc1!$Z$64:$AB$207,3,0),"")</f>
        <v/>
      </c>
      <c r="J8" s="113" t="str">
        <f ca="1">IFERROR(VLOOKUP($C8&amp;J$7,Calc1!$Z$64:$AB$207,3,0),"")</f>
        <v/>
      </c>
      <c r="K8" s="113" t="str">
        <f ca="1">IFERROR(VLOOKUP($C8&amp;K$7,Calc1!$Z$64:$AB$207,3,0),"")</f>
        <v/>
      </c>
      <c r="L8" s="113" t="str">
        <f ca="1">IFERROR(VLOOKUP($C8&amp;L$7,Calc1!$Z$64:$AB$207,3,0),"")</f>
        <v/>
      </c>
      <c r="M8" s="158" t="str">
        <f ca="1">IFERROR(VLOOKUP($C8&amp;M$7,Calc1!$Z$64:$AB$207,3,0),"")</f>
        <v/>
      </c>
      <c r="N8" s="186" t="str">
        <f t="shared" ref="N8:N13" ca="1" si="0">C8</f>
        <v/>
      </c>
    </row>
    <row r="9" spans="2:14" ht="21.95" customHeight="1" x14ac:dyDescent="0.2">
      <c r="B9" s="117" t="str">
        <f ca="1">IF($C9="","",INDEX(Calc1!$E$4:$E$12,MATCH($C9,Calc1!$F$4:$F$12,0)))</f>
        <v/>
      </c>
      <c r="C9" s="126" t="str">
        <f ca="1">IF(Calc1!$K$13=0,"",Calc1!$X5)</f>
        <v/>
      </c>
      <c r="D9" s="130" t="str">
        <f ca="1">IF($C9="","",VLOOKUP($C9,Calc1!$C$17:$AC$25,25,0))</f>
        <v/>
      </c>
      <c r="E9" s="114" t="str">
        <f ca="1">IF($C9="","",VLOOKUP($C9,Calc1!$C$17:$AC$25,26,0))</f>
        <v/>
      </c>
      <c r="F9" s="114" t="str">
        <f ca="1">IF($C9="","",VLOOKUP($C9,Calc1!$C$17:$AC$25,27,0))</f>
        <v/>
      </c>
      <c r="G9" s="155" t="str">
        <f ca="1">IF($C9="","",VLOOKUP($C9,Vorrunde!$AH$12:$AI$47,2,0))</f>
        <v/>
      </c>
      <c r="H9" s="138" t="str">
        <f ca="1">IFERROR(VLOOKUP($C9&amp;H$7,Calc1!$Z$64:$AB$207,3,0),"")</f>
        <v/>
      </c>
      <c r="I9" s="123"/>
      <c r="J9" s="114" t="str">
        <f ca="1">IFERROR(VLOOKUP($C9&amp;J$7,Calc1!$Z$64:$AB$207,3,0),"")</f>
        <v/>
      </c>
      <c r="K9" s="114" t="str">
        <f ca="1">IFERROR(VLOOKUP($C9&amp;K$7,Calc1!$Z$64:$AB$207,3,0),"")</f>
        <v/>
      </c>
      <c r="L9" s="114" t="str">
        <f ca="1">IFERROR(VLOOKUP($C9&amp;L$7,Calc1!$Z$64:$AB$207,3,0),"")</f>
        <v/>
      </c>
      <c r="M9" s="159" t="str">
        <f ca="1">IFERROR(VLOOKUP($C9&amp;M$7,Calc1!$Z$64:$AB$207,3,0),"")</f>
        <v/>
      </c>
      <c r="N9" s="187" t="str">
        <f t="shared" ca="1" si="0"/>
        <v/>
      </c>
    </row>
    <row r="10" spans="2:14" ht="21.95" customHeight="1" x14ac:dyDescent="0.2">
      <c r="B10" s="117" t="str">
        <f ca="1">IF($C10="","",INDEX(Calc1!$E$4:$E$12,MATCH($C10,Calc1!$F$4:$F$12,0)))</f>
        <v/>
      </c>
      <c r="C10" s="126" t="str">
        <f ca="1">IF(Calc1!$K$13=0,"",Calc1!$X6)</f>
        <v/>
      </c>
      <c r="D10" s="130" t="str">
        <f ca="1">IF($C10="","",VLOOKUP($C10,Calc1!$C$17:$AC$25,25,0))</f>
        <v/>
      </c>
      <c r="E10" s="114" t="str">
        <f ca="1">IF($C10="","",VLOOKUP($C10,Calc1!$C$17:$AC$25,26,0))</f>
        <v/>
      </c>
      <c r="F10" s="114" t="str">
        <f ca="1">IF($C10="","",VLOOKUP($C10,Calc1!$C$17:$AC$25,27,0))</f>
        <v/>
      </c>
      <c r="G10" s="155" t="str">
        <f ca="1">IF($C10="","",VLOOKUP($C10,Vorrunde!$AH$12:$AI$47,2,0))</f>
        <v/>
      </c>
      <c r="H10" s="138" t="str">
        <f ca="1">IFERROR(VLOOKUP($C10&amp;H$7,Calc1!$Z$64:$AB$207,3,0),"")</f>
        <v/>
      </c>
      <c r="I10" s="114" t="str">
        <f ca="1">IFERROR(VLOOKUP($C10&amp;I$7,Calc1!$Z$64:$AB$207,3,0),"")</f>
        <v/>
      </c>
      <c r="J10" s="123"/>
      <c r="K10" s="114" t="str">
        <f ca="1">IFERROR(VLOOKUP($C10&amp;K$7,Calc1!$Z$64:$AB$207,3,0),"")</f>
        <v/>
      </c>
      <c r="L10" s="114" t="str">
        <f ca="1">IFERROR(VLOOKUP($C10&amp;L$7,Calc1!$Z$64:$AB$207,3,0),"")</f>
        <v/>
      </c>
      <c r="M10" s="159" t="str">
        <f ca="1">IFERROR(VLOOKUP($C10&amp;M$7,Calc1!$Z$64:$AB$207,3,0),"")</f>
        <v/>
      </c>
      <c r="N10" s="187" t="str">
        <f t="shared" ca="1" si="0"/>
        <v/>
      </c>
    </row>
    <row r="11" spans="2:14" ht="21.95" customHeight="1" x14ac:dyDescent="0.2">
      <c r="B11" s="117" t="str">
        <f ca="1">IF($C11="","",INDEX(Calc1!$E$4:$E$12,MATCH($C11,Calc1!$F$4:$F$12,0)))</f>
        <v/>
      </c>
      <c r="C11" s="126" t="str">
        <f ca="1">IF(Calc1!$K$13=0,"",Calc1!$X7)</f>
        <v/>
      </c>
      <c r="D11" s="130" t="str">
        <f ca="1">IF($C11="","",VLOOKUP($C11,Calc1!$C$17:$AC$25,25,0))</f>
        <v/>
      </c>
      <c r="E11" s="114" t="str">
        <f ca="1">IF($C11="","",VLOOKUP($C11,Calc1!$C$17:$AC$25,26,0))</f>
        <v/>
      </c>
      <c r="F11" s="114" t="str">
        <f ca="1">IF($C11="","",VLOOKUP($C11,Calc1!$C$17:$AC$25,27,0))</f>
        <v/>
      </c>
      <c r="G11" s="155" t="str">
        <f ca="1">IF($C11="","",VLOOKUP($C11,Vorrunde!$AH$12:$AI$47,2,0))</f>
        <v/>
      </c>
      <c r="H11" s="138" t="str">
        <f ca="1">IFERROR(VLOOKUP($C11&amp;H$7,Calc1!$Z$64:$AB$207,3,0),"")</f>
        <v/>
      </c>
      <c r="I11" s="114" t="str">
        <f ca="1">IFERROR(VLOOKUP($C11&amp;I$7,Calc1!$Z$64:$AB$207,3,0),"")</f>
        <v/>
      </c>
      <c r="J11" s="114" t="str">
        <f ca="1">IFERROR(VLOOKUP($C11&amp;J$7,Calc1!$Z$64:$AB$207,3,0),"")</f>
        <v/>
      </c>
      <c r="K11" s="123"/>
      <c r="L11" s="114" t="str">
        <f ca="1">IFERROR(VLOOKUP($C11&amp;L$7,Calc1!$Z$64:$AB$207,3,0),"")</f>
        <v/>
      </c>
      <c r="M11" s="159" t="str">
        <f ca="1">IFERROR(VLOOKUP($C11&amp;M$7,Calc1!$Z$64:$AB$207,3,0),"")</f>
        <v/>
      </c>
      <c r="N11" s="187" t="str">
        <f t="shared" ca="1" si="0"/>
        <v/>
      </c>
    </row>
    <row r="12" spans="2:14" ht="21.95" customHeight="1" x14ac:dyDescent="0.2">
      <c r="B12" s="117" t="str">
        <f ca="1">IF($C12="","",INDEX(Calc1!$E$4:$E$12,MATCH($C12,Calc1!$F$4:$F$12,0)))</f>
        <v/>
      </c>
      <c r="C12" s="126" t="str">
        <f ca="1">IF(Calc1!$K$13=0,"",Calc1!$X8)</f>
        <v/>
      </c>
      <c r="D12" s="130" t="str">
        <f ca="1">IF($C12="","",VLOOKUP($C12,Calc1!$C$17:$AC$25,25,0))</f>
        <v/>
      </c>
      <c r="E12" s="114" t="str">
        <f ca="1">IF($C12="","",VLOOKUP($C12,Calc1!$C$17:$AC$25,26,0))</f>
        <v/>
      </c>
      <c r="F12" s="114" t="str">
        <f ca="1">IF($C12="","",VLOOKUP($C12,Calc1!$C$17:$AC$25,27,0))</f>
        <v/>
      </c>
      <c r="G12" s="155" t="str">
        <f ca="1">IF($C12="","",VLOOKUP($C12,Vorrunde!$AH$12:$AI$47,2,0))</f>
        <v/>
      </c>
      <c r="H12" s="138" t="str">
        <f ca="1">IFERROR(VLOOKUP($C12&amp;H$7,Calc1!$Z$64:$AB$207,3,0),"")</f>
        <v/>
      </c>
      <c r="I12" s="114" t="str">
        <f ca="1">IFERROR(VLOOKUP($C12&amp;I$7,Calc1!$Z$64:$AB$207,3,0),"")</f>
        <v/>
      </c>
      <c r="J12" s="114" t="str">
        <f ca="1">IFERROR(VLOOKUP($C12&amp;J$7,Calc1!$Z$64:$AB$207,3,0),"")</f>
        <v/>
      </c>
      <c r="K12" s="114" t="str">
        <f ca="1">IFERROR(VLOOKUP($C12&amp;K$7,Calc1!$Z$64:$AB$207,3,0),"")</f>
        <v/>
      </c>
      <c r="L12" s="123"/>
      <c r="M12" s="159" t="str">
        <f ca="1">IFERROR(VLOOKUP($C12&amp;M$7,Calc1!$Z$64:$AB$207,3,0),"")</f>
        <v/>
      </c>
      <c r="N12" s="187" t="str">
        <f t="shared" ca="1" si="0"/>
        <v/>
      </c>
    </row>
    <row r="13" spans="2:14" ht="21.95" customHeight="1" thickBot="1" x14ac:dyDescent="0.25">
      <c r="B13" s="118" t="str">
        <f ca="1">IF($C13="","",INDEX(Calc1!$E$4:$E$12,MATCH($C13,Calc1!$F$4:$F$12,0)))</f>
        <v/>
      </c>
      <c r="C13" s="127" t="str">
        <f ca="1">IF(Calc1!$K$13=0,"",Calc1!$X9)</f>
        <v/>
      </c>
      <c r="D13" s="131" t="str">
        <f ca="1">IF($C13="","",VLOOKUP($C13,Calc1!$C$17:$AC$25,25,0))</f>
        <v/>
      </c>
      <c r="E13" s="115" t="str">
        <f ca="1">IF($C13="","",VLOOKUP($C13,Calc1!$C$17:$AC$25,26,0))</f>
        <v/>
      </c>
      <c r="F13" s="115" t="str">
        <f ca="1">IF($C13="","",VLOOKUP($C13,Calc1!$C$17:$AC$25,27,0))</f>
        <v/>
      </c>
      <c r="G13" s="156" t="str">
        <f ca="1">IF($C13="","",VLOOKUP($C13,Vorrunde!$AH$12:$AI$47,2,0))</f>
        <v/>
      </c>
      <c r="H13" s="139" t="str">
        <f ca="1">IFERROR(VLOOKUP($C13&amp;H$7,Calc1!$Z$64:$AB$207,3,0),"")</f>
        <v/>
      </c>
      <c r="I13" s="115" t="str">
        <f ca="1">IFERROR(VLOOKUP($C13&amp;I$7,Calc1!$Z$64:$AB$207,3,0),"")</f>
        <v/>
      </c>
      <c r="J13" s="115" t="str">
        <f ca="1">IFERROR(VLOOKUP($C13&amp;J$7,Calc1!$Z$64:$AB$207,3,0),"")</f>
        <v/>
      </c>
      <c r="K13" s="115" t="str">
        <f ca="1">IFERROR(VLOOKUP($C13&amp;K$7,Calc1!$Z$64:$AB$207,3,0),"")</f>
        <v/>
      </c>
      <c r="L13" s="115" t="str">
        <f ca="1">IFERROR(VLOOKUP($C13&amp;L$7,Calc1!$Z$64:$AB$207,3,0),"")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IF(LEN(H16)&gt;Einstellungen!$C$17,LEFT(H16,Einstellungen!$C$17)&amp;".",H16)</f>
        <v/>
      </c>
      <c r="I15" s="151" t="str">
        <f ca="1">IF(LEN(I16)&gt;Einstellungen!$C$17,LEFT(I16,Einstellungen!$C$17)&amp;".",I16)</f>
        <v/>
      </c>
      <c r="J15" s="151" t="str">
        <f ca="1">IF(LEN(J16)&gt;Einstellungen!$C$17,LEFT(J16,Einstellungen!$C$17)&amp;".",J16)</f>
        <v/>
      </c>
      <c r="K15" s="151" t="str">
        <f ca="1">IF(LEN(K16)&gt;Einstellungen!$C$17,LEFT(K16,Einstellungen!$C$17)&amp;".",K16)</f>
        <v/>
      </c>
      <c r="L15" s="151" t="str">
        <f ca="1">IF(LEN(L16)&gt;Einstellungen!$C$17,LEFT(L16,Einstellungen!$C$17)&amp;".",L16)</f>
        <v/>
      </c>
      <c r="M15" s="152" t="str">
        <f ca="1">IF(LEN(M16)&gt;Einstellungen!$C$17,LEFT(M16,Einstellungen!$C$17)&amp;".",M16)</f>
        <v/>
      </c>
    </row>
    <row r="16" spans="2:14" ht="21.95" customHeight="1" thickTop="1" thickBot="1" x14ac:dyDescent="0.25">
      <c r="B16" s="119"/>
      <c r="C16" s="124" t="str">
        <f>Sprache!$E$10</f>
        <v>Teilnehmer bzw. Mannschaft</v>
      </c>
      <c r="D16" s="128" t="str">
        <f>Sprache!$E$27</f>
        <v>Pkt</v>
      </c>
      <c r="E16" s="116" t="str">
        <f>Sprache!$E$26</f>
        <v>Diff.</v>
      </c>
      <c r="F16" s="116" t="str">
        <f>Sprache!$E$28</f>
        <v>erz. Tore</v>
      </c>
      <c r="G16" s="153" t="str">
        <f>Sprache!$E$49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IF($C17="","",INDEX(Calc1!$E$4:$E$12,MATCH($C17,Calc1!$F$4:$F$12,0)))</f>
        <v/>
      </c>
      <c r="C17" s="125" t="str">
        <f ca="1">IF(Calc1!$K$13=0,"",Calc1!$AC4)</f>
        <v/>
      </c>
      <c r="D17" s="129" t="str">
        <f ca="1">IF($C17="","",VLOOKUP($C17,Calc1!$C$17:$AC$25,25,0))</f>
        <v/>
      </c>
      <c r="E17" s="113" t="str">
        <f ca="1">IF($C17="","",VLOOKUP($C17,Calc1!$C$17:$AC$25,26,0))</f>
        <v/>
      </c>
      <c r="F17" s="113" t="str">
        <f ca="1">IF($C17="","",VLOOKUP($C17,Calc1!$C$17:$AC$25,27,0))</f>
        <v/>
      </c>
      <c r="G17" s="154" t="str">
        <f ca="1">IF($C17="","",VLOOKUP($C17,Vorrunde!$AH$12:$AI$47,2,0))</f>
        <v/>
      </c>
      <c r="H17" s="137"/>
      <c r="I17" s="113" t="str">
        <f ca="1">IFERROR(VLOOKUP($C17&amp;I$16,Calc1!$Z$64:$AB$207,3,0),"")</f>
        <v/>
      </c>
      <c r="J17" s="113" t="str">
        <f ca="1">IFERROR(VLOOKUP($C17&amp;J$16,Calc1!$Z$64:$AB$207,3,0),"")</f>
        <v/>
      </c>
      <c r="K17" s="113" t="str">
        <f ca="1">IFERROR(VLOOKUP($C17&amp;K$16,Calc1!$Z$64:$AB$207,3,0),"")</f>
        <v/>
      </c>
      <c r="L17" s="113" t="str">
        <f ca="1">IFERROR(VLOOKUP($C17&amp;L$16,Calc1!$Z$64:$AB$207,3,0),"")</f>
        <v/>
      </c>
      <c r="M17" s="158" t="str">
        <f ca="1">IFERROR(VLOOKUP($C17&amp;M$16,Calc1!$Z$64:$AB$207,3,0),"")</f>
        <v/>
      </c>
      <c r="N17" s="186" t="str">
        <f t="shared" ref="N17:N22" ca="1" si="1">C17</f>
        <v/>
      </c>
    </row>
    <row r="18" spans="2:14" ht="21.95" customHeight="1" x14ac:dyDescent="0.2">
      <c r="B18" s="117" t="str">
        <f ca="1">IF($C18="","",INDEX(Calc1!$E$4:$E$12,MATCH($C18,Calc1!$F$4:$F$12,0)))</f>
        <v/>
      </c>
      <c r="C18" s="126" t="str">
        <f ca="1">IF(Calc1!$K$13=0,"",Calc1!$AC5)</f>
        <v/>
      </c>
      <c r="D18" s="130" t="str">
        <f ca="1">IF($C18="","",VLOOKUP($C18,Calc1!$C$17:$AC$25,25,0))</f>
        <v/>
      </c>
      <c r="E18" s="114" t="str">
        <f ca="1">IF($C18="","",VLOOKUP($C18,Calc1!$C$17:$AC$25,26,0))</f>
        <v/>
      </c>
      <c r="F18" s="114" t="str">
        <f ca="1">IF($C18="","",VLOOKUP($C18,Calc1!$C$17:$AC$25,27,0))</f>
        <v/>
      </c>
      <c r="G18" s="155" t="str">
        <f ca="1">IF($C18="","",VLOOKUP($C18,Vorrunde!$AH$12:$AI$47,2,0))</f>
        <v/>
      </c>
      <c r="H18" s="138" t="str">
        <f ca="1">IFERROR(VLOOKUP($C18&amp;H$16,Calc1!$Z$64:$AB$207,3,0),"")</f>
        <v/>
      </c>
      <c r="I18" s="123"/>
      <c r="J18" s="114" t="str">
        <f ca="1">IFERROR(VLOOKUP($C18&amp;J$16,Calc1!$Z$64:$AB$207,3,0),"")</f>
        <v/>
      </c>
      <c r="K18" s="114" t="str">
        <f ca="1">IFERROR(VLOOKUP($C18&amp;K$16,Calc1!$Z$64:$AB$207,3,0),"")</f>
        <v/>
      </c>
      <c r="L18" s="114" t="str">
        <f ca="1">IFERROR(VLOOKUP($C18&amp;L$16,Calc1!$Z$64:$AB$207,3,0),"")</f>
        <v/>
      </c>
      <c r="M18" s="159" t="str">
        <f ca="1">IFERROR(VLOOKUP($C18&amp;M$16,Calc1!$Z$64:$AB$207,3,0),"")</f>
        <v/>
      </c>
      <c r="N18" s="187" t="str">
        <f t="shared" ca="1" si="1"/>
        <v/>
      </c>
    </row>
    <row r="19" spans="2:14" ht="21.95" customHeight="1" x14ac:dyDescent="0.2">
      <c r="B19" s="117" t="str">
        <f ca="1">IF($C19="","",INDEX(Calc1!$E$4:$E$12,MATCH($C19,Calc1!$F$4:$F$12,0)))</f>
        <v/>
      </c>
      <c r="C19" s="126" t="str">
        <f ca="1">IF(Calc1!$K$13=0,"",Calc1!$AC6)</f>
        <v/>
      </c>
      <c r="D19" s="130" t="str">
        <f ca="1">IF($C19="","",VLOOKUP($C19,Calc1!$C$17:$AC$25,25,0))</f>
        <v/>
      </c>
      <c r="E19" s="114" t="str">
        <f ca="1">IF($C19="","",VLOOKUP($C19,Calc1!$C$17:$AC$25,26,0))</f>
        <v/>
      </c>
      <c r="F19" s="114" t="str">
        <f ca="1">IF($C19="","",VLOOKUP($C19,Calc1!$C$17:$AC$25,27,0))</f>
        <v/>
      </c>
      <c r="G19" s="155" t="str">
        <f ca="1">IF($C19="","",VLOOKUP($C19,Vorrunde!$AH$12:$AI$47,2,0))</f>
        <v/>
      </c>
      <c r="H19" s="138" t="str">
        <f ca="1">IFERROR(VLOOKUP($C19&amp;H$16,Calc1!$Z$64:$AB$207,3,0),"")</f>
        <v/>
      </c>
      <c r="I19" s="114" t="str">
        <f ca="1">IFERROR(VLOOKUP($C19&amp;I$16,Calc1!$Z$64:$AB$207,3,0),"")</f>
        <v/>
      </c>
      <c r="J19" s="123"/>
      <c r="K19" s="114" t="str">
        <f ca="1">IFERROR(VLOOKUP($C19&amp;K$16,Calc1!$Z$64:$AB$207,3,0),"")</f>
        <v/>
      </c>
      <c r="L19" s="114" t="str">
        <f ca="1">IFERROR(VLOOKUP($C19&amp;L$16,Calc1!$Z$64:$AB$207,3,0),"")</f>
        <v/>
      </c>
      <c r="M19" s="159" t="str">
        <f ca="1">IFERROR(VLOOKUP($C19&amp;M$16,Calc1!$Z$64:$AB$207,3,0),"")</f>
        <v/>
      </c>
      <c r="N19" s="187" t="str">
        <f t="shared" ca="1" si="1"/>
        <v/>
      </c>
    </row>
    <row r="20" spans="2:14" ht="21.95" customHeight="1" x14ac:dyDescent="0.2">
      <c r="B20" s="117" t="str">
        <f ca="1">IF($C20="","",INDEX(Calc1!$E$4:$E$12,MATCH($C20,Calc1!$F$4:$F$12,0)))</f>
        <v/>
      </c>
      <c r="C20" s="126" t="str">
        <f ca="1">IF(Calc1!$K$13=0,"",Calc1!$AC7)</f>
        <v/>
      </c>
      <c r="D20" s="130" t="str">
        <f ca="1">IF($C20="","",VLOOKUP($C20,Calc1!$C$17:$AC$25,25,0))</f>
        <v/>
      </c>
      <c r="E20" s="114" t="str">
        <f ca="1">IF($C20="","",VLOOKUP($C20,Calc1!$C$17:$AC$25,26,0))</f>
        <v/>
      </c>
      <c r="F20" s="114" t="str">
        <f ca="1">IF($C20="","",VLOOKUP($C20,Calc1!$C$17:$AC$25,27,0))</f>
        <v/>
      </c>
      <c r="G20" s="155" t="str">
        <f ca="1">IF($C20="","",VLOOKUP($C20,Vorrunde!$AH$12:$AI$47,2,0))</f>
        <v/>
      </c>
      <c r="H20" s="138" t="str">
        <f ca="1">IFERROR(VLOOKUP($C20&amp;H$16,Calc1!$Z$64:$AB$207,3,0),"")</f>
        <v/>
      </c>
      <c r="I20" s="114" t="str">
        <f ca="1">IFERROR(VLOOKUP($C20&amp;I$16,Calc1!$Z$64:$AB$207,3,0),"")</f>
        <v/>
      </c>
      <c r="J20" s="114" t="str">
        <f ca="1">IFERROR(VLOOKUP($C20&amp;J$16,Calc1!$Z$64:$AB$207,3,0),"")</f>
        <v/>
      </c>
      <c r="K20" s="123"/>
      <c r="L20" s="114" t="str">
        <f ca="1">IFERROR(VLOOKUP($C20&amp;L$16,Calc1!$Z$64:$AB$207,3,0),"")</f>
        <v/>
      </c>
      <c r="M20" s="159" t="str">
        <f ca="1">IFERROR(VLOOKUP($C20&amp;M$16,Calc1!$Z$64:$AB$207,3,0),"")</f>
        <v/>
      </c>
      <c r="N20" s="187" t="str">
        <f t="shared" ca="1" si="1"/>
        <v/>
      </c>
    </row>
    <row r="21" spans="2:14" ht="21.95" customHeight="1" x14ac:dyDescent="0.2">
      <c r="B21" s="117" t="str">
        <f ca="1">IF($C21="","",INDEX(Calc1!$E$4:$E$12,MATCH($C21,Calc1!$F$4:$F$12,0)))</f>
        <v/>
      </c>
      <c r="C21" s="126" t="str">
        <f ca="1">IF(Calc1!$K$13=0,"",Calc1!$AC8)</f>
        <v/>
      </c>
      <c r="D21" s="130" t="str">
        <f ca="1">IF($C21="","",VLOOKUP($C21,Calc1!$C$17:$AC$25,25,0))</f>
        <v/>
      </c>
      <c r="E21" s="114" t="str">
        <f ca="1">IF($C21="","",VLOOKUP($C21,Calc1!$C$17:$AC$25,26,0))</f>
        <v/>
      </c>
      <c r="F21" s="114" t="str">
        <f ca="1">IF($C21="","",VLOOKUP($C21,Calc1!$C$17:$AC$25,27,0))</f>
        <v/>
      </c>
      <c r="G21" s="155" t="str">
        <f ca="1">IF($C21="","",VLOOKUP($C21,Vorrunde!$AH$12:$AI$47,2,0))</f>
        <v/>
      </c>
      <c r="H21" s="138" t="str">
        <f ca="1">IFERROR(VLOOKUP($C21&amp;H$16,Calc1!$Z$64:$AB$207,3,0),"")</f>
        <v/>
      </c>
      <c r="I21" s="114" t="str">
        <f ca="1">IFERROR(VLOOKUP($C21&amp;I$16,Calc1!$Z$64:$AB$207,3,0),"")</f>
        <v/>
      </c>
      <c r="J21" s="114" t="str">
        <f ca="1">IFERROR(VLOOKUP($C21&amp;J$16,Calc1!$Z$64:$AB$207,3,0),"")</f>
        <v/>
      </c>
      <c r="K21" s="114" t="str">
        <f ca="1">IFERROR(VLOOKUP($C21&amp;K$16,Calc1!$Z$64:$AB$207,3,0),"")</f>
        <v/>
      </c>
      <c r="L21" s="123"/>
      <c r="M21" s="159" t="str">
        <f ca="1">IFERROR(VLOOKUP($C21&amp;M$16,Calc1!$Z$64:$AB$207,3,0),"")</f>
        <v/>
      </c>
      <c r="N21" s="187" t="str">
        <f t="shared" ca="1" si="1"/>
        <v/>
      </c>
    </row>
    <row r="22" spans="2:14" ht="21.95" customHeight="1" thickBot="1" x14ac:dyDescent="0.25">
      <c r="B22" s="118" t="str">
        <f ca="1">IF($C22="","",INDEX(Calc1!$E$4:$E$12,MATCH($C22,Calc1!$F$4:$F$12,0)))</f>
        <v/>
      </c>
      <c r="C22" s="127" t="str">
        <f ca="1">IF(Calc1!$K$13=0,"",Calc1!$AC9)</f>
        <v/>
      </c>
      <c r="D22" s="131" t="str">
        <f ca="1">IF($C22="","",VLOOKUP($C22,Calc1!$C$17:$AC$25,25,0))</f>
        <v/>
      </c>
      <c r="E22" s="115" t="str">
        <f ca="1">IF($C22="","",VLOOKUP($C22,Calc1!$C$17:$AC$25,26,0))</f>
        <v/>
      </c>
      <c r="F22" s="115" t="str">
        <f ca="1">IF($C22="","",VLOOKUP($C22,Calc1!$C$17:$AC$25,27,0))</f>
        <v/>
      </c>
      <c r="G22" s="156" t="str">
        <f ca="1">IF($C22="","",VLOOKUP($C22,Vorrunde!$AH$12:$AI$47,2,0))</f>
        <v/>
      </c>
      <c r="H22" s="139" t="str">
        <f ca="1">IFERROR(VLOOKUP($C22&amp;H$16,Calc1!$Z$64:$AB$207,3,0),"")</f>
        <v/>
      </c>
      <c r="I22" s="115" t="str">
        <f ca="1">IFERROR(VLOOKUP($C22&amp;I$16,Calc1!$Z$64:$AB$207,3,0),"")</f>
        <v/>
      </c>
      <c r="J22" s="115" t="str">
        <f ca="1">IFERROR(VLOOKUP($C22&amp;J$16,Calc1!$Z$64:$AB$207,3,0),"")</f>
        <v/>
      </c>
      <c r="K22" s="115" t="str">
        <f ca="1">IFERROR(VLOOKUP($C22&amp;K$16,Calc1!$Z$64:$AB$207,3,0),"")</f>
        <v/>
      </c>
      <c r="L22" s="115" t="str">
        <f ca="1">IFERROR(VLOOKUP($C22&amp;L$16,Calc1!$Z$64:$AB$207,3,0),"")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IF(LEN(H25)&gt;Einstellungen!$C$17,LEFT(H25,Einstellungen!$C$17)&amp;".",H25)</f>
        <v/>
      </c>
      <c r="I24" s="151" t="str">
        <f ca="1">IF(LEN(I25)&gt;Einstellungen!$C$17,LEFT(I25,Einstellungen!$C$17)&amp;".",I25)</f>
        <v/>
      </c>
      <c r="J24" s="151" t="str">
        <f ca="1">IF(LEN(J25)&gt;Einstellungen!$C$17,LEFT(J25,Einstellungen!$C$17)&amp;".",J25)</f>
        <v/>
      </c>
      <c r="K24" s="151" t="str">
        <f ca="1">IF(LEN(K25)&gt;Einstellungen!$C$17,LEFT(K25,Einstellungen!$C$17)&amp;".",K25)</f>
        <v/>
      </c>
      <c r="L24" s="151" t="str">
        <f ca="1">IF(LEN(L25)&gt;Einstellungen!$C$17,LEFT(L25,Einstellungen!$C$17)&amp;".",L25)</f>
        <v/>
      </c>
      <c r="M24" s="152" t="str">
        <f ca="1">IF(LEN(M25)&gt;Einstellungen!$C$17,LEFT(M25,Einstellungen!$C$17)&amp;".",M25)</f>
        <v/>
      </c>
    </row>
    <row r="25" spans="2:14" ht="21.95" customHeight="1" thickTop="1" thickBot="1" x14ac:dyDescent="0.25">
      <c r="B25" s="119"/>
      <c r="C25" s="124" t="str">
        <f>Sprache!$E$10</f>
        <v>Teilnehmer bzw. Mannschaft</v>
      </c>
      <c r="D25" s="128" t="str">
        <f>Sprache!$E$27</f>
        <v>Pkt</v>
      </c>
      <c r="E25" s="116" t="str">
        <f>Sprache!$E$26</f>
        <v>Diff.</v>
      </c>
      <c r="F25" s="116" t="str">
        <f>Sprache!$E$28</f>
        <v>erz. Tore</v>
      </c>
      <c r="G25" s="153" t="str">
        <f>Sprache!$E$49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IF($C26="","",INDEX(Calc1!$E$4:$E$12,MATCH($C26,Calc1!$F$4:$F$12,0)))</f>
        <v/>
      </c>
      <c r="C26" s="125" t="str">
        <f ca="1">IF(Calc1!$K$13=0,"",Calc1!$AH4)</f>
        <v/>
      </c>
      <c r="D26" s="129" t="str">
        <f ca="1">IF($C26="","",VLOOKUP($C26,Calc1!$C$17:$AC$25,25,0))</f>
        <v/>
      </c>
      <c r="E26" s="113" t="str">
        <f ca="1">IF($C26="","",VLOOKUP($C26,Calc1!$C$17:$AC$25,26,0))</f>
        <v/>
      </c>
      <c r="F26" s="113" t="str">
        <f ca="1">IF($C26="","",VLOOKUP($C26,Calc1!$C$17:$AC$25,27,0))</f>
        <v/>
      </c>
      <c r="G26" s="154" t="str">
        <f ca="1">IF($C26="","",VLOOKUP($C26,Vorrunde!$AH$12:$AI$47,2,0))</f>
        <v/>
      </c>
      <c r="H26" s="137"/>
      <c r="I26" s="113" t="str">
        <f ca="1">IFERROR(VLOOKUP($C26&amp;I$25,Calc1!$Z$64:$AB$207,3,0),"")</f>
        <v/>
      </c>
      <c r="J26" s="113" t="str">
        <f ca="1">IFERROR(VLOOKUP($C26&amp;J$25,Calc1!$Z$64:$AB$207,3,0),"")</f>
        <v/>
      </c>
      <c r="K26" s="113" t="str">
        <f ca="1">IFERROR(VLOOKUP($C26&amp;K$25,Calc1!$Z$64:$AB$207,3,0),"")</f>
        <v/>
      </c>
      <c r="L26" s="113" t="str">
        <f ca="1">IFERROR(VLOOKUP($C26&amp;L$25,Calc1!$Z$64:$AB$207,3,0),"")</f>
        <v/>
      </c>
      <c r="M26" s="158" t="str">
        <f ca="1">IFERROR(VLOOKUP($C26&amp;M$25,Calc1!$Z$64:$AB$207,3,0),"")</f>
        <v/>
      </c>
      <c r="N26" s="186" t="str">
        <f t="shared" ref="N26:N31" ca="1" si="2">C26</f>
        <v/>
      </c>
    </row>
    <row r="27" spans="2:14" ht="21.95" customHeight="1" x14ac:dyDescent="0.2">
      <c r="B27" s="117" t="str">
        <f ca="1">IF($C27="","",INDEX(Calc1!$E$4:$E$12,MATCH($C27,Calc1!$F$4:$F$12,0)))</f>
        <v/>
      </c>
      <c r="C27" s="126" t="str">
        <f ca="1">IF(Calc1!$K$13=0,"",Calc1!$AH5)</f>
        <v/>
      </c>
      <c r="D27" s="130" t="str">
        <f ca="1">IF($C27="","",VLOOKUP($C27,Calc1!$C$17:$AC$25,25,0))</f>
        <v/>
      </c>
      <c r="E27" s="114" t="str">
        <f ca="1">IF($C27="","",VLOOKUP($C27,Calc1!$C$17:$AC$25,26,0))</f>
        <v/>
      </c>
      <c r="F27" s="114" t="str">
        <f ca="1">IF($C27="","",VLOOKUP($C27,Calc1!$C$17:$AC$25,27,0))</f>
        <v/>
      </c>
      <c r="G27" s="155" t="str">
        <f ca="1">IF($C27="","",VLOOKUP($C27,Vorrunde!$AH$12:$AI$47,2,0))</f>
        <v/>
      </c>
      <c r="H27" s="138" t="str">
        <f ca="1">IFERROR(VLOOKUP($C27&amp;H$25,Calc1!$Z$64:$AB$207,3,0),"")</f>
        <v/>
      </c>
      <c r="I27" s="123"/>
      <c r="J27" s="114" t="str">
        <f ca="1">IFERROR(VLOOKUP($C27&amp;J$25,Calc1!$Z$64:$AB$207,3,0),"")</f>
        <v/>
      </c>
      <c r="K27" s="114" t="str">
        <f ca="1">IFERROR(VLOOKUP($C27&amp;K$25,Calc1!$Z$64:$AB$207,3,0),"")</f>
        <v/>
      </c>
      <c r="L27" s="114" t="str">
        <f ca="1">IFERROR(VLOOKUP($C27&amp;L$25,Calc1!$Z$64:$AB$207,3,0),"")</f>
        <v/>
      </c>
      <c r="M27" s="159" t="str">
        <f ca="1">IFERROR(VLOOKUP($C27&amp;M$25,Calc1!$Z$64:$AB$207,3,0),"")</f>
        <v/>
      </c>
      <c r="N27" s="187" t="str">
        <f t="shared" ca="1" si="2"/>
        <v/>
      </c>
    </row>
    <row r="28" spans="2:14" ht="21.95" customHeight="1" x14ac:dyDescent="0.2">
      <c r="B28" s="117" t="str">
        <f ca="1">IF($C28="","",INDEX(Calc1!$E$4:$E$12,MATCH($C28,Calc1!$F$4:$F$12,0)))</f>
        <v/>
      </c>
      <c r="C28" s="126" t="str">
        <f ca="1">IF(Calc1!$K$13=0,"",Calc1!$AH6)</f>
        <v/>
      </c>
      <c r="D28" s="130" t="str">
        <f ca="1">IF($C28="","",VLOOKUP($C28,Calc1!$C$17:$AC$25,25,0))</f>
        <v/>
      </c>
      <c r="E28" s="114" t="str">
        <f ca="1">IF($C28="","",VLOOKUP($C28,Calc1!$C$17:$AC$25,26,0))</f>
        <v/>
      </c>
      <c r="F28" s="114" t="str">
        <f ca="1">IF($C28="","",VLOOKUP($C28,Calc1!$C$17:$AC$25,27,0))</f>
        <v/>
      </c>
      <c r="G28" s="155" t="str">
        <f ca="1">IF($C28="","",VLOOKUP($C28,Vorrunde!$AH$12:$AI$47,2,0))</f>
        <v/>
      </c>
      <c r="H28" s="138" t="str">
        <f ca="1">IFERROR(VLOOKUP($C28&amp;H$25,Calc1!$Z$64:$AB$207,3,0),"")</f>
        <v/>
      </c>
      <c r="I28" s="114" t="str">
        <f ca="1">IFERROR(VLOOKUP($C28&amp;I$25,Calc1!$Z$64:$AB$207,3,0),"")</f>
        <v/>
      </c>
      <c r="J28" s="123"/>
      <c r="K28" s="114" t="str">
        <f ca="1">IFERROR(VLOOKUP($C28&amp;K$25,Calc1!$Z$64:$AB$207,3,0),"")</f>
        <v/>
      </c>
      <c r="L28" s="114" t="str">
        <f ca="1">IFERROR(VLOOKUP($C28&amp;L$25,Calc1!$Z$64:$AB$207,3,0),"")</f>
        <v/>
      </c>
      <c r="M28" s="159" t="str">
        <f ca="1">IFERROR(VLOOKUP($C28&amp;M$25,Calc1!$Z$64:$AB$207,3,0),"")</f>
        <v/>
      </c>
      <c r="N28" s="187" t="str">
        <f t="shared" ca="1" si="2"/>
        <v/>
      </c>
    </row>
    <row r="29" spans="2:14" ht="21.95" customHeight="1" x14ac:dyDescent="0.2">
      <c r="B29" s="117" t="str">
        <f ca="1">IF($C29="","",INDEX(Calc1!$E$4:$E$12,MATCH($C29,Calc1!$F$4:$F$12,0)))</f>
        <v/>
      </c>
      <c r="C29" s="126" t="str">
        <f ca="1">IF(Calc1!$K$13=0,"",Calc1!$AH7)</f>
        <v/>
      </c>
      <c r="D29" s="130" t="str">
        <f ca="1">IF($C29="","",VLOOKUP($C29,Calc1!$C$17:$AC$25,25,0))</f>
        <v/>
      </c>
      <c r="E29" s="114" t="str">
        <f ca="1">IF($C29="","",VLOOKUP($C29,Calc1!$C$17:$AC$25,26,0))</f>
        <v/>
      </c>
      <c r="F29" s="114" t="str">
        <f ca="1">IF($C29="","",VLOOKUP($C29,Calc1!$C$17:$AC$25,27,0))</f>
        <v/>
      </c>
      <c r="G29" s="155" t="str">
        <f ca="1">IF($C29="","",VLOOKUP($C29,Vorrunde!$AH$12:$AI$47,2,0))</f>
        <v/>
      </c>
      <c r="H29" s="138" t="str">
        <f ca="1">IFERROR(VLOOKUP($C29&amp;H$25,Calc1!$Z$64:$AB$207,3,0),"")</f>
        <v/>
      </c>
      <c r="I29" s="114" t="str">
        <f ca="1">IFERROR(VLOOKUP($C29&amp;I$25,Calc1!$Z$64:$AB$207,3,0),"")</f>
        <v/>
      </c>
      <c r="J29" s="114" t="str">
        <f ca="1">IFERROR(VLOOKUP($C29&amp;J$25,Calc1!$Z$64:$AB$207,3,0),"")</f>
        <v/>
      </c>
      <c r="K29" s="123"/>
      <c r="L29" s="114" t="str">
        <f ca="1">IFERROR(VLOOKUP($C29&amp;L$25,Calc1!$Z$64:$AB$207,3,0),"")</f>
        <v/>
      </c>
      <c r="M29" s="159" t="str">
        <f ca="1">IFERROR(VLOOKUP($C29&amp;M$25,Calc1!$Z$64:$AB$207,3,0),"")</f>
        <v/>
      </c>
      <c r="N29" s="187" t="str">
        <f t="shared" ca="1" si="2"/>
        <v/>
      </c>
    </row>
    <row r="30" spans="2:14" ht="21.95" customHeight="1" x14ac:dyDescent="0.2">
      <c r="B30" s="117" t="str">
        <f ca="1">IF($C30="","",INDEX(Calc1!$E$4:$E$12,MATCH($C30,Calc1!$F$4:$F$12,0)))</f>
        <v/>
      </c>
      <c r="C30" s="126" t="str">
        <f ca="1">IF(Calc1!$K$13=0,"",Calc1!$AH8)</f>
        <v/>
      </c>
      <c r="D30" s="130" t="str">
        <f ca="1">IF($C30="","",VLOOKUP($C30,Calc1!$C$17:$AC$25,25,0))</f>
        <v/>
      </c>
      <c r="E30" s="114" t="str">
        <f ca="1">IF($C30="","",VLOOKUP($C30,Calc1!$C$17:$AC$25,26,0))</f>
        <v/>
      </c>
      <c r="F30" s="114" t="str">
        <f ca="1">IF($C30="","",VLOOKUP($C30,Calc1!$C$17:$AC$25,27,0))</f>
        <v/>
      </c>
      <c r="G30" s="155" t="str">
        <f ca="1">IF($C30="","",VLOOKUP($C30,Vorrunde!$AH$12:$AI$47,2,0))</f>
        <v/>
      </c>
      <c r="H30" s="138" t="str">
        <f ca="1">IFERROR(VLOOKUP($C30&amp;H$25,Calc1!$Z$64:$AB$207,3,0),"")</f>
        <v/>
      </c>
      <c r="I30" s="114" t="str">
        <f ca="1">IFERROR(VLOOKUP($C30&amp;I$25,Calc1!$Z$64:$AB$207,3,0),"")</f>
        <v/>
      </c>
      <c r="J30" s="114" t="str">
        <f ca="1">IFERROR(VLOOKUP($C30&amp;J$25,Calc1!$Z$64:$AB$207,3,0),"")</f>
        <v/>
      </c>
      <c r="K30" s="114" t="str">
        <f ca="1">IFERROR(VLOOKUP($C30&amp;K$25,Calc1!$Z$64:$AB$207,3,0),"")</f>
        <v/>
      </c>
      <c r="L30" s="123"/>
      <c r="M30" s="159" t="str">
        <f ca="1">IFERROR(VLOOKUP($C30&amp;M$25,Calc1!$Z$64:$AB$207,3,0),"")</f>
        <v/>
      </c>
      <c r="N30" s="187" t="str">
        <f t="shared" ca="1" si="2"/>
        <v/>
      </c>
    </row>
    <row r="31" spans="2:14" ht="21.95" customHeight="1" thickBot="1" x14ac:dyDescent="0.25">
      <c r="B31" s="118" t="str">
        <f ca="1">IF($C31="","",INDEX(Calc1!$E$4:$E$12,MATCH($C31,Calc1!$F$4:$F$12,0)))</f>
        <v/>
      </c>
      <c r="C31" s="127" t="str">
        <f ca="1">IF(Calc1!$K$13=0,"",Calc1!$AH9)</f>
        <v/>
      </c>
      <c r="D31" s="131" t="str">
        <f ca="1">IF($C31="","",VLOOKUP($C31,Calc1!$C$17:$AC$25,25,0))</f>
        <v/>
      </c>
      <c r="E31" s="115" t="str">
        <f ca="1">IF($C31="","",VLOOKUP($C31,Calc1!$C$17:$AC$25,26,0))</f>
        <v/>
      </c>
      <c r="F31" s="115" t="str">
        <f ca="1">IF($C31="","",VLOOKUP($C31,Calc1!$C$17:$AC$25,27,0))</f>
        <v/>
      </c>
      <c r="G31" s="156" t="str">
        <f ca="1">IF($C31="","",VLOOKUP($C31,Vorrunde!$AH$12:$AI$47,2,0))</f>
        <v/>
      </c>
      <c r="H31" s="139" t="str">
        <f ca="1">IFERROR(VLOOKUP($C31&amp;H$25,Calc1!$Z$64:$AB$207,3,0),"")</f>
        <v/>
      </c>
      <c r="I31" s="115" t="str">
        <f ca="1">IFERROR(VLOOKUP($C31&amp;I$25,Calc1!$Z$64:$AB$207,3,0),"")</f>
        <v/>
      </c>
      <c r="J31" s="115" t="str">
        <f ca="1">IFERROR(VLOOKUP($C31&amp;J$25,Calc1!$Z$64:$AB$207,3,0),"")</f>
        <v/>
      </c>
      <c r="K31" s="115" t="str">
        <f ca="1">IFERROR(VLOOKUP($C31&amp;K$25,Calc1!$Z$64:$AB$207,3,0),"")</f>
        <v/>
      </c>
      <c r="L31" s="115" t="str">
        <f ca="1">IFERROR(VLOOKUP($C31&amp;L$25,Calc1!$Z$64:$AB$207,3,0),"")</f>
        <v/>
      </c>
      <c r="M31" s="160"/>
      <c r="N31" s="188" t="str">
        <f t="shared" ca="1" si="2"/>
        <v/>
      </c>
    </row>
    <row r="32" spans="2:14" ht="42.75" customHeight="1" thickTop="1" thickBot="1" x14ac:dyDescent="0.25"/>
    <row r="33" spans="2:14" ht="21.95" customHeight="1" thickBot="1" x14ac:dyDescent="0.25">
      <c r="H33" s="150" t="str">
        <f ca="1">IF(LEN(H34)&gt;Einstellungen!$C$17,LEFT(H34,Einstellungen!$C$17)&amp;".",H34)</f>
        <v/>
      </c>
      <c r="I33" s="151" t="str">
        <f ca="1">IF(LEN(I34)&gt;Einstellungen!$C$17,LEFT(I34,Einstellungen!$C$17)&amp;".",I34)</f>
        <v/>
      </c>
      <c r="J33" s="151" t="str">
        <f ca="1">IF(LEN(J34)&gt;Einstellungen!$C$17,LEFT(J34,Einstellungen!$C$17)&amp;".",J34)</f>
        <v/>
      </c>
      <c r="K33" s="151" t="str">
        <f ca="1">IF(LEN(K34)&gt;Einstellungen!$C$17,LEFT(K34,Einstellungen!$C$17)&amp;".",K34)</f>
        <v/>
      </c>
      <c r="L33" s="151" t="str">
        <f ca="1">IF(LEN(L34)&gt;Einstellungen!$C$17,LEFT(L34,Einstellungen!$C$17)&amp;".",L34)</f>
        <v/>
      </c>
      <c r="M33" s="152" t="str">
        <f ca="1">IF(LEN(M34)&gt;Einstellungen!$C$17,LEFT(M34,Einstellungen!$C$17)&amp;".",M34)</f>
        <v/>
      </c>
    </row>
    <row r="34" spans="2:14" ht="21.95" customHeight="1" thickTop="1" thickBot="1" x14ac:dyDescent="0.25">
      <c r="B34" s="119"/>
      <c r="C34" s="124" t="str">
        <f>Sprache!$E$10</f>
        <v>Teilnehmer bzw. Mannschaft</v>
      </c>
      <c r="D34" s="128" t="str">
        <f>Sprache!$E$27</f>
        <v>Pkt</v>
      </c>
      <c r="E34" s="116" t="str">
        <f>Sprache!$E$26</f>
        <v>Diff.</v>
      </c>
      <c r="F34" s="116" t="str">
        <f>Sprache!$E$28</f>
        <v>erz. Tore</v>
      </c>
      <c r="G34" s="153" t="str">
        <f>Sprache!$E$49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IF($C35="","",INDEX(Calc1!$E$4:$E$12,MATCH($C35,Calc1!$F$4:$F$12,0)))</f>
        <v/>
      </c>
      <c r="C35" s="125" t="str">
        <f ca="1">IF(Calc1!$K$13=0,"",Calc1!$AM4)</f>
        <v/>
      </c>
      <c r="D35" s="129" t="str">
        <f ca="1">IF($C35="","",VLOOKUP($C35,Calc1!$C$17:$AC$25,25,0))</f>
        <v/>
      </c>
      <c r="E35" s="113" t="str">
        <f ca="1">IF($C35="","",VLOOKUP($C35,Calc1!$C$17:$AC$25,26,0))</f>
        <v/>
      </c>
      <c r="F35" s="113" t="str">
        <f ca="1">IF($C35="","",VLOOKUP($C35,Calc1!$C$17:$AC$25,27,0))</f>
        <v/>
      </c>
      <c r="G35" s="154" t="str">
        <f ca="1">IF($C35="","",VLOOKUP($C35,Vorrunde!$AH$12:$AI$47,2,0))</f>
        <v/>
      </c>
      <c r="H35" s="137"/>
      <c r="I35" s="113" t="str">
        <f ca="1">IFERROR(VLOOKUP($C35&amp;I$34,Calc1!$Z$64:$AB$207,3,0),"")</f>
        <v/>
      </c>
      <c r="J35" s="113" t="str">
        <f ca="1">IFERROR(VLOOKUP($C35&amp;J$34,Calc1!$Z$64:$AB$207,3,0),"")</f>
        <v/>
      </c>
      <c r="K35" s="113" t="str">
        <f ca="1">IFERROR(VLOOKUP($C35&amp;K$34,Calc1!$Z$64:$AB$207,3,0),"")</f>
        <v/>
      </c>
      <c r="L35" s="113" t="str">
        <f ca="1">IFERROR(VLOOKUP($C35&amp;L$34,Calc1!$Z$64:$AB$207,3,0),"")</f>
        <v/>
      </c>
      <c r="M35" s="158" t="str">
        <f ca="1">IFERROR(VLOOKUP($C35&amp;M$34,Calc1!$Z$64:$AB$207,3,0),"")</f>
        <v/>
      </c>
      <c r="N35" s="186" t="str">
        <f t="shared" ref="N35:N40" ca="1" si="3">C35</f>
        <v/>
      </c>
    </row>
    <row r="36" spans="2:14" ht="21.95" customHeight="1" x14ac:dyDescent="0.2">
      <c r="B36" s="117" t="str">
        <f ca="1">IF($C36="","",INDEX(Calc1!$E$4:$E$12,MATCH($C36,Calc1!$F$4:$F$12,0)))</f>
        <v/>
      </c>
      <c r="C36" s="126" t="str">
        <f ca="1">IF(Calc1!$K$13=0,"",Calc1!$AM5)</f>
        <v/>
      </c>
      <c r="D36" s="130" t="str">
        <f ca="1">IF($C36="","",VLOOKUP($C36,Calc1!$C$17:$AC$25,25,0))</f>
        <v/>
      </c>
      <c r="E36" s="114" t="str">
        <f ca="1">IF($C36="","",VLOOKUP($C36,Calc1!$C$17:$AC$25,26,0))</f>
        <v/>
      </c>
      <c r="F36" s="114" t="str">
        <f ca="1">IF($C36="","",VLOOKUP($C36,Calc1!$C$17:$AC$25,27,0))</f>
        <v/>
      </c>
      <c r="G36" s="155" t="str">
        <f ca="1">IF($C36="","",VLOOKUP($C36,Vorrunde!$AH$12:$AI$47,2,0))</f>
        <v/>
      </c>
      <c r="H36" s="138" t="str">
        <f ca="1">IFERROR(VLOOKUP($C36&amp;H$34,Calc1!$Z$64:$AB$207,3,0),"")</f>
        <v/>
      </c>
      <c r="I36" s="123"/>
      <c r="J36" s="114" t="str">
        <f ca="1">IFERROR(VLOOKUP($C36&amp;J$34,Calc1!$Z$64:$AB$207,3,0),"")</f>
        <v/>
      </c>
      <c r="K36" s="114" t="str">
        <f ca="1">IFERROR(VLOOKUP($C36&amp;K$34,Calc1!$Z$64:$AB$207,3,0),"")</f>
        <v/>
      </c>
      <c r="L36" s="114" t="str">
        <f ca="1">IFERROR(VLOOKUP($C36&amp;L$34,Calc1!$Z$64:$AB$207,3,0),"")</f>
        <v/>
      </c>
      <c r="M36" s="159" t="str">
        <f ca="1">IFERROR(VLOOKUP($C36&amp;M$34,Calc1!$Z$64:$AB$207,3,0),"")</f>
        <v/>
      </c>
      <c r="N36" s="187" t="str">
        <f t="shared" ca="1" si="3"/>
        <v/>
      </c>
    </row>
    <row r="37" spans="2:14" ht="21.95" customHeight="1" x14ac:dyDescent="0.2">
      <c r="B37" s="117" t="str">
        <f ca="1">IF($C37="","",INDEX(Calc1!$E$4:$E$12,MATCH($C37,Calc1!$F$4:$F$12,0)))</f>
        <v/>
      </c>
      <c r="C37" s="126" t="str">
        <f ca="1">IF(Calc1!$K$13=0,"",Calc1!$AM6)</f>
        <v/>
      </c>
      <c r="D37" s="130" t="str">
        <f ca="1">IF($C37="","",VLOOKUP($C37,Calc1!$C$17:$AC$25,25,0))</f>
        <v/>
      </c>
      <c r="E37" s="114" t="str">
        <f ca="1">IF($C37="","",VLOOKUP($C37,Calc1!$C$17:$AC$25,26,0))</f>
        <v/>
      </c>
      <c r="F37" s="114" t="str">
        <f ca="1">IF($C37="","",VLOOKUP($C37,Calc1!$C$17:$AC$25,27,0))</f>
        <v/>
      </c>
      <c r="G37" s="155" t="str">
        <f ca="1">IF($C37="","",VLOOKUP($C37,Vorrunde!$AH$12:$AI$47,2,0))</f>
        <v/>
      </c>
      <c r="H37" s="138" t="str">
        <f ca="1">IFERROR(VLOOKUP($C37&amp;H$34,Calc1!$Z$64:$AB$207,3,0),"")</f>
        <v/>
      </c>
      <c r="I37" s="114" t="str">
        <f ca="1">IFERROR(VLOOKUP($C37&amp;I$34,Calc1!$Z$64:$AB$207,3,0),"")</f>
        <v/>
      </c>
      <c r="J37" s="123"/>
      <c r="K37" s="114" t="str">
        <f ca="1">IFERROR(VLOOKUP($C37&amp;K$34,Calc1!$Z$64:$AB$207,3,0),"")</f>
        <v/>
      </c>
      <c r="L37" s="114" t="str">
        <f ca="1">IFERROR(VLOOKUP($C37&amp;L$34,Calc1!$Z$64:$AB$207,3,0),"")</f>
        <v/>
      </c>
      <c r="M37" s="159" t="str">
        <f ca="1">IFERROR(VLOOKUP($C37&amp;M$34,Calc1!$Z$64:$AB$207,3,0),"")</f>
        <v/>
      </c>
      <c r="N37" s="187" t="str">
        <f t="shared" ca="1" si="3"/>
        <v/>
      </c>
    </row>
    <row r="38" spans="2:14" ht="21.95" customHeight="1" x14ac:dyDescent="0.2">
      <c r="B38" s="117" t="str">
        <f ca="1">IF($C38="","",INDEX(Calc1!$E$4:$E$12,MATCH($C38,Calc1!$F$4:$F$12,0)))</f>
        <v/>
      </c>
      <c r="C38" s="126" t="str">
        <f ca="1">IF(Calc1!$K$13=0,"",Calc1!$AM7)</f>
        <v/>
      </c>
      <c r="D38" s="130" t="str">
        <f ca="1">IF($C38="","",VLOOKUP($C38,Calc1!$C$17:$AC$25,25,0))</f>
        <v/>
      </c>
      <c r="E38" s="114" t="str">
        <f ca="1">IF($C38="","",VLOOKUP($C38,Calc1!$C$17:$AC$25,26,0))</f>
        <v/>
      </c>
      <c r="F38" s="114" t="str">
        <f ca="1">IF($C38="","",VLOOKUP($C38,Calc1!$C$17:$AC$25,27,0))</f>
        <v/>
      </c>
      <c r="G38" s="155" t="str">
        <f ca="1">IF($C38="","",VLOOKUP($C38,Vorrunde!$AH$12:$AI$47,2,0))</f>
        <v/>
      </c>
      <c r="H38" s="138" t="str">
        <f ca="1">IFERROR(VLOOKUP($C38&amp;H$34,Calc1!$Z$64:$AB$207,3,0),"")</f>
        <v/>
      </c>
      <c r="I38" s="114" t="str">
        <f ca="1">IFERROR(VLOOKUP($C38&amp;I$34,Calc1!$Z$64:$AB$207,3,0),"")</f>
        <v/>
      </c>
      <c r="J38" s="114" t="str">
        <f ca="1">IFERROR(VLOOKUP($C38&amp;J$34,Calc1!$Z$64:$AB$207,3,0),"")</f>
        <v/>
      </c>
      <c r="K38" s="123"/>
      <c r="L38" s="114" t="str">
        <f ca="1">IFERROR(VLOOKUP($C38&amp;L$34,Calc1!$Z$64:$AB$207,3,0),"")</f>
        <v/>
      </c>
      <c r="M38" s="159" t="str">
        <f ca="1">IFERROR(VLOOKUP($C38&amp;M$34,Calc1!$Z$64:$AB$207,3,0),"")</f>
        <v/>
      </c>
      <c r="N38" s="187" t="str">
        <f t="shared" ca="1" si="3"/>
        <v/>
      </c>
    </row>
    <row r="39" spans="2:14" ht="21.95" customHeight="1" x14ac:dyDescent="0.2">
      <c r="B39" s="117" t="str">
        <f ca="1">IF($C39="","",INDEX(Calc1!$E$4:$E$12,MATCH($C39,Calc1!$F$4:$F$12,0)))</f>
        <v/>
      </c>
      <c r="C39" s="126" t="str">
        <f ca="1">IF(Calc1!$K$13=0,"",Calc1!$AM8)</f>
        <v/>
      </c>
      <c r="D39" s="130" t="str">
        <f ca="1">IF($C39="","",VLOOKUP($C39,Calc1!$C$17:$AC$25,25,0))</f>
        <v/>
      </c>
      <c r="E39" s="114" t="str">
        <f ca="1">IF($C39="","",VLOOKUP($C39,Calc1!$C$17:$AC$25,26,0))</f>
        <v/>
      </c>
      <c r="F39" s="114" t="str">
        <f ca="1">IF($C39="","",VLOOKUP($C39,Calc1!$C$17:$AC$25,27,0))</f>
        <v/>
      </c>
      <c r="G39" s="155" t="str">
        <f ca="1">IF($C39="","",VLOOKUP($C39,Vorrunde!$AH$12:$AI$47,2,0))</f>
        <v/>
      </c>
      <c r="H39" s="138" t="str">
        <f ca="1">IFERROR(VLOOKUP($C39&amp;H$34,Calc1!$Z$64:$AB$207,3,0),"")</f>
        <v/>
      </c>
      <c r="I39" s="114" t="str">
        <f ca="1">IFERROR(VLOOKUP($C39&amp;I$34,Calc1!$Z$64:$AB$207,3,0),"")</f>
        <v/>
      </c>
      <c r="J39" s="114" t="str">
        <f ca="1">IFERROR(VLOOKUP($C39&amp;J$34,Calc1!$Z$64:$AB$207,3,0),"")</f>
        <v/>
      </c>
      <c r="K39" s="114" t="str">
        <f ca="1">IFERROR(VLOOKUP($C39&amp;K$34,Calc1!$Z$64:$AB$207,3,0),"")</f>
        <v/>
      </c>
      <c r="L39" s="123"/>
      <c r="M39" s="159" t="str">
        <f ca="1">IFERROR(VLOOKUP($C39&amp;M$34,Calc1!$Z$64:$AB$207,3,0),"")</f>
        <v/>
      </c>
      <c r="N39" s="187" t="str">
        <f t="shared" ca="1" si="3"/>
        <v/>
      </c>
    </row>
    <row r="40" spans="2:14" ht="21.95" customHeight="1" thickBot="1" x14ac:dyDescent="0.25">
      <c r="B40" s="118" t="str">
        <f ca="1">IF($C40="","",INDEX(Calc1!$E$4:$E$12,MATCH($C40,Calc1!$F$4:$F$12,0)))</f>
        <v/>
      </c>
      <c r="C40" s="127" t="str">
        <f ca="1">IF(Calc1!$K$13=0,"",Calc1!$AM9)</f>
        <v/>
      </c>
      <c r="D40" s="131" t="str">
        <f ca="1">IF($C40="","",VLOOKUP($C40,Calc1!$C$17:$AC$25,25,0))</f>
        <v/>
      </c>
      <c r="E40" s="115" t="str">
        <f ca="1">IF($C40="","",VLOOKUP($C40,Calc1!$C$17:$AC$25,26,0))</f>
        <v/>
      </c>
      <c r="F40" s="115" t="str">
        <f ca="1">IF($C40="","",VLOOKUP($C40,Calc1!$C$17:$AC$25,27,0))</f>
        <v/>
      </c>
      <c r="G40" s="156" t="str">
        <f ca="1">IF($C40="","",VLOOKUP($C40,Vorrunde!$AH$12:$AI$47,2,0))</f>
        <v/>
      </c>
      <c r="H40" s="139" t="str">
        <f ca="1">IFERROR(VLOOKUP($C40&amp;H$34,Calc1!$Z$64:$AB$207,3,0),"")</f>
        <v/>
      </c>
      <c r="I40" s="115" t="str">
        <f ca="1">IFERROR(VLOOKUP($C40&amp;I$34,Calc1!$Z$64:$AB$207,3,0),"")</f>
        <v/>
      </c>
      <c r="J40" s="115" t="str">
        <f ca="1">IFERROR(VLOOKUP($C40&amp;J$34,Calc1!$Z$64:$AB$207,3,0),"")</f>
        <v/>
      </c>
      <c r="K40" s="115" t="str">
        <f ca="1">IFERROR(VLOOKUP($C40&amp;K$34,Calc1!$Z$64:$AB$207,3,0),"")</f>
        <v/>
      </c>
      <c r="L40" s="115" t="str">
        <f ca="1">IFERROR(VLOOKUP($C40&amp;L$34,Calc1!$Z$64:$AB$207,3,0),"")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22"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Sprache!$E$7</f>
        <v>Direkte Vergleiche</v>
      </c>
      <c r="C2" s="881"/>
      <c r="D2" s="881"/>
      <c r="E2" s="881"/>
      <c r="F2" s="881"/>
      <c r="G2" s="881"/>
      <c r="H2" s="881"/>
      <c r="I2" s="881"/>
      <c r="J2" s="881"/>
      <c r="K2" s="881"/>
      <c r="L2" s="881"/>
      <c r="M2" s="881"/>
    </row>
    <row r="3" spans="2:14" ht="42.75" customHeight="1" x14ac:dyDescent="0.2">
      <c r="B3" s="882" t="str">
        <f>Sprache!$E$56&amp;" B"</f>
        <v>Vorrunde Gruppe B</v>
      </c>
      <c r="C3" s="882"/>
      <c r="D3" s="882"/>
      <c r="E3" s="882"/>
      <c r="F3" s="882"/>
      <c r="G3" s="882"/>
      <c r="H3" s="882"/>
      <c r="I3" s="882"/>
      <c r="J3" s="882"/>
      <c r="K3" s="882"/>
      <c r="L3" s="882"/>
      <c r="M3" s="882"/>
    </row>
    <row r="4" spans="2:14" ht="17.25" customHeight="1" x14ac:dyDescent="0.2">
      <c r="B4" s="883" t="str">
        <f>Sprache!$E$109</f>
        <v>Rote Schrift bedeutet, dass die Rangfolge auch mit dem direkten Vergleich nicht geklärt ist. Fair Play oder Los muss hier entscheiden.</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IF(LEN(H7)&gt;Einstellungen!$C$17,LEFT(H7,Einstellungen!$C$17)&amp;".",H7)</f>
        <v/>
      </c>
      <c r="I6" s="151" t="str">
        <f ca="1">IF(LEN(I7)&gt;Einstellungen!$C$17,LEFT(I7,Einstellungen!$C$17)&amp;".",I7)</f>
        <v/>
      </c>
      <c r="J6" s="151" t="str">
        <f ca="1">IF(LEN(J7)&gt;Einstellungen!$C$17,LEFT(J7,Einstellungen!$C$17)&amp;".",J7)</f>
        <v/>
      </c>
      <c r="K6" s="151" t="str">
        <f ca="1">IF(LEN(K7)&gt;Einstellungen!$C$17,LEFT(K7,Einstellungen!$C$17)&amp;".",K7)</f>
        <v/>
      </c>
      <c r="L6" s="151" t="str">
        <f ca="1">IF(LEN(L7)&gt;Einstellungen!$C$17,LEFT(L7,Einstellungen!$C$17)&amp;".",L7)</f>
        <v/>
      </c>
      <c r="M6" s="152" t="str">
        <f ca="1">IF(LEN(M7)&gt;Einstellungen!$C$17,LEFT(M7,Einstellungen!$C$17)&amp;".",M7)</f>
        <v/>
      </c>
    </row>
    <row r="7" spans="2:14" ht="21.95" customHeight="1" thickTop="1" thickBot="1" x14ac:dyDescent="0.25">
      <c r="B7" s="119"/>
      <c r="C7" s="124" t="str">
        <f>Sprache!$E$10</f>
        <v>Teilnehmer bzw. Mannschaft</v>
      </c>
      <c r="D7" s="128" t="str">
        <f>Sprache!$E$27</f>
        <v>Pkt</v>
      </c>
      <c r="E7" s="116" t="str">
        <f>Sprache!$E$26</f>
        <v>Diff.</v>
      </c>
      <c r="F7" s="116" t="str">
        <f>Sprache!$E$28</f>
        <v>erz. Tore</v>
      </c>
      <c r="G7" s="153" t="str">
        <f>Sprache!$E$49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IF($C8="","",INDEX(Calc2!$E$4:$E$12,MATCH($C8,Calc2!$F$4:$F$12,0)))</f>
        <v/>
      </c>
      <c r="C8" s="125" t="str">
        <f ca="1">IF(Calc2!$K$13=0,"",Calc2!$X4)</f>
        <v/>
      </c>
      <c r="D8" s="129" t="str">
        <f ca="1">IF($C8="","",VLOOKUP($C8,Calc2!$C$17:$AC$25,25,0))</f>
        <v/>
      </c>
      <c r="E8" s="113" t="str">
        <f ca="1">IF($C8="","",VLOOKUP($C8,Calc2!$C$17:$AC$25,26,0))</f>
        <v/>
      </c>
      <c r="F8" s="113" t="str">
        <f ca="1">IF($C8="","",VLOOKUP($C8,Calc2!$C$17:$AC$25,27,0))</f>
        <v/>
      </c>
      <c r="G8" s="154" t="str">
        <f ca="1">IF($C8="","",VLOOKUP($C8,Vorrunde!$AH$12:$AI$47,2,0))</f>
        <v/>
      </c>
      <c r="H8" s="137"/>
      <c r="I8" s="113" t="str">
        <f ca="1">IFERROR(VLOOKUP($C8&amp;I$7,Calc2!$Z$64:$AB$207,3,0),"")</f>
        <v/>
      </c>
      <c r="J8" s="113" t="str">
        <f ca="1">IFERROR(VLOOKUP($C8&amp;J$7,Calc2!$Z$64:$AB$207,3,0),"")</f>
        <v/>
      </c>
      <c r="K8" s="113" t="str">
        <f ca="1">IFERROR(VLOOKUP($C8&amp;K$7,Calc2!$Z$64:$AB$207,3,0),"")</f>
        <v/>
      </c>
      <c r="L8" s="113" t="str">
        <f ca="1">IFERROR(VLOOKUP($C8&amp;L$7,Calc2!$Z$64:$AB$207,3,0),"")</f>
        <v/>
      </c>
      <c r="M8" s="158" t="str">
        <f ca="1">IFERROR(VLOOKUP($C8&amp;M$7,Calc2!$Z$64:$AB$207,3,0),"")</f>
        <v/>
      </c>
      <c r="N8" s="186" t="str">
        <f t="shared" ref="N8:N13" ca="1" si="0">C8</f>
        <v/>
      </c>
    </row>
    <row r="9" spans="2:14" ht="21.95" customHeight="1" x14ac:dyDescent="0.2">
      <c r="B9" s="117" t="str">
        <f ca="1">IF($C9="","",INDEX(Calc2!$E$4:$E$12,MATCH($C9,Calc2!$F$4:$F$12,0)))</f>
        <v/>
      </c>
      <c r="C9" s="126" t="str">
        <f ca="1">IF(Calc2!$K$13=0,"",Calc2!$X5)</f>
        <v/>
      </c>
      <c r="D9" s="130" t="str">
        <f ca="1">IF($C9="","",VLOOKUP($C9,Calc2!$C$17:$AC$25,25,0))</f>
        <v/>
      </c>
      <c r="E9" s="114" t="str">
        <f ca="1">IF($C9="","",VLOOKUP($C9,Calc2!$C$17:$AC$25,26,0))</f>
        <v/>
      </c>
      <c r="F9" s="114" t="str">
        <f ca="1">IF($C9="","",VLOOKUP($C9,Calc2!$C$17:$AC$25,27,0))</f>
        <v/>
      </c>
      <c r="G9" s="155" t="str">
        <f ca="1">IF($C9="","",VLOOKUP($C9,Vorrunde!$AH$12:$AI$47,2,0))</f>
        <v/>
      </c>
      <c r="H9" s="138" t="str">
        <f ca="1">IFERROR(VLOOKUP($C9&amp;H$7,Calc2!$Z$64:$AB$207,3,0),"")</f>
        <v/>
      </c>
      <c r="I9" s="123"/>
      <c r="J9" s="114" t="str">
        <f ca="1">IFERROR(VLOOKUP($C9&amp;J$7,Calc2!$Z$64:$AB$207,3,0),"")</f>
        <v/>
      </c>
      <c r="K9" s="114" t="str">
        <f ca="1">IFERROR(VLOOKUP($C9&amp;K$7,Calc2!$Z$64:$AB$207,3,0),"")</f>
        <v/>
      </c>
      <c r="L9" s="114" t="str">
        <f ca="1">IFERROR(VLOOKUP($C9&amp;L$7,Calc2!$Z$64:$AB$207,3,0),"")</f>
        <v/>
      </c>
      <c r="M9" s="159" t="str">
        <f ca="1">IFERROR(VLOOKUP($C9&amp;M$7,Calc2!$Z$64:$AB$207,3,0),"")</f>
        <v/>
      </c>
      <c r="N9" s="187" t="str">
        <f t="shared" ca="1" si="0"/>
        <v/>
      </c>
    </row>
    <row r="10" spans="2:14" ht="21.95" customHeight="1" x14ac:dyDescent="0.2">
      <c r="B10" s="117" t="str">
        <f ca="1">IF($C10="","",INDEX(Calc2!$E$4:$E$12,MATCH($C10,Calc2!$F$4:$F$12,0)))</f>
        <v/>
      </c>
      <c r="C10" s="126" t="str">
        <f ca="1">IF(Calc2!$K$13=0,"",Calc2!$X6)</f>
        <v/>
      </c>
      <c r="D10" s="130" t="str">
        <f ca="1">IF($C10="","",VLOOKUP($C10,Calc2!$C$17:$AC$25,25,0))</f>
        <v/>
      </c>
      <c r="E10" s="114" t="str">
        <f ca="1">IF($C10="","",VLOOKUP($C10,Calc2!$C$17:$AC$25,26,0))</f>
        <v/>
      </c>
      <c r="F10" s="114" t="str">
        <f ca="1">IF($C10="","",VLOOKUP($C10,Calc2!$C$17:$AC$25,27,0))</f>
        <v/>
      </c>
      <c r="G10" s="155" t="str">
        <f ca="1">IF($C10="","",VLOOKUP($C10,Vorrunde!$AH$12:$AI$47,2,0))</f>
        <v/>
      </c>
      <c r="H10" s="138" t="str">
        <f ca="1">IFERROR(VLOOKUP($C10&amp;H$7,Calc2!$Z$64:$AB$207,3,0),"")</f>
        <v/>
      </c>
      <c r="I10" s="114" t="str">
        <f ca="1">IFERROR(VLOOKUP($C10&amp;I$7,Calc2!$Z$64:$AB$207,3,0),"")</f>
        <v/>
      </c>
      <c r="J10" s="123"/>
      <c r="K10" s="114" t="str">
        <f ca="1">IFERROR(VLOOKUP($C10&amp;K$7,Calc2!$Z$64:$AB$207,3,0),"")</f>
        <v/>
      </c>
      <c r="L10" s="114" t="str">
        <f ca="1">IFERROR(VLOOKUP($C10&amp;L$7,Calc2!$Z$64:$AB$207,3,0),"")</f>
        <v/>
      </c>
      <c r="M10" s="159" t="str">
        <f ca="1">IFERROR(VLOOKUP($C10&amp;M$7,Calc2!$Z$64:$AB$207,3,0),"")</f>
        <v/>
      </c>
      <c r="N10" s="187" t="str">
        <f t="shared" ca="1" si="0"/>
        <v/>
      </c>
    </row>
    <row r="11" spans="2:14" ht="21.95" customHeight="1" x14ac:dyDescent="0.2">
      <c r="B11" s="117" t="str">
        <f ca="1">IF($C11="","",INDEX(Calc2!$E$4:$E$12,MATCH($C11,Calc2!$F$4:$F$12,0)))</f>
        <v/>
      </c>
      <c r="C11" s="126" t="str">
        <f ca="1">IF(Calc2!$K$13=0,"",Calc2!$X7)</f>
        <v/>
      </c>
      <c r="D11" s="130" t="str">
        <f ca="1">IF($C11="","",VLOOKUP($C11,Calc2!$C$17:$AC$25,25,0))</f>
        <v/>
      </c>
      <c r="E11" s="114" t="str">
        <f ca="1">IF($C11="","",VLOOKUP($C11,Calc2!$C$17:$AC$25,26,0))</f>
        <v/>
      </c>
      <c r="F11" s="114" t="str">
        <f ca="1">IF($C11="","",VLOOKUP($C11,Calc2!$C$17:$AC$25,27,0))</f>
        <v/>
      </c>
      <c r="G11" s="155" t="str">
        <f ca="1">IF($C11="","",VLOOKUP($C11,Vorrunde!$AH$12:$AI$47,2,0))</f>
        <v/>
      </c>
      <c r="H11" s="138" t="str">
        <f ca="1">IFERROR(VLOOKUP($C11&amp;H$7,Calc2!$Z$64:$AB$207,3,0),"")</f>
        <v/>
      </c>
      <c r="I11" s="114" t="str">
        <f ca="1">IFERROR(VLOOKUP($C11&amp;I$7,Calc2!$Z$64:$AB$207,3,0),"")</f>
        <v/>
      </c>
      <c r="J11" s="114" t="str">
        <f ca="1">IFERROR(VLOOKUP($C11&amp;J$7,Calc2!$Z$64:$AB$207,3,0),"")</f>
        <v/>
      </c>
      <c r="K11" s="123"/>
      <c r="L11" s="114" t="str">
        <f ca="1">IFERROR(VLOOKUP($C11&amp;L$7,Calc2!$Z$64:$AB$207,3,0),"")</f>
        <v/>
      </c>
      <c r="M11" s="159" t="str">
        <f ca="1">IFERROR(VLOOKUP($C11&amp;M$7,Calc2!$Z$64:$AB$207,3,0),"")</f>
        <v/>
      </c>
      <c r="N11" s="187" t="str">
        <f t="shared" ca="1" si="0"/>
        <v/>
      </c>
    </row>
    <row r="12" spans="2:14" ht="21.95" customHeight="1" x14ac:dyDescent="0.2">
      <c r="B12" s="117" t="str">
        <f ca="1">IF($C12="","",INDEX(Calc2!$E$4:$E$12,MATCH($C12,Calc2!$F$4:$F$12,0)))</f>
        <v/>
      </c>
      <c r="C12" s="126" t="str">
        <f ca="1">IF(Calc2!$K$13=0,"",Calc2!$X8)</f>
        <v/>
      </c>
      <c r="D12" s="130" t="str">
        <f ca="1">IF($C12="","",VLOOKUP($C12,Calc2!$C$17:$AC$25,25,0))</f>
        <v/>
      </c>
      <c r="E12" s="114" t="str">
        <f ca="1">IF($C12="","",VLOOKUP($C12,Calc2!$C$17:$AC$25,26,0))</f>
        <v/>
      </c>
      <c r="F12" s="114" t="str">
        <f ca="1">IF($C12="","",VLOOKUP($C12,Calc2!$C$17:$AC$25,27,0))</f>
        <v/>
      </c>
      <c r="G12" s="155" t="str">
        <f ca="1">IF($C12="","",VLOOKUP($C12,Vorrunde!$AH$12:$AI$47,2,0))</f>
        <v/>
      </c>
      <c r="H12" s="138" t="str">
        <f ca="1">IFERROR(VLOOKUP($C12&amp;H$7,Calc2!$Z$64:$AB$207,3,0),"")</f>
        <v/>
      </c>
      <c r="I12" s="114" t="str">
        <f ca="1">IFERROR(VLOOKUP($C12&amp;I$7,Calc2!$Z$64:$AB$207,3,0),"")</f>
        <v/>
      </c>
      <c r="J12" s="114" t="str">
        <f ca="1">IFERROR(VLOOKUP($C12&amp;J$7,Calc2!$Z$64:$AB$207,3,0),"")</f>
        <v/>
      </c>
      <c r="K12" s="114" t="str">
        <f ca="1">IFERROR(VLOOKUP($C12&amp;K$7,Calc2!$Z$64:$AB$207,3,0),"")</f>
        <v/>
      </c>
      <c r="L12" s="123"/>
      <c r="M12" s="159" t="str">
        <f ca="1">IFERROR(VLOOKUP($C12&amp;M$7,Calc2!$Z$64:$AB$207,3,0),"")</f>
        <v/>
      </c>
      <c r="N12" s="187" t="str">
        <f t="shared" ca="1" si="0"/>
        <v/>
      </c>
    </row>
    <row r="13" spans="2:14" ht="21.95" customHeight="1" thickBot="1" x14ac:dyDescent="0.25">
      <c r="B13" s="118" t="str">
        <f ca="1">IF($C13="","",INDEX(Calc2!$E$4:$E$12,MATCH($C13,Calc2!$F$4:$F$12,0)))</f>
        <v/>
      </c>
      <c r="C13" s="127" t="str">
        <f ca="1">IF(Calc2!$K$13=0,"",Calc2!$X9)</f>
        <v/>
      </c>
      <c r="D13" s="131" t="str">
        <f ca="1">IF($C13="","",VLOOKUP($C13,Calc2!$C$17:$AC$25,25,0))</f>
        <v/>
      </c>
      <c r="E13" s="115" t="str">
        <f ca="1">IF($C13="","",VLOOKUP($C13,Calc2!$C$17:$AC$25,26,0))</f>
        <v/>
      </c>
      <c r="F13" s="115" t="str">
        <f ca="1">IF($C13="","",VLOOKUP($C13,Calc2!$C$17:$AC$25,27,0))</f>
        <v/>
      </c>
      <c r="G13" s="156" t="str">
        <f ca="1">IF($C13="","",VLOOKUP($C13,Vorrunde!$AH$12:$AI$47,2,0))</f>
        <v/>
      </c>
      <c r="H13" s="139" t="str">
        <f ca="1">IFERROR(VLOOKUP($C13&amp;H$7,Calc2!$Z$64:$AB$207,3,0),"")</f>
        <v/>
      </c>
      <c r="I13" s="115" t="str">
        <f ca="1">IFERROR(VLOOKUP($C13&amp;I$7,Calc2!$Z$64:$AB$207,3,0),"")</f>
        <v/>
      </c>
      <c r="J13" s="115" t="str">
        <f ca="1">IFERROR(VLOOKUP($C13&amp;J$7,Calc2!$Z$64:$AB$207,3,0),"")</f>
        <v/>
      </c>
      <c r="K13" s="115" t="str">
        <f ca="1">IFERROR(VLOOKUP($C13&amp;K$7,Calc2!$Z$64:$AB$207,3,0),"")</f>
        <v/>
      </c>
      <c r="L13" s="115" t="str">
        <f ca="1">IFERROR(VLOOKUP($C13&amp;L$7,Calc2!$Z$64:$AB$207,3,0),"")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IF(LEN(H16)&gt;Einstellungen!$C$17,LEFT(H16,Einstellungen!$C$17)&amp;".",H16)</f>
        <v/>
      </c>
      <c r="I15" s="151" t="str">
        <f ca="1">IF(LEN(I16)&gt;Einstellungen!$C$17,LEFT(I16,Einstellungen!$C$17)&amp;".",I16)</f>
        <v/>
      </c>
      <c r="J15" s="151" t="str">
        <f ca="1">IF(LEN(J16)&gt;Einstellungen!$C$17,LEFT(J16,Einstellungen!$C$17)&amp;".",J16)</f>
        <v/>
      </c>
      <c r="K15" s="151" t="str">
        <f ca="1">IF(LEN(K16)&gt;Einstellungen!$C$17,LEFT(K16,Einstellungen!$C$17)&amp;".",K16)</f>
        <v/>
      </c>
      <c r="L15" s="151" t="str">
        <f ca="1">IF(LEN(L16)&gt;Einstellungen!$C$17,LEFT(L16,Einstellungen!$C$17)&amp;".",L16)</f>
        <v/>
      </c>
      <c r="M15" s="152" t="str">
        <f ca="1">IF(LEN(M16)&gt;Einstellungen!$C$17,LEFT(M16,Einstellungen!$C$17)&amp;".",M16)</f>
        <v/>
      </c>
    </row>
    <row r="16" spans="2:14" ht="21.95" customHeight="1" thickTop="1" thickBot="1" x14ac:dyDescent="0.25">
      <c r="B16" s="119"/>
      <c r="C16" s="124" t="str">
        <f>Sprache!$E$10</f>
        <v>Teilnehmer bzw. Mannschaft</v>
      </c>
      <c r="D16" s="128" t="str">
        <f>Sprache!$E$27</f>
        <v>Pkt</v>
      </c>
      <c r="E16" s="116" t="str">
        <f>Sprache!$E$26</f>
        <v>Diff.</v>
      </c>
      <c r="F16" s="116" t="str">
        <f>Sprache!$E$28</f>
        <v>erz. Tore</v>
      </c>
      <c r="G16" s="153" t="str">
        <f>Sprache!$E$49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IF($C17="","",INDEX(Calc2!$E$4:$E$12,MATCH($C17,Calc2!$F$4:$F$12,0)))</f>
        <v/>
      </c>
      <c r="C17" s="125" t="str">
        <f ca="1">IF(Calc2!$K$13=0,"",Calc2!$AC4)</f>
        <v/>
      </c>
      <c r="D17" s="129" t="str">
        <f ca="1">IF($C17="","",VLOOKUP($C17,Calc2!$C$17:$AC$25,25,0))</f>
        <v/>
      </c>
      <c r="E17" s="113" t="str">
        <f ca="1">IF($C17="","",VLOOKUP($C17,Calc2!$C$17:$AC$25,26,0))</f>
        <v/>
      </c>
      <c r="F17" s="113" t="str">
        <f ca="1">IF($C17="","",VLOOKUP($C17,Calc2!$C$17:$AC$25,27,0))</f>
        <v/>
      </c>
      <c r="G17" s="154" t="str">
        <f ca="1">IF($C17="","",VLOOKUP($C17,Vorrunde!$AH$12:$AI$47,2,0))</f>
        <v/>
      </c>
      <c r="H17" s="137"/>
      <c r="I17" s="113" t="str">
        <f ca="1">IFERROR(VLOOKUP($C17&amp;I$16,Calc2!$Z$64:$AB$207,3,0),"")</f>
        <v/>
      </c>
      <c r="J17" s="113" t="str">
        <f ca="1">IFERROR(VLOOKUP($C17&amp;J$16,Calc2!$Z$64:$AB$207,3,0),"")</f>
        <v/>
      </c>
      <c r="K17" s="113" t="str">
        <f ca="1">IFERROR(VLOOKUP($C17&amp;K$16,Calc2!$Z$64:$AB$207,3,0),"")</f>
        <v/>
      </c>
      <c r="L17" s="113" t="str">
        <f ca="1">IFERROR(VLOOKUP($C17&amp;L$16,Calc2!$Z$64:$AB$207,3,0),"")</f>
        <v/>
      </c>
      <c r="M17" s="158" t="str">
        <f ca="1">IFERROR(VLOOKUP($C17&amp;M$16,Calc2!$Z$64:$AB$207,3,0),"")</f>
        <v/>
      </c>
      <c r="N17" s="186" t="str">
        <f t="shared" ref="N17:N22" ca="1" si="1">C17</f>
        <v/>
      </c>
    </row>
    <row r="18" spans="2:14" ht="21.95" customHeight="1" x14ac:dyDescent="0.2">
      <c r="B18" s="117" t="str">
        <f ca="1">IF($C18="","",INDEX(Calc2!$E$4:$E$12,MATCH($C18,Calc2!$F$4:$F$12,0)))</f>
        <v/>
      </c>
      <c r="C18" s="126" t="str">
        <f ca="1">IF(Calc2!$K$13=0,"",Calc2!$AC5)</f>
        <v/>
      </c>
      <c r="D18" s="130" t="str">
        <f ca="1">IF($C18="","",VLOOKUP($C18,Calc2!$C$17:$AC$25,25,0))</f>
        <v/>
      </c>
      <c r="E18" s="114" t="str">
        <f ca="1">IF($C18="","",VLOOKUP($C18,Calc2!$C$17:$AC$25,26,0))</f>
        <v/>
      </c>
      <c r="F18" s="114" t="str">
        <f ca="1">IF($C18="","",VLOOKUP($C18,Calc2!$C$17:$AC$25,27,0))</f>
        <v/>
      </c>
      <c r="G18" s="155" t="str">
        <f ca="1">IF($C18="","",VLOOKUP($C18,Vorrunde!$AH$12:$AI$47,2,0))</f>
        <v/>
      </c>
      <c r="H18" s="138" t="str">
        <f ca="1">IFERROR(VLOOKUP($C18&amp;H$16,Calc2!$Z$64:$AB$207,3,0),"")</f>
        <v/>
      </c>
      <c r="I18" s="123"/>
      <c r="J18" s="114" t="str">
        <f ca="1">IFERROR(VLOOKUP($C18&amp;J$16,Calc2!$Z$64:$AB$207,3,0),"")</f>
        <v/>
      </c>
      <c r="K18" s="114" t="str">
        <f ca="1">IFERROR(VLOOKUP($C18&amp;K$16,Calc2!$Z$64:$AB$207,3,0),"")</f>
        <v/>
      </c>
      <c r="L18" s="114" t="str">
        <f ca="1">IFERROR(VLOOKUP($C18&amp;L$16,Calc2!$Z$64:$AB$207,3,0),"")</f>
        <v/>
      </c>
      <c r="M18" s="159" t="str">
        <f ca="1">IFERROR(VLOOKUP($C18&amp;M$16,Calc2!$Z$64:$AB$207,3,0),"")</f>
        <v/>
      </c>
      <c r="N18" s="187" t="str">
        <f t="shared" ca="1" si="1"/>
        <v/>
      </c>
    </row>
    <row r="19" spans="2:14" ht="21.95" customHeight="1" x14ac:dyDescent="0.2">
      <c r="B19" s="117" t="str">
        <f ca="1">IF($C19="","",INDEX(Calc2!$E$4:$E$12,MATCH($C19,Calc2!$F$4:$F$12,0)))</f>
        <v/>
      </c>
      <c r="C19" s="126" t="str">
        <f ca="1">IF(Calc2!$K$13=0,"",Calc2!$AC6)</f>
        <v/>
      </c>
      <c r="D19" s="130" t="str">
        <f ca="1">IF($C19="","",VLOOKUP($C19,Calc2!$C$17:$AC$25,25,0))</f>
        <v/>
      </c>
      <c r="E19" s="114" t="str">
        <f ca="1">IF($C19="","",VLOOKUP($C19,Calc2!$C$17:$AC$25,26,0))</f>
        <v/>
      </c>
      <c r="F19" s="114" t="str">
        <f ca="1">IF($C19="","",VLOOKUP($C19,Calc2!$C$17:$AC$25,27,0))</f>
        <v/>
      </c>
      <c r="G19" s="155" t="str">
        <f ca="1">IF($C19="","",VLOOKUP($C19,Vorrunde!$AH$12:$AI$47,2,0))</f>
        <v/>
      </c>
      <c r="H19" s="138" t="str">
        <f ca="1">IFERROR(VLOOKUP($C19&amp;H$16,Calc2!$Z$64:$AB$207,3,0),"")</f>
        <v/>
      </c>
      <c r="I19" s="114" t="str">
        <f ca="1">IFERROR(VLOOKUP($C19&amp;I$16,Calc2!$Z$64:$AB$207,3,0),"")</f>
        <v/>
      </c>
      <c r="J19" s="123"/>
      <c r="K19" s="114" t="str">
        <f ca="1">IFERROR(VLOOKUP($C19&amp;K$16,Calc2!$Z$64:$AB$207,3,0),"")</f>
        <v/>
      </c>
      <c r="L19" s="114" t="str">
        <f ca="1">IFERROR(VLOOKUP($C19&amp;L$16,Calc2!$Z$64:$AB$207,3,0),"")</f>
        <v/>
      </c>
      <c r="M19" s="159" t="str">
        <f ca="1">IFERROR(VLOOKUP($C19&amp;M$16,Calc2!$Z$64:$AB$207,3,0),"")</f>
        <v/>
      </c>
      <c r="N19" s="187" t="str">
        <f t="shared" ca="1" si="1"/>
        <v/>
      </c>
    </row>
    <row r="20" spans="2:14" ht="21.95" customHeight="1" x14ac:dyDescent="0.2">
      <c r="B20" s="117" t="str">
        <f ca="1">IF($C20="","",INDEX(Calc2!$E$4:$E$12,MATCH($C20,Calc2!$F$4:$F$12,0)))</f>
        <v/>
      </c>
      <c r="C20" s="126" t="str">
        <f ca="1">IF(Calc2!$K$13=0,"",Calc2!$AC7)</f>
        <v/>
      </c>
      <c r="D20" s="130" t="str">
        <f ca="1">IF($C20="","",VLOOKUP($C20,Calc2!$C$17:$AC$25,25,0))</f>
        <v/>
      </c>
      <c r="E20" s="114" t="str">
        <f ca="1">IF($C20="","",VLOOKUP($C20,Calc2!$C$17:$AC$25,26,0))</f>
        <v/>
      </c>
      <c r="F20" s="114" t="str">
        <f ca="1">IF($C20="","",VLOOKUP($C20,Calc2!$C$17:$AC$25,27,0))</f>
        <v/>
      </c>
      <c r="G20" s="155" t="str">
        <f ca="1">IF($C20="","",VLOOKUP($C20,Vorrunde!$AH$12:$AI$47,2,0))</f>
        <v/>
      </c>
      <c r="H20" s="138" t="str">
        <f ca="1">IFERROR(VLOOKUP($C20&amp;H$16,Calc2!$Z$64:$AB$207,3,0),"")</f>
        <v/>
      </c>
      <c r="I20" s="114" t="str">
        <f ca="1">IFERROR(VLOOKUP($C20&amp;I$16,Calc2!$Z$64:$AB$207,3,0),"")</f>
        <v/>
      </c>
      <c r="J20" s="114" t="str">
        <f ca="1">IFERROR(VLOOKUP($C20&amp;J$16,Calc2!$Z$64:$AB$207,3,0),"")</f>
        <v/>
      </c>
      <c r="K20" s="123"/>
      <c r="L20" s="114" t="str">
        <f ca="1">IFERROR(VLOOKUP($C20&amp;L$16,Calc2!$Z$64:$AB$207,3,0),"")</f>
        <v/>
      </c>
      <c r="M20" s="159" t="str">
        <f ca="1">IFERROR(VLOOKUP($C20&amp;M$16,Calc2!$Z$64:$AB$207,3,0),"")</f>
        <v/>
      </c>
      <c r="N20" s="187" t="str">
        <f t="shared" ca="1" si="1"/>
        <v/>
      </c>
    </row>
    <row r="21" spans="2:14" ht="21.95" customHeight="1" x14ac:dyDescent="0.2">
      <c r="B21" s="117" t="str">
        <f ca="1">IF($C21="","",INDEX(Calc2!$E$4:$E$12,MATCH($C21,Calc2!$F$4:$F$12,0)))</f>
        <v/>
      </c>
      <c r="C21" s="126" t="str">
        <f ca="1">IF(Calc2!$K$13=0,"",Calc2!$AC8)</f>
        <v/>
      </c>
      <c r="D21" s="130" t="str">
        <f ca="1">IF($C21="","",VLOOKUP($C21,Calc2!$C$17:$AC$25,25,0))</f>
        <v/>
      </c>
      <c r="E21" s="114" t="str">
        <f ca="1">IF($C21="","",VLOOKUP($C21,Calc2!$C$17:$AC$25,26,0))</f>
        <v/>
      </c>
      <c r="F21" s="114" t="str">
        <f ca="1">IF($C21="","",VLOOKUP($C21,Calc2!$C$17:$AC$25,27,0))</f>
        <v/>
      </c>
      <c r="G21" s="155" t="str">
        <f ca="1">IF($C21="","",VLOOKUP($C21,Vorrunde!$AH$12:$AI$47,2,0))</f>
        <v/>
      </c>
      <c r="H21" s="138" t="str">
        <f ca="1">IFERROR(VLOOKUP($C21&amp;H$16,Calc2!$Z$64:$AB$207,3,0),"")</f>
        <v/>
      </c>
      <c r="I21" s="114" t="str">
        <f ca="1">IFERROR(VLOOKUP($C21&amp;I$16,Calc2!$Z$64:$AB$207,3,0),"")</f>
        <v/>
      </c>
      <c r="J21" s="114" t="str">
        <f ca="1">IFERROR(VLOOKUP($C21&amp;J$16,Calc2!$Z$64:$AB$207,3,0),"")</f>
        <v/>
      </c>
      <c r="K21" s="114" t="str">
        <f ca="1">IFERROR(VLOOKUP($C21&amp;K$16,Calc2!$Z$64:$AB$207,3,0),"")</f>
        <v/>
      </c>
      <c r="L21" s="123"/>
      <c r="M21" s="159" t="str">
        <f ca="1">IFERROR(VLOOKUP($C21&amp;M$16,Calc2!$Z$64:$AB$207,3,0),"")</f>
        <v/>
      </c>
      <c r="N21" s="187" t="str">
        <f t="shared" ca="1" si="1"/>
        <v/>
      </c>
    </row>
    <row r="22" spans="2:14" ht="21.95" customHeight="1" thickBot="1" x14ac:dyDescent="0.25">
      <c r="B22" s="118" t="str">
        <f ca="1">IF($C22="","",INDEX(Calc2!$E$4:$E$12,MATCH($C22,Calc2!$F$4:$F$12,0)))</f>
        <v/>
      </c>
      <c r="C22" s="127" t="str">
        <f ca="1">IF(Calc2!$K$13=0,"",Calc2!$AC9)</f>
        <v/>
      </c>
      <c r="D22" s="131" t="str">
        <f ca="1">IF($C22="","",VLOOKUP($C22,Calc2!$C$17:$AC$25,25,0))</f>
        <v/>
      </c>
      <c r="E22" s="115" t="str">
        <f ca="1">IF($C22="","",VLOOKUP($C22,Calc2!$C$17:$AC$25,26,0))</f>
        <v/>
      </c>
      <c r="F22" s="115" t="str">
        <f ca="1">IF($C22="","",VLOOKUP($C22,Calc2!$C$17:$AC$25,27,0))</f>
        <v/>
      </c>
      <c r="G22" s="156" t="str">
        <f ca="1">IF($C22="","",VLOOKUP($C22,Vorrunde!$AH$12:$AI$47,2,0))</f>
        <v/>
      </c>
      <c r="H22" s="139" t="str">
        <f ca="1">IFERROR(VLOOKUP($C22&amp;H$16,Calc2!$Z$64:$AB$207,3,0),"")</f>
        <v/>
      </c>
      <c r="I22" s="115" t="str">
        <f ca="1">IFERROR(VLOOKUP($C22&amp;I$16,Calc2!$Z$64:$AB$207,3,0),"")</f>
        <v/>
      </c>
      <c r="J22" s="115" t="str">
        <f ca="1">IFERROR(VLOOKUP($C22&amp;J$16,Calc2!$Z$64:$AB$207,3,0),"")</f>
        <v/>
      </c>
      <c r="K22" s="115" t="str">
        <f ca="1">IFERROR(VLOOKUP($C22&amp;K$16,Calc2!$Z$64:$AB$207,3,0),"")</f>
        <v/>
      </c>
      <c r="L22" s="115" t="str">
        <f ca="1">IFERROR(VLOOKUP($C22&amp;L$16,Calc2!$Z$64:$AB$207,3,0),"")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IF(LEN(H25)&gt;Einstellungen!$C$17,LEFT(H25,Einstellungen!$C$17)&amp;".",H25)</f>
        <v/>
      </c>
      <c r="I24" s="151" t="str">
        <f ca="1">IF(LEN(I25)&gt;Einstellungen!$C$17,LEFT(I25,Einstellungen!$C$17)&amp;".",I25)</f>
        <v/>
      </c>
      <c r="J24" s="151" t="str">
        <f ca="1">IF(LEN(J25)&gt;Einstellungen!$C$17,LEFT(J25,Einstellungen!$C$17)&amp;".",J25)</f>
        <v/>
      </c>
      <c r="K24" s="151" t="str">
        <f ca="1">IF(LEN(K25)&gt;Einstellungen!$C$17,LEFT(K25,Einstellungen!$C$17)&amp;".",K25)</f>
        <v/>
      </c>
      <c r="L24" s="151" t="str">
        <f ca="1">IF(LEN(L25)&gt;Einstellungen!$C$17,LEFT(L25,Einstellungen!$C$17)&amp;".",L25)</f>
        <v/>
      </c>
      <c r="M24" s="152" t="str">
        <f ca="1">IF(LEN(M25)&gt;Einstellungen!$C$17,LEFT(M25,Einstellungen!$C$17)&amp;".",M25)</f>
        <v/>
      </c>
    </row>
    <row r="25" spans="2:14" ht="21.95" customHeight="1" thickTop="1" thickBot="1" x14ac:dyDescent="0.25">
      <c r="B25" s="119"/>
      <c r="C25" s="124" t="str">
        <f>Sprache!$E$10</f>
        <v>Teilnehmer bzw. Mannschaft</v>
      </c>
      <c r="D25" s="128" t="str">
        <f>Sprache!$E$27</f>
        <v>Pkt</v>
      </c>
      <c r="E25" s="116" t="str">
        <f>Sprache!$E$26</f>
        <v>Diff.</v>
      </c>
      <c r="F25" s="116" t="str">
        <f>Sprache!$E$28</f>
        <v>erz. Tore</v>
      </c>
      <c r="G25" s="153" t="str">
        <f>Sprache!$E$49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IF($C26="","",INDEX(Calc2!$E$4:$E$12,MATCH($C26,Calc2!$F$4:$F$12,0)))</f>
        <v/>
      </c>
      <c r="C26" s="125" t="str">
        <f ca="1">IF(Calc2!$K$13=0,"",Calc2!$AH4)</f>
        <v/>
      </c>
      <c r="D26" s="129" t="str">
        <f ca="1">IF($C26="","",VLOOKUP($C26,Calc2!$C$17:$AC$25,25,0))</f>
        <v/>
      </c>
      <c r="E26" s="113" t="str">
        <f ca="1">IF($C26="","",VLOOKUP($C26,Calc2!$C$17:$AC$25,26,0))</f>
        <v/>
      </c>
      <c r="F26" s="113" t="str">
        <f ca="1">IF($C26="","",VLOOKUP($C26,Calc2!$C$17:$AC$25,27,0))</f>
        <v/>
      </c>
      <c r="G26" s="154" t="str">
        <f ca="1">IF($C26="","",VLOOKUP($C26,Vorrunde!$AH$12:$AI$47,2,0))</f>
        <v/>
      </c>
      <c r="H26" s="137"/>
      <c r="I26" s="113" t="str">
        <f ca="1">IFERROR(VLOOKUP($C26&amp;I$25,Calc2!$Z$64:$AB$207,3,0),"")</f>
        <v/>
      </c>
      <c r="J26" s="113" t="str">
        <f ca="1">IFERROR(VLOOKUP($C26&amp;J$25,Calc2!$Z$64:$AB$207,3,0),"")</f>
        <v/>
      </c>
      <c r="K26" s="113" t="str">
        <f ca="1">IFERROR(VLOOKUP($C26&amp;K$25,Calc2!$Z$64:$AB$207,3,0),"")</f>
        <v/>
      </c>
      <c r="L26" s="113" t="str">
        <f ca="1">IFERROR(VLOOKUP($C26&amp;L$25,Calc2!$Z$64:$AB$207,3,0),"")</f>
        <v/>
      </c>
      <c r="M26" s="158" t="str">
        <f ca="1">IFERROR(VLOOKUP($C26&amp;M$25,Calc2!$Z$64:$AB$207,3,0),"")</f>
        <v/>
      </c>
      <c r="N26" s="186" t="str">
        <f t="shared" ref="N26:N31" ca="1" si="2">C26</f>
        <v/>
      </c>
    </row>
    <row r="27" spans="2:14" ht="21.95" customHeight="1" x14ac:dyDescent="0.2">
      <c r="B27" s="117" t="str">
        <f ca="1">IF($C27="","",INDEX(Calc2!$E$4:$E$12,MATCH($C27,Calc2!$F$4:$F$12,0)))</f>
        <v/>
      </c>
      <c r="C27" s="126" t="str">
        <f ca="1">IF(Calc2!$K$13=0,"",Calc2!$AH5)</f>
        <v/>
      </c>
      <c r="D27" s="130" t="str">
        <f ca="1">IF($C27="","",VLOOKUP($C27,Calc2!$C$17:$AC$25,25,0))</f>
        <v/>
      </c>
      <c r="E27" s="114" t="str">
        <f ca="1">IF($C27="","",VLOOKUP($C27,Calc2!$C$17:$AC$25,26,0))</f>
        <v/>
      </c>
      <c r="F27" s="114" t="str">
        <f ca="1">IF($C27="","",VLOOKUP($C27,Calc2!$C$17:$AC$25,27,0))</f>
        <v/>
      </c>
      <c r="G27" s="155" t="str">
        <f ca="1">IF($C27="","",VLOOKUP($C27,Vorrunde!$AH$12:$AI$47,2,0))</f>
        <v/>
      </c>
      <c r="H27" s="138" t="str">
        <f ca="1">IFERROR(VLOOKUP($C27&amp;H$25,Calc2!$Z$64:$AB$207,3,0),"")</f>
        <v/>
      </c>
      <c r="I27" s="123"/>
      <c r="J27" s="114" t="str">
        <f ca="1">IFERROR(VLOOKUP($C27&amp;J$25,Calc2!$Z$64:$AB$207,3,0),"")</f>
        <v/>
      </c>
      <c r="K27" s="114" t="str">
        <f ca="1">IFERROR(VLOOKUP($C27&amp;K$25,Calc2!$Z$64:$AB$207,3,0),"")</f>
        <v/>
      </c>
      <c r="L27" s="114" t="str">
        <f ca="1">IFERROR(VLOOKUP($C27&amp;L$25,Calc2!$Z$64:$AB$207,3,0),"")</f>
        <v/>
      </c>
      <c r="M27" s="159" t="str">
        <f ca="1">IFERROR(VLOOKUP($C27&amp;M$25,Calc2!$Z$64:$AB$207,3,0),"")</f>
        <v/>
      </c>
      <c r="N27" s="187" t="str">
        <f t="shared" ca="1" si="2"/>
        <v/>
      </c>
    </row>
    <row r="28" spans="2:14" ht="21.95" customHeight="1" x14ac:dyDescent="0.2">
      <c r="B28" s="117" t="str">
        <f ca="1">IF($C28="","",INDEX(Calc2!$E$4:$E$12,MATCH($C28,Calc2!$F$4:$F$12,0)))</f>
        <v/>
      </c>
      <c r="C28" s="126" t="str">
        <f ca="1">IF(Calc2!$K$13=0,"",Calc2!$AH6)</f>
        <v/>
      </c>
      <c r="D28" s="130" t="str">
        <f ca="1">IF($C28="","",VLOOKUP($C28,Calc2!$C$17:$AC$25,25,0))</f>
        <v/>
      </c>
      <c r="E28" s="114" t="str">
        <f ca="1">IF($C28="","",VLOOKUP($C28,Calc2!$C$17:$AC$25,26,0))</f>
        <v/>
      </c>
      <c r="F28" s="114" t="str">
        <f ca="1">IF($C28="","",VLOOKUP($C28,Calc2!$C$17:$AC$25,27,0))</f>
        <v/>
      </c>
      <c r="G28" s="155" t="str">
        <f ca="1">IF($C28="","",VLOOKUP($C28,Vorrunde!$AH$12:$AI$47,2,0))</f>
        <v/>
      </c>
      <c r="H28" s="138" t="str">
        <f ca="1">IFERROR(VLOOKUP($C28&amp;H$25,Calc2!$Z$64:$AB$207,3,0),"")</f>
        <v/>
      </c>
      <c r="I28" s="114" t="str">
        <f ca="1">IFERROR(VLOOKUP($C28&amp;I$25,Calc2!$Z$64:$AB$207,3,0),"")</f>
        <v/>
      </c>
      <c r="J28" s="123"/>
      <c r="K28" s="114" t="str">
        <f ca="1">IFERROR(VLOOKUP($C28&amp;K$25,Calc2!$Z$64:$AB$207,3,0),"")</f>
        <v/>
      </c>
      <c r="L28" s="114" t="str">
        <f ca="1">IFERROR(VLOOKUP($C28&amp;L$25,Calc2!$Z$64:$AB$207,3,0),"")</f>
        <v/>
      </c>
      <c r="M28" s="159" t="str">
        <f ca="1">IFERROR(VLOOKUP($C28&amp;M$25,Calc2!$Z$64:$AB$207,3,0),"")</f>
        <v/>
      </c>
      <c r="N28" s="187" t="str">
        <f t="shared" ca="1" si="2"/>
        <v/>
      </c>
    </row>
    <row r="29" spans="2:14" ht="21.95" customHeight="1" x14ac:dyDescent="0.2">
      <c r="B29" s="117" t="str">
        <f ca="1">IF($C29="","",INDEX(Calc2!$E$4:$E$12,MATCH($C29,Calc2!$F$4:$F$12,0)))</f>
        <v/>
      </c>
      <c r="C29" s="126" t="str">
        <f ca="1">IF(Calc2!$K$13=0,"",Calc2!$AH7)</f>
        <v/>
      </c>
      <c r="D29" s="130" t="str">
        <f ca="1">IF($C29="","",VLOOKUP($C29,Calc2!$C$17:$AC$25,25,0))</f>
        <v/>
      </c>
      <c r="E29" s="114" t="str">
        <f ca="1">IF($C29="","",VLOOKUP($C29,Calc2!$C$17:$AC$25,26,0))</f>
        <v/>
      </c>
      <c r="F29" s="114" t="str">
        <f ca="1">IF($C29="","",VLOOKUP($C29,Calc2!$C$17:$AC$25,27,0))</f>
        <v/>
      </c>
      <c r="G29" s="155" t="str">
        <f ca="1">IF($C29="","",VLOOKUP($C29,Vorrunde!$AH$12:$AI$47,2,0))</f>
        <v/>
      </c>
      <c r="H29" s="138" t="str">
        <f ca="1">IFERROR(VLOOKUP($C29&amp;H$25,Calc2!$Z$64:$AB$207,3,0),"")</f>
        <v/>
      </c>
      <c r="I29" s="114" t="str">
        <f ca="1">IFERROR(VLOOKUP($C29&amp;I$25,Calc2!$Z$64:$AB$207,3,0),"")</f>
        <v/>
      </c>
      <c r="J29" s="114" t="str">
        <f ca="1">IFERROR(VLOOKUP($C29&amp;J$25,Calc2!$Z$64:$AB$207,3,0),"")</f>
        <v/>
      </c>
      <c r="K29" s="123"/>
      <c r="L29" s="114" t="str">
        <f ca="1">IFERROR(VLOOKUP($C29&amp;L$25,Calc2!$Z$64:$AB$207,3,0),"")</f>
        <v/>
      </c>
      <c r="M29" s="159" t="str">
        <f ca="1">IFERROR(VLOOKUP($C29&amp;M$25,Calc2!$Z$64:$AB$207,3,0),"")</f>
        <v/>
      </c>
      <c r="N29" s="187" t="str">
        <f t="shared" ca="1" si="2"/>
        <v/>
      </c>
    </row>
    <row r="30" spans="2:14" ht="21.95" customHeight="1" x14ac:dyDescent="0.2">
      <c r="B30" s="117" t="str">
        <f ca="1">IF($C30="","",INDEX(Calc2!$E$4:$E$12,MATCH($C30,Calc2!$F$4:$F$12,0)))</f>
        <v/>
      </c>
      <c r="C30" s="126" t="str">
        <f ca="1">IF(Calc2!$K$13=0,"",Calc2!$AH8)</f>
        <v/>
      </c>
      <c r="D30" s="130" t="str">
        <f ca="1">IF($C30="","",VLOOKUP($C30,Calc2!$C$17:$AC$25,25,0))</f>
        <v/>
      </c>
      <c r="E30" s="114" t="str">
        <f ca="1">IF($C30="","",VLOOKUP($C30,Calc2!$C$17:$AC$25,26,0))</f>
        <v/>
      </c>
      <c r="F30" s="114" t="str">
        <f ca="1">IF($C30="","",VLOOKUP($C30,Calc2!$C$17:$AC$25,27,0))</f>
        <v/>
      </c>
      <c r="G30" s="155" t="str">
        <f ca="1">IF($C30="","",VLOOKUP($C30,Vorrunde!$AH$12:$AI$47,2,0))</f>
        <v/>
      </c>
      <c r="H30" s="138" t="str">
        <f ca="1">IFERROR(VLOOKUP($C30&amp;H$25,Calc2!$Z$64:$AB$207,3,0),"")</f>
        <v/>
      </c>
      <c r="I30" s="114" t="str">
        <f ca="1">IFERROR(VLOOKUP($C30&amp;I$25,Calc2!$Z$64:$AB$207,3,0),"")</f>
        <v/>
      </c>
      <c r="J30" s="114" t="str">
        <f ca="1">IFERROR(VLOOKUP($C30&amp;J$25,Calc2!$Z$64:$AB$207,3,0),"")</f>
        <v/>
      </c>
      <c r="K30" s="114" t="str">
        <f ca="1">IFERROR(VLOOKUP($C30&amp;K$25,Calc2!$Z$64:$AB$207,3,0),"")</f>
        <v/>
      </c>
      <c r="L30" s="123"/>
      <c r="M30" s="159" t="str">
        <f ca="1">IFERROR(VLOOKUP($C30&amp;M$25,Calc2!$Z$64:$AB$207,3,0),"")</f>
        <v/>
      </c>
      <c r="N30" s="187" t="str">
        <f t="shared" ca="1" si="2"/>
        <v/>
      </c>
    </row>
    <row r="31" spans="2:14" ht="21.95" customHeight="1" thickBot="1" x14ac:dyDescent="0.25">
      <c r="B31" s="118" t="str">
        <f ca="1">IF($C31="","",INDEX(Calc2!$E$4:$E$12,MATCH($C31,Calc2!$F$4:$F$12,0)))</f>
        <v/>
      </c>
      <c r="C31" s="127" t="str">
        <f ca="1">IF(Calc2!$K$13=0,"",Calc2!$AH9)</f>
        <v/>
      </c>
      <c r="D31" s="131" t="str">
        <f ca="1">IF($C31="","",VLOOKUP($C31,Calc2!$C$17:$AC$25,25,0))</f>
        <v/>
      </c>
      <c r="E31" s="115" t="str">
        <f ca="1">IF($C31="","",VLOOKUP($C31,Calc2!$C$17:$AC$25,26,0))</f>
        <v/>
      </c>
      <c r="F31" s="115" t="str">
        <f ca="1">IF($C31="","",VLOOKUP($C31,Calc2!$C$17:$AC$25,27,0))</f>
        <v/>
      </c>
      <c r="G31" s="156" t="str">
        <f ca="1">IF($C31="","",VLOOKUP($C31,Vorrunde!$AH$12:$AI$47,2,0))</f>
        <v/>
      </c>
      <c r="H31" s="139" t="str">
        <f ca="1">IFERROR(VLOOKUP($C31&amp;H$25,Calc2!$Z$64:$AB$207,3,0),"")</f>
        <v/>
      </c>
      <c r="I31" s="115" t="str">
        <f ca="1">IFERROR(VLOOKUP($C31&amp;I$25,Calc2!$Z$64:$AB$207,3,0),"")</f>
        <v/>
      </c>
      <c r="J31" s="115" t="str">
        <f ca="1">IFERROR(VLOOKUP($C31&amp;J$25,Calc2!$Z$64:$AB$207,3,0),"")</f>
        <v/>
      </c>
      <c r="K31" s="115" t="str">
        <f ca="1">IFERROR(VLOOKUP($C31&amp;K$25,Calc2!$Z$64:$AB$207,3,0),"")</f>
        <v/>
      </c>
      <c r="L31" s="115" t="str">
        <f ca="1">IFERROR(VLOOKUP($C31&amp;L$25,Calc2!$Z$64:$AB$207,3,0),"")</f>
        <v/>
      </c>
      <c r="M31" s="160"/>
      <c r="N31" s="188" t="str">
        <f t="shared" ca="1" si="2"/>
        <v/>
      </c>
    </row>
    <row r="32" spans="2:14" ht="42.75" customHeight="1" thickTop="1" thickBot="1" x14ac:dyDescent="0.25"/>
    <row r="33" spans="2:14" ht="21.95" customHeight="1" thickBot="1" x14ac:dyDescent="0.25">
      <c r="H33" s="150" t="str">
        <f ca="1">IF(LEN(H34)&gt;Einstellungen!$C$17,LEFT(H34,Einstellungen!$C$17)&amp;".",H34)</f>
        <v/>
      </c>
      <c r="I33" s="151" t="str">
        <f ca="1">IF(LEN(I34)&gt;Einstellungen!$C$17,LEFT(I34,Einstellungen!$C$17)&amp;".",I34)</f>
        <v/>
      </c>
      <c r="J33" s="151" t="str">
        <f ca="1">IF(LEN(J34)&gt;Einstellungen!$C$17,LEFT(J34,Einstellungen!$C$17)&amp;".",J34)</f>
        <v/>
      </c>
      <c r="K33" s="151" t="str">
        <f ca="1">IF(LEN(K34)&gt;Einstellungen!$C$17,LEFT(K34,Einstellungen!$C$17)&amp;".",K34)</f>
        <v/>
      </c>
      <c r="L33" s="151" t="str">
        <f ca="1">IF(LEN(L34)&gt;Einstellungen!$C$17,LEFT(L34,Einstellungen!$C$17)&amp;".",L34)</f>
        <v/>
      </c>
      <c r="M33" s="152" t="str">
        <f ca="1">IF(LEN(M34)&gt;Einstellungen!$C$17,LEFT(M34,Einstellungen!$C$17)&amp;".",M34)</f>
        <v/>
      </c>
    </row>
    <row r="34" spans="2:14" ht="21.95" customHeight="1" thickTop="1" thickBot="1" x14ac:dyDescent="0.25">
      <c r="B34" s="119"/>
      <c r="C34" s="124" t="str">
        <f>Sprache!$E$10</f>
        <v>Teilnehmer bzw. Mannschaft</v>
      </c>
      <c r="D34" s="128" t="str">
        <f>Sprache!$E$27</f>
        <v>Pkt</v>
      </c>
      <c r="E34" s="116" t="str">
        <f>Sprache!$E$26</f>
        <v>Diff.</v>
      </c>
      <c r="F34" s="116" t="str">
        <f>Sprache!$E$28</f>
        <v>erz. Tore</v>
      </c>
      <c r="G34" s="153" t="str">
        <f>Sprache!$E$49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IF($C35="","",INDEX(Calc2!$E$4:$E$12,MATCH($C35,Calc2!$F$4:$F$12,0)))</f>
        <v/>
      </c>
      <c r="C35" s="125" t="str">
        <f ca="1">IF(Calc2!$K$13=0,"",Calc2!$AM4)</f>
        <v/>
      </c>
      <c r="D35" s="129" t="str">
        <f ca="1">IF($C35="","",VLOOKUP($C35,Calc2!$C$17:$AC$25,25,0))</f>
        <v/>
      </c>
      <c r="E35" s="113" t="str">
        <f ca="1">IF($C35="","",VLOOKUP($C35,Calc2!$C$17:$AC$25,26,0))</f>
        <v/>
      </c>
      <c r="F35" s="113" t="str">
        <f ca="1">IF($C35="","",VLOOKUP($C35,Calc2!$C$17:$AC$25,27,0))</f>
        <v/>
      </c>
      <c r="G35" s="154" t="str">
        <f ca="1">IF($C35="","",VLOOKUP($C35,Vorrunde!$AH$12:$AI$47,2,0))</f>
        <v/>
      </c>
      <c r="H35" s="137"/>
      <c r="I35" s="113" t="str">
        <f ca="1">IFERROR(VLOOKUP($C35&amp;I$34,Calc2!$Z$64:$AB$207,3,0),"")</f>
        <v/>
      </c>
      <c r="J35" s="113" t="str">
        <f ca="1">IFERROR(VLOOKUP($C35&amp;J$34,Calc2!$Z$64:$AB$207,3,0),"")</f>
        <v/>
      </c>
      <c r="K35" s="113" t="str">
        <f ca="1">IFERROR(VLOOKUP($C35&amp;K$34,Calc2!$Z$64:$AB$207,3,0),"")</f>
        <v/>
      </c>
      <c r="L35" s="113" t="str">
        <f ca="1">IFERROR(VLOOKUP($C35&amp;L$34,Calc2!$Z$64:$AB$207,3,0),"")</f>
        <v/>
      </c>
      <c r="M35" s="158" t="str">
        <f ca="1">IFERROR(VLOOKUP($C35&amp;M$34,Calc2!$Z$64:$AB$207,3,0),"")</f>
        <v/>
      </c>
      <c r="N35" s="186" t="str">
        <f t="shared" ref="N35:N40" ca="1" si="3">C35</f>
        <v/>
      </c>
    </row>
    <row r="36" spans="2:14" ht="21.95" customHeight="1" x14ac:dyDescent="0.2">
      <c r="B36" s="117" t="str">
        <f ca="1">IF($C36="","",INDEX(Calc2!$E$4:$E$12,MATCH($C36,Calc2!$F$4:$F$12,0)))</f>
        <v/>
      </c>
      <c r="C36" s="126" t="str">
        <f ca="1">IF(Calc2!$K$13=0,"",Calc2!$AM5)</f>
        <v/>
      </c>
      <c r="D36" s="130" t="str">
        <f ca="1">IF($C36="","",VLOOKUP($C36,Calc2!$C$17:$AC$25,25,0))</f>
        <v/>
      </c>
      <c r="E36" s="114" t="str">
        <f ca="1">IF($C36="","",VLOOKUP($C36,Calc2!$C$17:$AC$25,26,0))</f>
        <v/>
      </c>
      <c r="F36" s="114" t="str">
        <f ca="1">IF($C36="","",VLOOKUP($C36,Calc2!$C$17:$AC$25,27,0))</f>
        <v/>
      </c>
      <c r="G36" s="155" t="str">
        <f ca="1">IF($C36="","",VLOOKUP($C36,Vorrunde!$AH$12:$AI$47,2,0))</f>
        <v/>
      </c>
      <c r="H36" s="138" t="str">
        <f ca="1">IFERROR(VLOOKUP($C36&amp;H$34,Calc2!$Z$64:$AB$207,3,0),"")</f>
        <v/>
      </c>
      <c r="I36" s="123"/>
      <c r="J36" s="114" t="str">
        <f ca="1">IFERROR(VLOOKUP($C36&amp;J$34,Calc2!$Z$64:$AB$207,3,0),"")</f>
        <v/>
      </c>
      <c r="K36" s="114" t="str">
        <f ca="1">IFERROR(VLOOKUP($C36&amp;K$34,Calc2!$Z$64:$AB$207,3,0),"")</f>
        <v/>
      </c>
      <c r="L36" s="114" t="str">
        <f ca="1">IFERROR(VLOOKUP($C36&amp;L$34,Calc2!$Z$64:$AB$207,3,0),"")</f>
        <v/>
      </c>
      <c r="M36" s="159" t="str">
        <f ca="1">IFERROR(VLOOKUP($C36&amp;M$34,Calc2!$Z$64:$AB$207,3,0),"")</f>
        <v/>
      </c>
      <c r="N36" s="187" t="str">
        <f t="shared" ca="1" si="3"/>
        <v/>
      </c>
    </row>
    <row r="37" spans="2:14" ht="21.95" customHeight="1" x14ac:dyDescent="0.2">
      <c r="B37" s="117" t="str">
        <f ca="1">IF($C37="","",INDEX(Calc2!$E$4:$E$12,MATCH($C37,Calc2!$F$4:$F$12,0)))</f>
        <v/>
      </c>
      <c r="C37" s="126" t="str">
        <f ca="1">IF(Calc2!$K$13=0,"",Calc2!$AM6)</f>
        <v/>
      </c>
      <c r="D37" s="130" t="str">
        <f ca="1">IF($C37="","",VLOOKUP($C37,Calc2!$C$17:$AC$25,25,0))</f>
        <v/>
      </c>
      <c r="E37" s="114" t="str">
        <f ca="1">IF($C37="","",VLOOKUP($C37,Calc2!$C$17:$AC$25,26,0))</f>
        <v/>
      </c>
      <c r="F37" s="114" t="str">
        <f ca="1">IF($C37="","",VLOOKUP($C37,Calc2!$C$17:$AC$25,27,0))</f>
        <v/>
      </c>
      <c r="G37" s="155" t="str">
        <f ca="1">IF($C37="","",VLOOKUP($C37,Vorrunde!$AH$12:$AI$47,2,0))</f>
        <v/>
      </c>
      <c r="H37" s="138" t="str">
        <f ca="1">IFERROR(VLOOKUP($C37&amp;H$34,Calc2!$Z$64:$AB$207,3,0),"")</f>
        <v/>
      </c>
      <c r="I37" s="114" t="str">
        <f ca="1">IFERROR(VLOOKUP($C37&amp;I$34,Calc2!$Z$64:$AB$207,3,0),"")</f>
        <v/>
      </c>
      <c r="J37" s="123"/>
      <c r="K37" s="114" t="str">
        <f ca="1">IFERROR(VLOOKUP($C37&amp;K$34,Calc2!$Z$64:$AB$207,3,0),"")</f>
        <v/>
      </c>
      <c r="L37" s="114" t="str">
        <f ca="1">IFERROR(VLOOKUP($C37&amp;L$34,Calc2!$Z$64:$AB$207,3,0),"")</f>
        <v/>
      </c>
      <c r="M37" s="159" t="str">
        <f ca="1">IFERROR(VLOOKUP($C37&amp;M$34,Calc2!$Z$64:$AB$207,3,0),"")</f>
        <v/>
      </c>
      <c r="N37" s="187" t="str">
        <f t="shared" ca="1" si="3"/>
        <v/>
      </c>
    </row>
    <row r="38" spans="2:14" ht="21.95" customHeight="1" x14ac:dyDescent="0.2">
      <c r="B38" s="117" t="str">
        <f ca="1">IF($C38="","",INDEX(Calc2!$E$4:$E$12,MATCH($C38,Calc2!$F$4:$F$12,0)))</f>
        <v/>
      </c>
      <c r="C38" s="126" t="str">
        <f ca="1">IF(Calc2!$K$13=0,"",Calc2!$AM7)</f>
        <v/>
      </c>
      <c r="D38" s="130" t="str">
        <f ca="1">IF($C38="","",VLOOKUP($C38,Calc2!$C$17:$AC$25,25,0))</f>
        <v/>
      </c>
      <c r="E38" s="114" t="str">
        <f ca="1">IF($C38="","",VLOOKUP($C38,Calc2!$C$17:$AC$25,26,0))</f>
        <v/>
      </c>
      <c r="F38" s="114" t="str">
        <f ca="1">IF($C38="","",VLOOKUP($C38,Calc2!$C$17:$AC$25,27,0))</f>
        <v/>
      </c>
      <c r="G38" s="155" t="str">
        <f ca="1">IF($C38="","",VLOOKUP($C38,Vorrunde!$AH$12:$AI$47,2,0))</f>
        <v/>
      </c>
      <c r="H38" s="138" t="str">
        <f ca="1">IFERROR(VLOOKUP($C38&amp;H$34,Calc2!$Z$64:$AB$207,3,0),"")</f>
        <v/>
      </c>
      <c r="I38" s="114" t="str">
        <f ca="1">IFERROR(VLOOKUP($C38&amp;I$34,Calc2!$Z$64:$AB$207,3,0),"")</f>
        <v/>
      </c>
      <c r="J38" s="114" t="str">
        <f ca="1">IFERROR(VLOOKUP($C38&amp;J$34,Calc2!$Z$64:$AB$207,3,0),"")</f>
        <v/>
      </c>
      <c r="K38" s="123"/>
      <c r="L38" s="114" t="str">
        <f ca="1">IFERROR(VLOOKUP($C38&amp;L$34,Calc2!$Z$64:$AB$207,3,0),"")</f>
        <v/>
      </c>
      <c r="M38" s="159" t="str">
        <f ca="1">IFERROR(VLOOKUP($C38&amp;M$34,Calc2!$Z$64:$AB$207,3,0),"")</f>
        <v/>
      </c>
      <c r="N38" s="187" t="str">
        <f t="shared" ca="1" si="3"/>
        <v/>
      </c>
    </row>
    <row r="39" spans="2:14" ht="21.95" customHeight="1" x14ac:dyDescent="0.2">
      <c r="B39" s="117" t="str">
        <f ca="1">IF($C39="","",INDEX(Calc2!$E$4:$E$12,MATCH($C39,Calc2!$F$4:$F$12,0)))</f>
        <v/>
      </c>
      <c r="C39" s="126" t="str">
        <f ca="1">IF(Calc2!$K$13=0,"",Calc2!$AM8)</f>
        <v/>
      </c>
      <c r="D39" s="130" t="str">
        <f ca="1">IF($C39="","",VLOOKUP($C39,Calc2!$C$17:$AC$25,25,0))</f>
        <v/>
      </c>
      <c r="E39" s="114" t="str">
        <f ca="1">IF($C39="","",VLOOKUP($C39,Calc2!$C$17:$AC$25,26,0))</f>
        <v/>
      </c>
      <c r="F39" s="114" t="str">
        <f ca="1">IF($C39="","",VLOOKUP($C39,Calc2!$C$17:$AC$25,27,0))</f>
        <v/>
      </c>
      <c r="G39" s="155" t="str">
        <f ca="1">IF($C39="","",VLOOKUP($C39,Vorrunde!$AH$12:$AI$47,2,0))</f>
        <v/>
      </c>
      <c r="H39" s="138" t="str">
        <f ca="1">IFERROR(VLOOKUP($C39&amp;H$34,Calc2!$Z$64:$AB$207,3,0),"")</f>
        <v/>
      </c>
      <c r="I39" s="114" t="str">
        <f ca="1">IFERROR(VLOOKUP($C39&amp;I$34,Calc2!$Z$64:$AB$207,3,0),"")</f>
        <v/>
      </c>
      <c r="J39" s="114" t="str">
        <f ca="1">IFERROR(VLOOKUP($C39&amp;J$34,Calc2!$Z$64:$AB$207,3,0),"")</f>
        <v/>
      </c>
      <c r="K39" s="114" t="str">
        <f ca="1">IFERROR(VLOOKUP($C39&amp;K$34,Calc2!$Z$64:$AB$207,3,0),"")</f>
        <v/>
      </c>
      <c r="L39" s="123"/>
      <c r="M39" s="159" t="str">
        <f ca="1">IFERROR(VLOOKUP($C39&amp;M$34,Calc2!$Z$64:$AB$207,3,0),"")</f>
        <v/>
      </c>
      <c r="N39" s="187" t="str">
        <f t="shared" ca="1" si="3"/>
        <v/>
      </c>
    </row>
    <row r="40" spans="2:14" ht="21.95" customHeight="1" thickBot="1" x14ac:dyDescent="0.25">
      <c r="B40" s="118" t="str">
        <f ca="1">IF($C40="","",INDEX(Calc2!$E$4:$E$12,MATCH($C40,Calc2!$F$4:$F$12,0)))</f>
        <v/>
      </c>
      <c r="C40" s="127" t="str">
        <f ca="1">IF(Calc2!$K$13=0,"",Calc2!$AM9)</f>
        <v/>
      </c>
      <c r="D40" s="131" t="str">
        <f ca="1">IF($C40="","",VLOOKUP($C40,Calc2!$C$17:$AC$25,25,0))</f>
        <v/>
      </c>
      <c r="E40" s="115" t="str">
        <f ca="1">IF($C40="","",VLOOKUP($C40,Calc2!$C$17:$AC$25,26,0))</f>
        <v/>
      </c>
      <c r="F40" s="115" t="str">
        <f ca="1">IF($C40="","",VLOOKUP($C40,Calc2!$C$17:$AC$25,27,0))</f>
        <v/>
      </c>
      <c r="G40" s="156" t="str">
        <f ca="1">IF($C40="","",VLOOKUP($C40,Vorrunde!$AH$12:$AI$47,2,0))</f>
        <v/>
      </c>
      <c r="H40" s="139" t="str">
        <f ca="1">IFERROR(VLOOKUP($C40&amp;H$34,Calc2!$Z$64:$AB$207,3,0),"")</f>
        <v/>
      </c>
      <c r="I40" s="115" t="str">
        <f ca="1">IFERROR(VLOOKUP($C40&amp;I$34,Calc2!$Z$64:$AB$207,3,0),"")</f>
        <v/>
      </c>
      <c r="J40" s="115" t="str">
        <f ca="1">IFERROR(VLOOKUP($C40&amp;J$34,Calc2!$Z$64:$AB$207,3,0),"")</f>
        <v/>
      </c>
      <c r="K40" s="115" t="str">
        <f ca="1">IFERROR(VLOOKUP($C40&amp;K$34,Calc2!$Z$64:$AB$207,3,0),"")</f>
        <v/>
      </c>
      <c r="L40" s="115" t="str">
        <f ca="1">IFERROR(VLOOKUP($C40&amp;L$34,Calc2!$Z$64:$AB$207,3,0),"")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21"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A4FC-536D-4FAA-9919-73E4EAD28A07}">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Sprache!$E$7</f>
        <v>Direkte Vergleiche</v>
      </c>
      <c r="C2" s="881"/>
      <c r="D2" s="881"/>
      <c r="E2" s="881"/>
      <c r="F2" s="881"/>
      <c r="G2" s="881"/>
      <c r="H2" s="881"/>
      <c r="I2" s="881"/>
      <c r="J2" s="881"/>
      <c r="K2" s="881"/>
      <c r="L2" s="881"/>
      <c r="M2" s="881"/>
    </row>
    <row r="3" spans="2:14" ht="42.75" customHeight="1" x14ac:dyDescent="0.2">
      <c r="B3" s="882" t="str">
        <f>Sprache!$E$56&amp;" C"</f>
        <v>Vorrunde Gruppe C</v>
      </c>
      <c r="C3" s="882"/>
      <c r="D3" s="882"/>
      <c r="E3" s="882"/>
      <c r="F3" s="882"/>
      <c r="G3" s="882"/>
      <c r="H3" s="882"/>
      <c r="I3" s="882"/>
      <c r="J3" s="882"/>
      <c r="K3" s="882"/>
      <c r="L3" s="882"/>
      <c r="M3" s="882"/>
    </row>
    <row r="4" spans="2:14" ht="17.25" customHeight="1" x14ac:dyDescent="0.2">
      <c r="B4" s="883" t="str">
        <f>Sprache!$E$109</f>
        <v>Rote Schrift bedeutet, dass die Rangfolge auch mit dem direkten Vergleich nicht geklärt ist. Fair Play oder Los muss hier entscheiden.</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IF(LEN(H7)&gt;Einstellungen!$C$17,LEFT(H7,Einstellungen!$C$17)&amp;".",H7)</f>
        <v/>
      </c>
      <c r="I6" s="151" t="str">
        <f ca="1">IF(LEN(I7)&gt;Einstellungen!$C$17,LEFT(I7,Einstellungen!$C$17)&amp;".",I7)</f>
        <v/>
      </c>
      <c r="J6" s="151" t="str">
        <f ca="1">IF(LEN(J7)&gt;Einstellungen!$C$17,LEFT(J7,Einstellungen!$C$17)&amp;".",J7)</f>
        <v/>
      </c>
      <c r="K6" s="151" t="str">
        <f ca="1">IF(LEN(K7)&gt;Einstellungen!$C$17,LEFT(K7,Einstellungen!$C$17)&amp;".",K7)</f>
        <v/>
      </c>
      <c r="L6" s="151" t="str">
        <f ca="1">IF(LEN(L7)&gt;Einstellungen!$C$17,LEFT(L7,Einstellungen!$C$17)&amp;".",L7)</f>
        <v/>
      </c>
      <c r="M6" s="152" t="str">
        <f ca="1">IF(LEN(M7)&gt;Einstellungen!$C$17,LEFT(M7,Einstellungen!$C$17)&amp;".",M7)</f>
        <v/>
      </c>
    </row>
    <row r="7" spans="2:14" ht="21.95" customHeight="1" thickTop="1" thickBot="1" x14ac:dyDescent="0.25">
      <c r="B7" s="119"/>
      <c r="C7" s="124" t="str">
        <f>Sprache!$E$10</f>
        <v>Teilnehmer bzw. Mannschaft</v>
      </c>
      <c r="D7" s="128" t="str">
        <f>Sprache!$E$27</f>
        <v>Pkt</v>
      </c>
      <c r="E7" s="116" t="str">
        <f>Sprache!$E$26</f>
        <v>Diff.</v>
      </c>
      <c r="F7" s="116" t="str">
        <f>Sprache!$E$28</f>
        <v>erz. Tore</v>
      </c>
      <c r="G7" s="153" t="str">
        <f>Sprache!$E$49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IF($C8="","",INDEX(Calc3!$E$4:$E$12,MATCH($C8,Calc3!$F$4:$F$12,0)))</f>
        <v/>
      </c>
      <c r="C8" s="125" t="str">
        <f ca="1">IF(Calc3!$K$13=0,"",Calc3!$X4)</f>
        <v/>
      </c>
      <c r="D8" s="129" t="str">
        <f ca="1">IF($C8="","",VLOOKUP($C8,Calc3!$C$17:$AC$25,25,0))</f>
        <v/>
      </c>
      <c r="E8" s="113" t="str">
        <f ca="1">IF($C8="","",VLOOKUP($C8,Calc3!$C$17:$AC$25,26,0))</f>
        <v/>
      </c>
      <c r="F8" s="113" t="str">
        <f ca="1">IF($C8="","",VLOOKUP($C8,Calc3!$C$17:$AC$25,27,0))</f>
        <v/>
      </c>
      <c r="G8" s="154" t="str">
        <f ca="1">IF($C8="","",VLOOKUP($C8,Vorrunde!$AH$12:$AI$47,2,0))</f>
        <v/>
      </c>
      <c r="H8" s="137"/>
      <c r="I8" s="113" t="str">
        <f ca="1">IFERROR(VLOOKUP($C8&amp;I$7,Calc3!$Z$64:$AB$207,3,0),"")</f>
        <v/>
      </c>
      <c r="J8" s="113" t="str">
        <f ca="1">IFERROR(VLOOKUP($C8&amp;J$7,Calc3!$Z$64:$AB$207,3,0),"")</f>
        <v/>
      </c>
      <c r="K8" s="113" t="str">
        <f ca="1">IFERROR(VLOOKUP($C8&amp;K$7,Calc3!$Z$64:$AB$207,3,0),"")</f>
        <v/>
      </c>
      <c r="L8" s="113" t="str">
        <f ca="1">IFERROR(VLOOKUP($C8&amp;L$7,Calc3!$Z$64:$AB$207,3,0),"")</f>
        <v/>
      </c>
      <c r="M8" s="158" t="str">
        <f ca="1">IFERROR(VLOOKUP($C8&amp;M$7,Calc3!$Z$64:$AB$207,3,0),"")</f>
        <v/>
      </c>
      <c r="N8" s="186" t="str">
        <f t="shared" ref="N8:N13" ca="1" si="0">C8</f>
        <v/>
      </c>
    </row>
    <row r="9" spans="2:14" ht="21.95" customHeight="1" x14ac:dyDescent="0.2">
      <c r="B9" s="117" t="str">
        <f ca="1">IF($C9="","",INDEX(Calc3!$E$4:$E$12,MATCH($C9,Calc3!$F$4:$F$12,0)))</f>
        <v/>
      </c>
      <c r="C9" s="126" t="str">
        <f ca="1">IF(Calc3!$K$13=0,"",Calc3!$X5)</f>
        <v/>
      </c>
      <c r="D9" s="130" t="str">
        <f ca="1">IF($C9="","",VLOOKUP($C9,Calc3!$C$17:$AC$25,25,0))</f>
        <v/>
      </c>
      <c r="E9" s="114" t="str">
        <f ca="1">IF($C9="","",VLOOKUP($C9,Calc3!$C$17:$AC$25,26,0))</f>
        <v/>
      </c>
      <c r="F9" s="114" t="str">
        <f ca="1">IF($C9="","",VLOOKUP($C9,Calc3!$C$17:$AC$25,27,0))</f>
        <v/>
      </c>
      <c r="G9" s="155" t="str">
        <f ca="1">IF($C9="","",VLOOKUP($C9,Vorrunde!$AH$12:$AI$47,2,0))</f>
        <v/>
      </c>
      <c r="H9" s="138" t="str">
        <f ca="1">IFERROR(VLOOKUP($C9&amp;H$7,Calc3!$Z$64:$AB$207,3,0),"")</f>
        <v/>
      </c>
      <c r="I9" s="123"/>
      <c r="J9" s="114" t="str">
        <f ca="1">IFERROR(VLOOKUP($C9&amp;J$7,Calc3!$Z$64:$AB$207,3,0),"")</f>
        <v/>
      </c>
      <c r="K9" s="114" t="str">
        <f ca="1">IFERROR(VLOOKUP($C9&amp;K$7,Calc3!$Z$64:$AB$207,3,0),"")</f>
        <v/>
      </c>
      <c r="L9" s="114" t="str">
        <f ca="1">IFERROR(VLOOKUP($C9&amp;L$7,Calc3!$Z$64:$AB$207,3,0),"")</f>
        <v/>
      </c>
      <c r="M9" s="159" t="str">
        <f ca="1">IFERROR(VLOOKUP($C9&amp;M$7,Calc3!$Z$64:$AB$207,3,0),"")</f>
        <v/>
      </c>
      <c r="N9" s="187" t="str">
        <f t="shared" ca="1" si="0"/>
        <v/>
      </c>
    </row>
    <row r="10" spans="2:14" ht="21.95" customHeight="1" x14ac:dyDescent="0.2">
      <c r="B10" s="117" t="str">
        <f ca="1">IF($C10="","",INDEX(Calc3!$E$4:$E$12,MATCH($C10,Calc3!$F$4:$F$12,0)))</f>
        <v/>
      </c>
      <c r="C10" s="126" t="str">
        <f ca="1">IF(Calc3!$K$13=0,"",Calc3!$X6)</f>
        <v/>
      </c>
      <c r="D10" s="130" t="str">
        <f ca="1">IF($C10="","",VLOOKUP($C10,Calc3!$C$17:$AC$25,25,0))</f>
        <v/>
      </c>
      <c r="E10" s="114" t="str">
        <f ca="1">IF($C10="","",VLOOKUP($C10,Calc3!$C$17:$AC$25,26,0))</f>
        <v/>
      </c>
      <c r="F10" s="114" t="str">
        <f ca="1">IF($C10="","",VLOOKUP($C10,Calc3!$C$17:$AC$25,27,0))</f>
        <v/>
      </c>
      <c r="G10" s="155" t="str">
        <f ca="1">IF($C10="","",VLOOKUP($C10,Vorrunde!$AH$12:$AI$47,2,0))</f>
        <v/>
      </c>
      <c r="H10" s="138" t="str">
        <f ca="1">IFERROR(VLOOKUP($C10&amp;H$7,Calc3!$Z$64:$AB$207,3,0),"")</f>
        <v/>
      </c>
      <c r="I10" s="114" t="str">
        <f ca="1">IFERROR(VLOOKUP($C10&amp;I$7,Calc3!$Z$64:$AB$207,3,0),"")</f>
        <v/>
      </c>
      <c r="J10" s="123"/>
      <c r="K10" s="114" t="str">
        <f ca="1">IFERROR(VLOOKUP($C10&amp;K$7,Calc3!$Z$64:$AB$207,3,0),"")</f>
        <v/>
      </c>
      <c r="L10" s="114" t="str">
        <f ca="1">IFERROR(VLOOKUP($C10&amp;L$7,Calc3!$Z$64:$AB$207,3,0),"")</f>
        <v/>
      </c>
      <c r="M10" s="159" t="str">
        <f ca="1">IFERROR(VLOOKUP($C10&amp;M$7,Calc3!$Z$64:$AB$207,3,0),"")</f>
        <v/>
      </c>
      <c r="N10" s="187" t="str">
        <f t="shared" ca="1" si="0"/>
        <v/>
      </c>
    </row>
    <row r="11" spans="2:14" ht="21.95" customHeight="1" x14ac:dyDescent="0.2">
      <c r="B11" s="117" t="str">
        <f ca="1">IF($C11="","",INDEX(Calc3!$E$4:$E$12,MATCH($C11,Calc3!$F$4:$F$12,0)))</f>
        <v/>
      </c>
      <c r="C11" s="126" t="str">
        <f ca="1">IF(Calc3!$K$13=0,"",Calc3!$X7)</f>
        <v/>
      </c>
      <c r="D11" s="130" t="str">
        <f ca="1">IF($C11="","",VLOOKUP($C11,Calc3!$C$17:$AC$25,25,0))</f>
        <v/>
      </c>
      <c r="E11" s="114" t="str">
        <f ca="1">IF($C11="","",VLOOKUP($C11,Calc3!$C$17:$AC$25,26,0))</f>
        <v/>
      </c>
      <c r="F11" s="114" t="str">
        <f ca="1">IF($C11="","",VLOOKUP($C11,Calc3!$C$17:$AC$25,27,0))</f>
        <v/>
      </c>
      <c r="G11" s="155" t="str">
        <f ca="1">IF($C11="","",VLOOKUP($C11,Vorrunde!$AH$12:$AI$47,2,0))</f>
        <v/>
      </c>
      <c r="H11" s="138" t="str">
        <f ca="1">IFERROR(VLOOKUP($C11&amp;H$7,Calc3!$Z$64:$AB$207,3,0),"")</f>
        <v/>
      </c>
      <c r="I11" s="114" t="str">
        <f ca="1">IFERROR(VLOOKUP($C11&amp;I$7,Calc3!$Z$64:$AB$207,3,0),"")</f>
        <v/>
      </c>
      <c r="J11" s="114" t="str">
        <f ca="1">IFERROR(VLOOKUP($C11&amp;J$7,Calc3!$Z$64:$AB$207,3,0),"")</f>
        <v/>
      </c>
      <c r="K11" s="123"/>
      <c r="L11" s="114" t="str">
        <f ca="1">IFERROR(VLOOKUP($C11&amp;L$7,Calc3!$Z$64:$AB$207,3,0),"")</f>
        <v/>
      </c>
      <c r="M11" s="159" t="str">
        <f ca="1">IFERROR(VLOOKUP($C11&amp;M$7,Calc3!$Z$64:$AB$207,3,0),"")</f>
        <v/>
      </c>
      <c r="N11" s="187" t="str">
        <f t="shared" ca="1" si="0"/>
        <v/>
      </c>
    </row>
    <row r="12" spans="2:14" ht="21.95" customHeight="1" x14ac:dyDescent="0.2">
      <c r="B12" s="117" t="str">
        <f ca="1">IF($C12="","",INDEX(Calc3!$E$4:$E$12,MATCH($C12,Calc3!$F$4:$F$12,0)))</f>
        <v/>
      </c>
      <c r="C12" s="126" t="str">
        <f ca="1">IF(Calc3!$K$13=0,"",Calc3!$X8)</f>
        <v/>
      </c>
      <c r="D12" s="130" t="str">
        <f ca="1">IF($C12="","",VLOOKUP($C12,Calc3!$C$17:$AC$25,25,0))</f>
        <v/>
      </c>
      <c r="E12" s="114" t="str">
        <f ca="1">IF($C12="","",VLOOKUP($C12,Calc3!$C$17:$AC$25,26,0))</f>
        <v/>
      </c>
      <c r="F12" s="114" t="str">
        <f ca="1">IF($C12="","",VLOOKUP($C12,Calc3!$C$17:$AC$25,27,0))</f>
        <v/>
      </c>
      <c r="G12" s="155" t="str">
        <f ca="1">IF($C12="","",VLOOKUP($C12,Vorrunde!$AH$12:$AI$47,2,0))</f>
        <v/>
      </c>
      <c r="H12" s="138" t="str">
        <f ca="1">IFERROR(VLOOKUP($C12&amp;H$7,Calc3!$Z$64:$AB$207,3,0),"")</f>
        <v/>
      </c>
      <c r="I12" s="114" t="str">
        <f ca="1">IFERROR(VLOOKUP($C12&amp;I$7,Calc3!$Z$64:$AB$207,3,0),"")</f>
        <v/>
      </c>
      <c r="J12" s="114" t="str">
        <f ca="1">IFERROR(VLOOKUP($C12&amp;J$7,Calc3!$Z$64:$AB$207,3,0),"")</f>
        <v/>
      </c>
      <c r="K12" s="114" t="str">
        <f ca="1">IFERROR(VLOOKUP($C12&amp;K$7,Calc3!$Z$64:$AB$207,3,0),"")</f>
        <v/>
      </c>
      <c r="L12" s="123"/>
      <c r="M12" s="159" t="str">
        <f ca="1">IFERROR(VLOOKUP($C12&amp;M$7,Calc3!$Z$64:$AB$207,3,0),"")</f>
        <v/>
      </c>
      <c r="N12" s="187" t="str">
        <f t="shared" ca="1" si="0"/>
        <v/>
      </c>
    </row>
    <row r="13" spans="2:14" ht="21.95" customHeight="1" thickBot="1" x14ac:dyDescent="0.25">
      <c r="B13" s="118" t="str">
        <f ca="1">IF($C13="","",INDEX(Calc3!$E$4:$E$12,MATCH($C13,Calc3!$F$4:$F$12,0)))</f>
        <v/>
      </c>
      <c r="C13" s="127" t="str">
        <f ca="1">IF(Calc3!$K$13=0,"",Calc3!$X9)</f>
        <v/>
      </c>
      <c r="D13" s="131" t="str">
        <f ca="1">IF($C13="","",VLOOKUP($C13,Calc3!$C$17:$AC$25,25,0))</f>
        <v/>
      </c>
      <c r="E13" s="115" t="str">
        <f ca="1">IF($C13="","",VLOOKUP($C13,Calc3!$C$17:$AC$25,26,0))</f>
        <v/>
      </c>
      <c r="F13" s="115" t="str">
        <f ca="1">IF($C13="","",VLOOKUP($C13,Calc3!$C$17:$AC$25,27,0))</f>
        <v/>
      </c>
      <c r="G13" s="156" t="str">
        <f ca="1">IF($C13="","",VLOOKUP($C13,Vorrunde!$AH$12:$AI$47,2,0))</f>
        <v/>
      </c>
      <c r="H13" s="139" t="str">
        <f ca="1">IFERROR(VLOOKUP($C13&amp;H$7,Calc3!$Z$64:$AB$207,3,0),"")</f>
        <v/>
      </c>
      <c r="I13" s="115" t="str">
        <f ca="1">IFERROR(VLOOKUP($C13&amp;I$7,Calc3!$Z$64:$AB$207,3,0),"")</f>
        <v/>
      </c>
      <c r="J13" s="115" t="str">
        <f ca="1">IFERROR(VLOOKUP($C13&amp;J$7,Calc3!$Z$64:$AB$207,3,0),"")</f>
        <v/>
      </c>
      <c r="K13" s="115" t="str">
        <f ca="1">IFERROR(VLOOKUP($C13&amp;K$7,Calc3!$Z$64:$AB$207,3,0),"")</f>
        <v/>
      </c>
      <c r="L13" s="115" t="str">
        <f ca="1">IFERROR(VLOOKUP($C13&amp;L$7,Calc3!$Z$64:$AB$207,3,0),"")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IF(LEN(H16)&gt;Einstellungen!$C$17,LEFT(H16,Einstellungen!$C$17)&amp;".",H16)</f>
        <v/>
      </c>
      <c r="I15" s="151" t="str">
        <f ca="1">IF(LEN(I16)&gt;Einstellungen!$C$17,LEFT(I16,Einstellungen!$C$17)&amp;".",I16)</f>
        <v/>
      </c>
      <c r="J15" s="151" t="str">
        <f ca="1">IF(LEN(J16)&gt;Einstellungen!$C$17,LEFT(J16,Einstellungen!$C$17)&amp;".",J16)</f>
        <v/>
      </c>
      <c r="K15" s="151" t="str">
        <f ca="1">IF(LEN(K16)&gt;Einstellungen!$C$17,LEFT(K16,Einstellungen!$C$17)&amp;".",K16)</f>
        <v/>
      </c>
      <c r="L15" s="151" t="str">
        <f ca="1">IF(LEN(L16)&gt;Einstellungen!$C$17,LEFT(L16,Einstellungen!$C$17)&amp;".",L16)</f>
        <v/>
      </c>
      <c r="M15" s="152" t="str">
        <f ca="1">IF(LEN(M16)&gt;Einstellungen!$C$17,LEFT(M16,Einstellungen!$C$17)&amp;".",M16)</f>
        <v/>
      </c>
    </row>
    <row r="16" spans="2:14" ht="21.95" customHeight="1" thickTop="1" thickBot="1" x14ac:dyDescent="0.25">
      <c r="B16" s="119"/>
      <c r="C16" s="124" t="str">
        <f>Sprache!$E$10</f>
        <v>Teilnehmer bzw. Mannschaft</v>
      </c>
      <c r="D16" s="128" t="str">
        <f>Sprache!$E$27</f>
        <v>Pkt</v>
      </c>
      <c r="E16" s="116" t="str">
        <f>Sprache!$E$26</f>
        <v>Diff.</v>
      </c>
      <c r="F16" s="116" t="str">
        <f>Sprache!$E$28</f>
        <v>erz. Tore</v>
      </c>
      <c r="G16" s="153" t="str">
        <f>Sprache!$E$49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IF($C17="","",INDEX(Calc3!$E$4:$E$12,MATCH($C17,Calc3!$F$4:$F$12,0)))</f>
        <v/>
      </c>
      <c r="C17" s="125" t="str">
        <f ca="1">IF(Calc3!$K$13=0,"",Calc3!$AC4)</f>
        <v/>
      </c>
      <c r="D17" s="129" t="str">
        <f ca="1">IF($C17="","",VLOOKUP($C17,Calc3!$C$17:$AC$25,25,0))</f>
        <v/>
      </c>
      <c r="E17" s="113" t="str">
        <f ca="1">IF($C17="","",VLOOKUP($C17,Calc3!$C$17:$AC$25,26,0))</f>
        <v/>
      </c>
      <c r="F17" s="113" t="str">
        <f ca="1">IF($C17="","",VLOOKUP($C17,Calc3!$C$17:$AC$25,27,0))</f>
        <v/>
      </c>
      <c r="G17" s="154" t="str">
        <f ca="1">IF($C17="","",VLOOKUP($C17,Vorrunde!$AH$12:$AI$47,2,0))</f>
        <v/>
      </c>
      <c r="H17" s="137"/>
      <c r="I17" s="113" t="str">
        <f ca="1">IFERROR(VLOOKUP($C17&amp;I$16,Calc3!$Z$64:$AB$207,3,0),"")</f>
        <v/>
      </c>
      <c r="J17" s="113" t="str">
        <f ca="1">IFERROR(VLOOKUP($C17&amp;J$16,Calc3!$Z$64:$AB$207,3,0),"")</f>
        <v/>
      </c>
      <c r="K17" s="113" t="str">
        <f ca="1">IFERROR(VLOOKUP($C17&amp;K$16,Calc3!$Z$64:$AB$207,3,0),"")</f>
        <v/>
      </c>
      <c r="L17" s="113" t="str">
        <f ca="1">IFERROR(VLOOKUP($C17&amp;L$16,Calc3!$Z$64:$AB$207,3,0),"")</f>
        <v/>
      </c>
      <c r="M17" s="158" t="str">
        <f ca="1">IFERROR(VLOOKUP($C17&amp;M$16,Calc3!$Z$64:$AB$207,3,0),"")</f>
        <v/>
      </c>
      <c r="N17" s="186" t="str">
        <f t="shared" ref="N17:N22" ca="1" si="1">C17</f>
        <v/>
      </c>
    </row>
    <row r="18" spans="2:14" ht="21.95" customHeight="1" x14ac:dyDescent="0.2">
      <c r="B18" s="117" t="str">
        <f ca="1">IF($C18="","",INDEX(Calc3!$E$4:$E$12,MATCH($C18,Calc3!$F$4:$F$12,0)))</f>
        <v/>
      </c>
      <c r="C18" s="126" t="str">
        <f ca="1">IF(Calc3!$K$13=0,"",Calc3!$AC5)</f>
        <v/>
      </c>
      <c r="D18" s="130" t="str">
        <f ca="1">IF($C18="","",VLOOKUP($C18,Calc3!$C$17:$AC$25,25,0))</f>
        <v/>
      </c>
      <c r="E18" s="114" t="str">
        <f ca="1">IF($C18="","",VLOOKUP($C18,Calc3!$C$17:$AC$25,26,0))</f>
        <v/>
      </c>
      <c r="F18" s="114" t="str">
        <f ca="1">IF($C18="","",VLOOKUP($C18,Calc3!$C$17:$AC$25,27,0))</f>
        <v/>
      </c>
      <c r="G18" s="155" t="str">
        <f ca="1">IF($C18="","",VLOOKUP($C18,Vorrunde!$AH$12:$AI$47,2,0))</f>
        <v/>
      </c>
      <c r="H18" s="138" t="str">
        <f ca="1">IFERROR(VLOOKUP($C18&amp;H$16,Calc3!$Z$64:$AB$207,3,0),"")</f>
        <v/>
      </c>
      <c r="I18" s="123"/>
      <c r="J18" s="114" t="str">
        <f ca="1">IFERROR(VLOOKUP($C18&amp;J$16,Calc3!$Z$64:$AB$207,3,0),"")</f>
        <v/>
      </c>
      <c r="K18" s="114" t="str">
        <f ca="1">IFERROR(VLOOKUP($C18&amp;K$16,Calc3!$Z$64:$AB$207,3,0),"")</f>
        <v/>
      </c>
      <c r="L18" s="114" t="str">
        <f ca="1">IFERROR(VLOOKUP($C18&amp;L$16,Calc3!$Z$64:$AB$207,3,0),"")</f>
        <v/>
      </c>
      <c r="M18" s="159" t="str">
        <f ca="1">IFERROR(VLOOKUP($C18&amp;M$16,Calc3!$Z$64:$AB$207,3,0),"")</f>
        <v/>
      </c>
      <c r="N18" s="187" t="str">
        <f t="shared" ca="1" si="1"/>
        <v/>
      </c>
    </row>
    <row r="19" spans="2:14" ht="21.95" customHeight="1" x14ac:dyDescent="0.2">
      <c r="B19" s="117" t="str">
        <f ca="1">IF($C19="","",INDEX(Calc3!$E$4:$E$12,MATCH($C19,Calc3!$F$4:$F$12,0)))</f>
        <v/>
      </c>
      <c r="C19" s="126" t="str">
        <f ca="1">IF(Calc3!$K$13=0,"",Calc3!$AC6)</f>
        <v/>
      </c>
      <c r="D19" s="130" t="str">
        <f ca="1">IF($C19="","",VLOOKUP($C19,Calc3!$C$17:$AC$25,25,0))</f>
        <v/>
      </c>
      <c r="E19" s="114" t="str">
        <f ca="1">IF($C19="","",VLOOKUP($C19,Calc3!$C$17:$AC$25,26,0))</f>
        <v/>
      </c>
      <c r="F19" s="114" t="str">
        <f ca="1">IF($C19="","",VLOOKUP($C19,Calc3!$C$17:$AC$25,27,0))</f>
        <v/>
      </c>
      <c r="G19" s="155" t="str">
        <f ca="1">IF($C19="","",VLOOKUP($C19,Vorrunde!$AH$12:$AI$47,2,0))</f>
        <v/>
      </c>
      <c r="H19" s="138" t="str">
        <f ca="1">IFERROR(VLOOKUP($C19&amp;H$16,Calc3!$Z$64:$AB$207,3,0),"")</f>
        <v/>
      </c>
      <c r="I19" s="114" t="str">
        <f ca="1">IFERROR(VLOOKUP($C19&amp;I$16,Calc3!$Z$64:$AB$207,3,0),"")</f>
        <v/>
      </c>
      <c r="J19" s="123"/>
      <c r="K19" s="114" t="str">
        <f ca="1">IFERROR(VLOOKUP($C19&amp;K$16,Calc3!$Z$64:$AB$207,3,0),"")</f>
        <v/>
      </c>
      <c r="L19" s="114" t="str">
        <f ca="1">IFERROR(VLOOKUP($C19&amp;L$16,Calc3!$Z$64:$AB$207,3,0),"")</f>
        <v/>
      </c>
      <c r="M19" s="159" t="str">
        <f ca="1">IFERROR(VLOOKUP($C19&amp;M$16,Calc3!$Z$64:$AB$207,3,0),"")</f>
        <v/>
      </c>
      <c r="N19" s="187" t="str">
        <f t="shared" ca="1" si="1"/>
        <v/>
      </c>
    </row>
    <row r="20" spans="2:14" ht="21.95" customHeight="1" x14ac:dyDescent="0.2">
      <c r="B20" s="117" t="str">
        <f ca="1">IF($C20="","",INDEX(Calc3!$E$4:$E$12,MATCH($C20,Calc3!$F$4:$F$12,0)))</f>
        <v/>
      </c>
      <c r="C20" s="126" t="str">
        <f ca="1">IF(Calc3!$K$13=0,"",Calc3!$AC7)</f>
        <v/>
      </c>
      <c r="D20" s="130" t="str">
        <f ca="1">IF($C20="","",VLOOKUP($C20,Calc3!$C$17:$AC$25,25,0))</f>
        <v/>
      </c>
      <c r="E20" s="114" t="str">
        <f ca="1">IF($C20="","",VLOOKUP($C20,Calc3!$C$17:$AC$25,26,0))</f>
        <v/>
      </c>
      <c r="F20" s="114" t="str">
        <f ca="1">IF($C20="","",VLOOKUP($C20,Calc3!$C$17:$AC$25,27,0))</f>
        <v/>
      </c>
      <c r="G20" s="155" t="str">
        <f ca="1">IF($C20="","",VLOOKUP($C20,Vorrunde!$AH$12:$AI$47,2,0))</f>
        <v/>
      </c>
      <c r="H20" s="138" t="str">
        <f ca="1">IFERROR(VLOOKUP($C20&amp;H$16,Calc3!$Z$64:$AB$207,3,0),"")</f>
        <v/>
      </c>
      <c r="I20" s="114" t="str">
        <f ca="1">IFERROR(VLOOKUP($C20&amp;I$16,Calc3!$Z$64:$AB$207,3,0),"")</f>
        <v/>
      </c>
      <c r="J20" s="114" t="str">
        <f ca="1">IFERROR(VLOOKUP($C20&amp;J$16,Calc3!$Z$64:$AB$207,3,0),"")</f>
        <v/>
      </c>
      <c r="K20" s="123"/>
      <c r="L20" s="114" t="str">
        <f ca="1">IFERROR(VLOOKUP($C20&amp;L$16,Calc3!$Z$64:$AB$207,3,0),"")</f>
        <v/>
      </c>
      <c r="M20" s="159" t="str">
        <f ca="1">IFERROR(VLOOKUP($C20&amp;M$16,Calc3!$Z$64:$AB$207,3,0),"")</f>
        <v/>
      </c>
      <c r="N20" s="187" t="str">
        <f t="shared" ca="1" si="1"/>
        <v/>
      </c>
    </row>
    <row r="21" spans="2:14" ht="21.95" customHeight="1" x14ac:dyDescent="0.2">
      <c r="B21" s="117" t="str">
        <f ca="1">IF($C21="","",INDEX(Calc3!$E$4:$E$12,MATCH($C21,Calc3!$F$4:$F$12,0)))</f>
        <v/>
      </c>
      <c r="C21" s="126" t="str">
        <f ca="1">IF(Calc3!$K$13=0,"",Calc3!$AC8)</f>
        <v/>
      </c>
      <c r="D21" s="130" t="str">
        <f ca="1">IF($C21="","",VLOOKUP($C21,Calc3!$C$17:$AC$25,25,0))</f>
        <v/>
      </c>
      <c r="E21" s="114" t="str">
        <f ca="1">IF($C21="","",VLOOKUP($C21,Calc3!$C$17:$AC$25,26,0))</f>
        <v/>
      </c>
      <c r="F21" s="114" t="str">
        <f ca="1">IF($C21="","",VLOOKUP($C21,Calc3!$C$17:$AC$25,27,0))</f>
        <v/>
      </c>
      <c r="G21" s="155" t="str">
        <f ca="1">IF($C21="","",VLOOKUP($C21,Vorrunde!$AH$12:$AI$47,2,0))</f>
        <v/>
      </c>
      <c r="H21" s="138" t="str">
        <f ca="1">IFERROR(VLOOKUP($C21&amp;H$16,Calc3!$Z$64:$AB$207,3,0),"")</f>
        <v/>
      </c>
      <c r="I21" s="114" t="str">
        <f ca="1">IFERROR(VLOOKUP($C21&amp;I$16,Calc3!$Z$64:$AB$207,3,0),"")</f>
        <v/>
      </c>
      <c r="J21" s="114" t="str">
        <f ca="1">IFERROR(VLOOKUP($C21&amp;J$16,Calc3!$Z$64:$AB$207,3,0),"")</f>
        <v/>
      </c>
      <c r="K21" s="114" t="str">
        <f ca="1">IFERROR(VLOOKUP($C21&amp;K$16,Calc3!$Z$64:$AB$207,3,0),"")</f>
        <v/>
      </c>
      <c r="L21" s="123"/>
      <c r="M21" s="159" t="str">
        <f ca="1">IFERROR(VLOOKUP($C21&amp;M$16,Calc3!$Z$64:$AB$207,3,0),"")</f>
        <v/>
      </c>
      <c r="N21" s="187" t="str">
        <f t="shared" ca="1" si="1"/>
        <v/>
      </c>
    </row>
    <row r="22" spans="2:14" ht="21.95" customHeight="1" thickBot="1" x14ac:dyDescent="0.25">
      <c r="B22" s="118" t="str">
        <f ca="1">IF($C22="","",INDEX(Calc3!$E$4:$E$12,MATCH($C22,Calc3!$F$4:$F$12,0)))</f>
        <v/>
      </c>
      <c r="C22" s="127" t="str">
        <f ca="1">IF(Calc3!$K$13=0,"",Calc3!$AC9)</f>
        <v/>
      </c>
      <c r="D22" s="131" t="str">
        <f ca="1">IF($C22="","",VLOOKUP($C22,Calc3!$C$17:$AC$25,25,0))</f>
        <v/>
      </c>
      <c r="E22" s="115" t="str">
        <f ca="1">IF($C22="","",VLOOKUP($C22,Calc3!$C$17:$AC$25,26,0))</f>
        <v/>
      </c>
      <c r="F22" s="115" t="str">
        <f ca="1">IF($C22="","",VLOOKUP($C22,Calc3!$C$17:$AC$25,27,0))</f>
        <v/>
      </c>
      <c r="G22" s="156" t="str">
        <f ca="1">IF($C22="","",VLOOKUP($C22,Vorrunde!$AH$12:$AI$47,2,0))</f>
        <v/>
      </c>
      <c r="H22" s="139" t="str">
        <f ca="1">IFERROR(VLOOKUP($C22&amp;H$16,Calc3!$Z$64:$AB$207,3,0),"")</f>
        <v/>
      </c>
      <c r="I22" s="115" t="str">
        <f ca="1">IFERROR(VLOOKUP($C22&amp;I$16,Calc3!$Z$64:$AB$207,3,0),"")</f>
        <v/>
      </c>
      <c r="J22" s="115" t="str">
        <f ca="1">IFERROR(VLOOKUP($C22&amp;J$16,Calc3!$Z$64:$AB$207,3,0),"")</f>
        <v/>
      </c>
      <c r="K22" s="115" t="str">
        <f ca="1">IFERROR(VLOOKUP($C22&amp;K$16,Calc3!$Z$64:$AB$207,3,0),"")</f>
        <v/>
      </c>
      <c r="L22" s="115" t="str">
        <f ca="1">IFERROR(VLOOKUP($C22&amp;L$16,Calc3!$Z$64:$AB$207,3,0),"")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IF(LEN(H25)&gt;Einstellungen!$C$17,LEFT(H25,Einstellungen!$C$17)&amp;".",H25)</f>
        <v/>
      </c>
      <c r="I24" s="151" t="str">
        <f ca="1">IF(LEN(I25)&gt;Einstellungen!$C$17,LEFT(I25,Einstellungen!$C$17)&amp;".",I25)</f>
        <v/>
      </c>
      <c r="J24" s="151" t="str">
        <f ca="1">IF(LEN(J25)&gt;Einstellungen!$C$17,LEFT(J25,Einstellungen!$C$17)&amp;".",J25)</f>
        <v/>
      </c>
      <c r="K24" s="151" t="str">
        <f ca="1">IF(LEN(K25)&gt;Einstellungen!$C$17,LEFT(K25,Einstellungen!$C$17)&amp;".",K25)</f>
        <v/>
      </c>
      <c r="L24" s="151" t="str">
        <f ca="1">IF(LEN(L25)&gt;Einstellungen!$C$17,LEFT(L25,Einstellungen!$C$17)&amp;".",L25)</f>
        <v/>
      </c>
      <c r="M24" s="152" t="str">
        <f ca="1">IF(LEN(M25)&gt;Einstellungen!$C$17,LEFT(M25,Einstellungen!$C$17)&amp;".",M25)</f>
        <v/>
      </c>
    </row>
    <row r="25" spans="2:14" ht="21.95" customHeight="1" thickTop="1" thickBot="1" x14ac:dyDescent="0.25">
      <c r="B25" s="119"/>
      <c r="C25" s="124" t="str">
        <f>Sprache!$E$10</f>
        <v>Teilnehmer bzw. Mannschaft</v>
      </c>
      <c r="D25" s="128" t="str">
        <f>Sprache!$E$27</f>
        <v>Pkt</v>
      </c>
      <c r="E25" s="116" t="str">
        <f>Sprache!$E$26</f>
        <v>Diff.</v>
      </c>
      <c r="F25" s="116" t="str">
        <f>Sprache!$E$28</f>
        <v>erz. Tore</v>
      </c>
      <c r="G25" s="153" t="str">
        <f>Sprache!$E$49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IF($C26="","",INDEX(Calc3!$E$4:$E$12,MATCH($C26,Calc3!$F$4:$F$12,0)))</f>
        <v/>
      </c>
      <c r="C26" s="125" t="str">
        <f ca="1">IF(Calc3!$K$13=0,"",Calc3!$AH4)</f>
        <v/>
      </c>
      <c r="D26" s="129" t="str">
        <f ca="1">IF($C26="","",VLOOKUP($C26,Calc3!$C$17:$AC$25,25,0))</f>
        <v/>
      </c>
      <c r="E26" s="113" t="str">
        <f ca="1">IF($C26="","",VLOOKUP($C26,Calc3!$C$17:$AC$25,26,0))</f>
        <v/>
      </c>
      <c r="F26" s="113" t="str">
        <f ca="1">IF($C26="","",VLOOKUP($C26,Calc3!$C$17:$AC$25,27,0))</f>
        <v/>
      </c>
      <c r="G26" s="154" t="str">
        <f ca="1">IF($C26="","",VLOOKUP($C26,Vorrunde!$AH$12:$AI$47,2,0))</f>
        <v/>
      </c>
      <c r="H26" s="137"/>
      <c r="I26" s="113" t="str">
        <f ca="1">IFERROR(VLOOKUP($C26&amp;I$25,Calc3!$Z$64:$AB$207,3,0),"")</f>
        <v/>
      </c>
      <c r="J26" s="113" t="str">
        <f ca="1">IFERROR(VLOOKUP($C26&amp;J$25,Calc3!$Z$64:$AB$207,3,0),"")</f>
        <v/>
      </c>
      <c r="K26" s="113" t="str">
        <f ca="1">IFERROR(VLOOKUP($C26&amp;K$25,Calc3!$Z$64:$AB$207,3,0),"")</f>
        <v/>
      </c>
      <c r="L26" s="113" t="str">
        <f ca="1">IFERROR(VLOOKUP($C26&amp;L$25,Calc3!$Z$64:$AB$207,3,0),"")</f>
        <v/>
      </c>
      <c r="M26" s="158" t="str">
        <f ca="1">IFERROR(VLOOKUP($C26&amp;M$25,Calc3!$Z$64:$AB$207,3,0),"")</f>
        <v/>
      </c>
      <c r="N26" s="186" t="str">
        <f t="shared" ref="N26:N31" ca="1" si="2">C26</f>
        <v/>
      </c>
    </row>
    <row r="27" spans="2:14" ht="21.95" customHeight="1" x14ac:dyDescent="0.2">
      <c r="B27" s="117" t="str">
        <f ca="1">IF($C27="","",INDEX(Calc3!$E$4:$E$12,MATCH($C27,Calc3!$F$4:$F$12,0)))</f>
        <v/>
      </c>
      <c r="C27" s="126" t="str">
        <f ca="1">IF(Calc3!$K$13=0,"",Calc3!$AH5)</f>
        <v/>
      </c>
      <c r="D27" s="130" t="str">
        <f ca="1">IF($C27="","",VLOOKUP($C27,Calc3!$C$17:$AC$25,25,0))</f>
        <v/>
      </c>
      <c r="E27" s="114" t="str">
        <f ca="1">IF($C27="","",VLOOKUP($C27,Calc3!$C$17:$AC$25,26,0))</f>
        <v/>
      </c>
      <c r="F27" s="114" t="str">
        <f ca="1">IF($C27="","",VLOOKUP($C27,Calc3!$C$17:$AC$25,27,0))</f>
        <v/>
      </c>
      <c r="G27" s="155" t="str">
        <f ca="1">IF($C27="","",VLOOKUP($C27,Vorrunde!$AH$12:$AI$47,2,0))</f>
        <v/>
      </c>
      <c r="H27" s="138" t="str">
        <f ca="1">IFERROR(VLOOKUP($C27&amp;H$25,Calc3!$Z$64:$AB$207,3,0),"")</f>
        <v/>
      </c>
      <c r="I27" s="123"/>
      <c r="J27" s="114" t="str">
        <f ca="1">IFERROR(VLOOKUP($C27&amp;J$25,Calc3!$Z$64:$AB$207,3,0),"")</f>
        <v/>
      </c>
      <c r="K27" s="114" t="str">
        <f ca="1">IFERROR(VLOOKUP($C27&amp;K$25,Calc3!$Z$64:$AB$207,3,0),"")</f>
        <v/>
      </c>
      <c r="L27" s="114" t="str">
        <f ca="1">IFERROR(VLOOKUP($C27&amp;L$25,Calc3!$Z$64:$AB$207,3,0),"")</f>
        <v/>
      </c>
      <c r="M27" s="159" t="str">
        <f ca="1">IFERROR(VLOOKUP($C27&amp;M$25,Calc3!$Z$64:$AB$207,3,0),"")</f>
        <v/>
      </c>
      <c r="N27" s="187" t="str">
        <f t="shared" ca="1" si="2"/>
        <v/>
      </c>
    </row>
    <row r="28" spans="2:14" ht="21.95" customHeight="1" x14ac:dyDescent="0.2">
      <c r="B28" s="117" t="str">
        <f ca="1">IF($C28="","",INDEX(Calc3!$E$4:$E$12,MATCH($C28,Calc3!$F$4:$F$12,0)))</f>
        <v/>
      </c>
      <c r="C28" s="126" t="str">
        <f ca="1">IF(Calc3!$K$13=0,"",Calc3!$AH6)</f>
        <v/>
      </c>
      <c r="D28" s="130" t="str">
        <f ca="1">IF($C28="","",VLOOKUP($C28,Calc3!$C$17:$AC$25,25,0))</f>
        <v/>
      </c>
      <c r="E28" s="114" t="str">
        <f ca="1">IF($C28="","",VLOOKUP($C28,Calc3!$C$17:$AC$25,26,0))</f>
        <v/>
      </c>
      <c r="F28" s="114" t="str">
        <f ca="1">IF($C28="","",VLOOKUP($C28,Calc3!$C$17:$AC$25,27,0))</f>
        <v/>
      </c>
      <c r="G28" s="155" t="str">
        <f ca="1">IF($C28="","",VLOOKUP($C28,Vorrunde!$AH$12:$AI$47,2,0))</f>
        <v/>
      </c>
      <c r="H28" s="138" t="str">
        <f ca="1">IFERROR(VLOOKUP($C28&amp;H$25,Calc3!$Z$64:$AB$207,3,0),"")</f>
        <v/>
      </c>
      <c r="I28" s="114" t="str">
        <f ca="1">IFERROR(VLOOKUP($C28&amp;I$25,Calc3!$Z$64:$AB$207,3,0),"")</f>
        <v/>
      </c>
      <c r="J28" s="123"/>
      <c r="K28" s="114" t="str">
        <f ca="1">IFERROR(VLOOKUP($C28&amp;K$25,Calc3!$Z$64:$AB$207,3,0),"")</f>
        <v/>
      </c>
      <c r="L28" s="114" t="str">
        <f ca="1">IFERROR(VLOOKUP($C28&amp;L$25,Calc3!$Z$64:$AB$207,3,0),"")</f>
        <v/>
      </c>
      <c r="M28" s="159" t="str">
        <f ca="1">IFERROR(VLOOKUP($C28&amp;M$25,Calc3!$Z$64:$AB$207,3,0),"")</f>
        <v/>
      </c>
      <c r="N28" s="187" t="str">
        <f t="shared" ca="1" si="2"/>
        <v/>
      </c>
    </row>
    <row r="29" spans="2:14" ht="21.95" customHeight="1" x14ac:dyDescent="0.2">
      <c r="B29" s="117" t="str">
        <f ca="1">IF($C29="","",INDEX(Calc3!$E$4:$E$12,MATCH($C29,Calc3!$F$4:$F$12,0)))</f>
        <v/>
      </c>
      <c r="C29" s="126" t="str">
        <f ca="1">IF(Calc3!$K$13=0,"",Calc3!$AH7)</f>
        <v/>
      </c>
      <c r="D29" s="130" t="str">
        <f ca="1">IF($C29="","",VLOOKUP($C29,Calc3!$C$17:$AC$25,25,0))</f>
        <v/>
      </c>
      <c r="E29" s="114" t="str">
        <f ca="1">IF($C29="","",VLOOKUP($C29,Calc3!$C$17:$AC$25,26,0))</f>
        <v/>
      </c>
      <c r="F29" s="114" t="str">
        <f ca="1">IF($C29="","",VLOOKUP($C29,Calc3!$C$17:$AC$25,27,0))</f>
        <v/>
      </c>
      <c r="G29" s="155" t="str">
        <f ca="1">IF($C29="","",VLOOKUP($C29,Vorrunde!$AH$12:$AI$47,2,0))</f>
        <v/>
      </c>
      <c r="H29" s="138" t="str">
        <f ca="1">IFERROR(VLOOKUP($C29&amp;H$25,Calc3!$Z$64:$AB$207,3,0),"")</f>
        <v/>
      </c>
      <c r="I29" s="114" t="str">
        <f ca="1">IFERROR(VLOOKUP($C29&amp;I$25,Calc3!$Z$64:$AB$207,3,0),"")</f>
        <v/>
      </c>
      <c r="J29" s="114" t="str">
        <f ca="1">IFERROR(VLOOKUP($C29&amp;J$25,Calc3!$Z$64:$AB$207,3,0),"")</f>
        <v/>
      </c>
      <c r="K29" s="123"/>
      <c r="L29" s="114" t="str">
        <f ca="1">IFERROR(VLOOKUP($C29&amp;L$25,Calc3!$Z$64:$AB$207,3,0),"")</f>
        <v/>
      </c>
      <c r="M29" s="159" t="str">
        <f ca="1">IFERROR(VLOOKUP($C29&amp;M$25,Calc3!$Z$64:$AB$207,3,0),"")</f>
        <v/>
      </c>
      <c r="N29" s="187" t="str">
        <f t="shared" ca="1" si="2"/>
        <v/>
      </c>
    </row>
    <row r="30" spans="2:14" ht="21.95" customHeight="1" x14ac:dyDescent="0.2">
      <c r="B30" s="117" t="str">
        <f ca="1">IF($C30="","",INDEX(Calc3!$E$4:$E$12,MATCH($C30,Calc3!$F$4:$F$12,0)))</f>
        <v/>
      </c>
      <c r="C30" s="126" t="str">
        <f ca="1">IF(Calc3!$K$13=0,"",Calc3!$AH8)</f>
        <v/>
      </c>
      <c r="D30" s="130" t="str">
        <f ca="1">IF($C30="","",VLOOKUP($C30,Calc3!$C$17:$AC$25,25,0))</f>
        <v/>
      </c>
      <c r="E30" s="114" t="str">
        <f ca="1">IF($C30="","",VLOOKUP($C30,Calc3!$C$17:$AC$25,26,0))</f>
        <v/>
      </c>
      <c r="F30" s="114" t="str">
        <f ca="1">IF($C30="","",VLOOKUP($C30,Calc3!$C$17:$AC$25,27,0))</f>
        <v/>
      </c>
      <c r="G30" s="155" t="str">
        <f ca="1">IF($C30="","",VLOOKUP($C30,Vorrunde!$AH$12:$AI$47,2,0))</f>
        <v/>
      </c>
      <c r="H30" s="138" t="str">
        <f ca="1">IFERROR(VLOOKUP($C30&amp;H$25,Calc3!$Z$64:$AB$207,3,0),"")</f>
        <v/>
      </c>
      <c r="I30" s="114" t="str">
        <f ca="1">IFERROR(VLOOKUP($C30&amp;I$25,Calc3!$Z$64:$AB$207,3,0),"")</f>
        <v/>
      </c>
      <c r="J30" s="114" t="str">
        <f ca="1">IFERROR(VLOOKUP($C30&amp;J$25,Calc3!$Z$64:$AB$207,3,0),"")</f>
        <v/>
      </c>
      <c r="K30" s="114" t="str">
        <f ca="1">IFERROR(VLOOKUP($C30&amp;K$25,Calc3!$Z$64:$AB$207,3,0),"")</f>
        <v/>
      </c>
      <c r="L30" s="123"/>
      <c r="M30" s="159" t="str">
        <f ca="1">IFERROR(VLOOKUP($C30&amp;M$25,Calc3!$Z$64:$AB$207,3,0),"")</f>
        <v/>
      </c>
      <c r="N30" s="187" t="str">
        <f t="shared" ca="1" si="2"/>
        <v/>
      </c>
    </row>
    <row r="31" spans="2:14" ht="21.95" customHeight="1" thickBot="1" x14ac:dyDescent="0.25">
      <c r="B31" s="118" t="str">
        <f ca="1">IF($C31="","",INDEX(Calc3!$E$4:$E$12,MATCH($C31,Calc3!$F$4:$F$12,0)))</f>
        <v/>
      </c>
      <c r="C31" s="127" t="str">
        <f ca="1">IF(Calc3!$K$13=0,"",Calc3!$AH9)</f>
        <v/>
      </c>
      <c r="D31" s="131" t="str">
        <f ca="1">IF($C31="","",VLOOKUP($C31,Calc3!$C$17:$AC$25,25,0))</f>
        <v/>
      </c>
      <c r="E31" s="115" t="str">
        <f ca="1">IF($C31="","",VLOOKUP($C31,Calc3!$C$17:$AC$25,26,0))</f>
        <v/>
      </c>
      <c r="F31" s="115" t="str">
        <f ca="1">IF($C31="","",VLOOKUP($C31,Calc3!$C$17:$AC$25,27,0))</f>
        <v/>
      </c>
      <c r="G31" s="156" t="str">
        <f ca="1">IF($C31="","",VLOOKUP($C31,Vorrunde!$AH$12:$AI$47,2,0))</f>
        <v/>
      </c>
      <c r="H31" s="139" t="str">
        <f ca="1">IFERROR(VLOOKUP($C31&amp;H$25,Calc3!$Z$64:$AB$207,3,0),"")</f>
        <v/>
      </c>
      <c r="I31" s="115" t="str">
        <f ca="1">IFERROR(VLOOKUP($C31&amp;I$25,Calc3!$Z$64:$AB$207,3,0),"")</f>
        <v/>
      </c>
      <c r="J31" s="115" t="str">
        <f ca="1">IFERROR(VLOOKUP($C31&amp;J$25,Calc3!$Z$64:$AB$207,3,0),"")</f>
        <v/>
      </c>
      <c r="K31" s="115" t="str">
        <f ca="1">IFERROR(VLOOKUP($C31&amp;K$25,Calc3!$Z$64:$AB$207,3,0),"")</f>
        <v/>
      </c>
      <c r="L31" s="115" t="str">
        <f ca="1">IFERROR(VLOOKUP($C31&amp;L$25,Calc3!$Z$64:$AB$207,3,0),"")</f>
        <v/>
      </c>
      <c r="M31" s="160"/>
      <c r="N31" s="188" t="str">
        <f t="shared" ca="1" si="2"/>
        <v/>
      </c>
    </row>
    <row r="32" spans="2:14" ht="42.75" customHeight="1" thickTop="1" thickBot="1" x14ac:dyDescent="0.25"/>
    <row r="33" spans="2:14" ht="21.95" customHeight="1" thickBot="1" x14ac:dyDescent="0.25">
      <c r="H33" s="150" t="str">
        <f ca="1">IF(LEN(H34)&gt;Einstellungen!$C$17,LEFT(H34,Einstellungen!$C$17)&amp;".",H34)</f>
        <v/>
      </c>
      <c r="I33" s="151" t="str">
        <f ca="1">IF(LEN(I34)&gt;Einstellungen!$C$17,LEFT(I34,Einstellungen!$C$17)&amp;".",I34)</f>
        <v/>
      </c>
      <c r="J33" s="151" t="str">
        <f ca="1">IF(LEN(J34)&gt;Einstellungen!$C$17,LEFT(J34,Einstellungen!$C$17)&amp;".",J34)</f>
        <v/>
      </c>
      <c r="K33" s="151" t="str">
        <f ca="1">IF(LEN(K34)&gt;Einstellungen!$C$17,LEFT(K34,Einstellungen!$C$17)&amp;".",K34)</f>
        <v/>
      </c>
      <c r="L33" s="151" t="str">
        <f ca="1">IF(LEN(L34)&gt;Einstellungen!$C$17,LEFT(L34,Einstellungen!$C$17)&amp;".",L34)</f>
        <v/>
      </c>
      <c r="M33" s="152" t="str">
        <f ca="1">IF(LEN(M34)&gt;Einstellungen!$C$17,LEFT(M34,Einstellungen!$C$17)&amp;".",M34)</f>
        <v/>
      </c>
    </row>
    <row r="34" spans="2:14" ht="21.95" customHeight="1" thickTop="1" thickBot="1" x14ac:dyDescent="0.25">
      <c r="B34" s="119"/>
      <c r="C34" s="124" t="str">
        <f>Sprache!$E$10</f>
        <v>Teilnehmer bzw. Mannschaft</v>
      </c>
      <c r="D34" s="128" t="str">
        <f>Sprache!$E$27</f>
        <v>Pkt</v>
      </c>
      <c r="E34" s="116" t="str">
        <f>Sprache!$E$26</f>
        <v>Diff.</v>
      </c>
      <c r="F34" s="116" t="str">
        <f>Sprache!$E$28</f>
        <v>erz. Tore</v>
      </c>
      <c r="G34" s="153" t="str">
        <f>Sprache!$E$49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IF($C35="","",INDEX(Calc3!$E$4:$E$12,MATCH($C35,Calc3!$F$4:$F$12,0)))</f>
        <v/>
      </c>
      <c r="C35" s="125" t="str">
        <f ca="1">IF(Calc3!$K$13=0,"",Calc3!$AM4)</f>
        <v/>
      </c>
      <c r="D35" s="129" t="str">
        <f ca="1">IF($C35="","",VLOOKUP($C35,Calc3!$C$17:$AC$25,25,0))</f>
        <v/>
      </c>
      <c r="E35" s="113" t="str">
        <f ca="1">IF($C35="","",VLOOKUP($C35,Calc3!$C$17:$AC$25,26,0))</f>
        <v/>
      </c>
      <c r="F35" s="113" t="str">
        <f ca="1">IF($C35="","",VLOOKUP($C35,Calc3!$C$17:$AC$25,27,0))</f>
        <v/>
      </c>
      <c r="G35" s="154" t="str">
        <f ca="1">IF($C35="","",VLOOKUP($C35,Vorrunde!$AH$12:$AI$47,2,0))</f>
        <v/>
      </c>
      <c r="H35" s="137"/>
      <c r="I35" s="113" t="str">
        <f ca="1">IFERROR(VLOOKUP($C35&amp;I$34,Calc3!$Z$64:$AB$207,3,0),"")</f>
        <v/>
      </c>
      <c r="J35" s="113" t="str">
        <f ca="1">IFERROR(VLOOKUP($C35&amp;J$34,Calc3!$Z$64:$AB$207,3,0),"")</f>
        <v/>
      </c>
      <c r="K35" s="113" t="str">
        <f ca="1">IFERROR(VLOOKUP($C35&amp;K$34,Calc3!$Z$64:$AB$207,3,0),"")</f>
        <v/>
      </c>
      <c r="L35" s="113" t="str">
        <f ca="1">IFERROR(VLOOKUP($C35&amp;L$34,Calc3!$Z$64:$AB$207,3,0),"")</f>
        <v/>
      </c>
      <c r="M35" s="158" t="str">
        <f ca="1">IFERROR(VLOOKUP($C35&amp;M$34,Calc3!$Z$64:$AB$207,3,0),"")</f>
        <v/>
      </c>
      <c r="N35" s="186" t="str">
        <f t="shared" ref="N35:N40" ca="1" si="3">C35</f>
        <v/>
      </c>
    </row>
    <row r="36" spans="2:14" ht="21.95" customHeight="1" x14ac:dyDescent="0.2">
      <c r="B36" s="117" t="str">
        <f ca="1">IF($C36="","",INDEX(Calc3!$E$4:$E$12,MATCH($C36,Calc3!$F$4:$F$12,0)))</f>
        <v/>
      </c>
      <c r="C36" s="126" t="str">
        <f ca="1">IF(Calc3!$K$13=0,"",Calc3!$AM5)</f>
        <v/>
      </c>
      <c r="D36" s="130" t="str">
        <f ca="1">IF($C36="","",VLOOKUP($C36,Calc3!$C$17:$AC$25,25,0))</f>
        <v/>
      </c>
      <c r="E36" s="114" t="str">
        <f ca="1">IF($C36="","",VLOOKUP($C36,Calc3!$C$17:$AC$25,26,0))</f>
        <v/>
      </c>
      <c r="F36" s="114" t="str">
        <f ca="1">IF($C36="","",VLOOKUP($C36,Calc3!$C$17:$AC$25,27,0))</f>
        <v/>
      </c>
      <c r="G36" s="155" t="str">
        <f ca="1">IF($C36="","",VLOOKUP($C36,Vorrunde!$AH$12:$AI$47,2,0))</f>
        <v/>
      </c>
      <c r="H36" s="138" t="str">
        <f ca="1">IFERROR(VLOOKUP($C36&amp;H$34,Calc3!$Z$64:$AB$207,3,0),"")</f>
        <v/>
      </c>
      <c r="I36" s="123"/>
      <c r="J36" s="114" t="str">
        <f ca="1">IFERROR(VLOOKUP($C36&amp;J$34,Calc3!$Z$64:$AB$207,3,0),"")</f>
        <v/>
      </c>
      <c r="K36" s="114" t="str">
        <f ca="1">IFERROR(VLOOKUP($C36&amp;K$34,Calc3!$Z$64:$AB$207,3,0),"")</f>
        <v/>
      </c>
      <c r="L36" s="114" t="str">
        <f ca="1">IFERROR(VLOOKUP($C36&amp;L$34,Calc3!$Z$64:$AB$207,3,0),"")</f>
        <v/>
      </c>
      <c r="M36" s="159" t="str">
        <f ca="1">IFERROR(VLOOKUP($C36&amp;M$34,Calc3!$Z$64:$AB$207,3,0),"")</f>
        <v/>
      </c>
      <c r="N36" s="187" t="str">
        <f t="shared" ca="1" si="3"/>
        <v/>
      </c>
    </row>
    <row r="37" spans="2:14" ht="21.95" customHeight="1" x14ac:dyDescent="0.2">
      <c r="B37" s="117" t="str">
        <f ca="1">IF($C37="","",INDEX(Calc3!$E$4:$E$12,MATCH($C37,Calc3!$F$4:$F$12,0)))</f>
        <v/>
      </c>
      <c r="C37" s="126" t="str">
        <f ca="1">IF(Calc3!$K$13=0,"",Calc3!$AM6)</f>
        <v/>
      </c>
      <c r="D37" s="130" t="str">
        <f ca="1">IF($C37="","",VLOOKUP($C37,Calc3!$C$17:$AC$25,25,0))</f>
        <v/>
      </c>
      <c r="E37" s="114" t="str">
        <f ca="1">IF($C37="","",VLOOKUP($C37,Calc3!$C$17:$AC$25,26,0))</f>
        <v/>
      </c>
      <c r="F37" s="114" t="str">
        <f ca="1">IF($C37="","",VLOOKUP($C37,Calc3!$C$17:$AC$25,27,0))</f>
        <v/>
      </c>
      <c r="G37" s="155" t="str">
        <f ca="1">IF($C37="","",VLOOKUP($C37,Vorrunde!$AH$12:$AI$47,2,0))</f>
        <v/>
      </c>
      <c r="H37" s="138" t="str">
        <f ca="1">IFERROR(VLOOKUP($C37&amp;H$34,Calc3!$Z$64:$AB$207,3,0),"")</f>
        <v/>
      </c>
      <c r="I37" s="114" t="str">
        <f ca="1">IFERROR(VLOOKUP($C37&amp;I$34,Calc3!$Z$64:$AB$207,3,0),"")</f>
        <v/>
      </c>
      <c r="J37" s="123"/>
      <c r="K37" s="114" t="str">
        <f ca="1">IFERROR(VLOOKUP($C37&amp;K$34,Calc3!$Z$64:$AB$207,3,0),"")</f>
        <v/>
      </c>
      <c r="L37" s="114" t="str">
        <f ca="1">IFERROR(VLOOKUP($C37&amp;L$34,Calc3!$Z$64:$AB$207,3,0),"")</f>
        <v/>
      </c>
      <c r="M37" s="159" t="str">
        <f ca="1">IFERROR(VLOOKUP($C37&amp;M$34,Calc3!$Z$64:$AB$207,3,0),"")</f>
        <v/>
      </c>
      <c r="N37" s="187" t="str">
        <f t="shared" ca="1" si="3"/>
        <v/>
      </c>
    </row>
    <row r="38" spans="2:14" ht="21.95" customHeight="1" x14ac:dyDescent="0.2">
      <c r="B38" s="117" t="str">
        <f ca="1">IF($C38="","",INDEX(Calc3!$E$4:$E$12,MATCH($C38,Calc3!$F$4:$F$12,0)))</f>
        <v/>
      </c>
      <c r="C38" s="126" t="str">
        <f ca="1">IF(Calc3!$K$13=0,"",Calc3!$AM7)</f>
        <v/>
      </c>
      <c r="D38" s="130" t="str">
        <f ca="1">IF($C38="","",VLOOKUP($C38,Calc3!$C$17:$AC$25,25,0))</f>
        <v/>
      </c>
      <c r="E38" s="114" t="str">
        <f ca="1">IF($C38="","",VLOOKUP($C38,Calc3!$C$17:$AC$25,26,0))</f>
        <v/>
      </c>
      <c r="F38" s="114" t="str">
        <f ca="1">IF($C38="","",VLOOKUP($C38,Calc3!$C$17:$AC$25,27,0))</f>
        <v/>
      </c>
      <c r="G38" s="155" t="str">
        <f ca="1">IF($C38="","",VLOOKUP($C38,Vorrunde!$AH$12:$AI$47,2,0))</f>
        <v/>
      </c>
      <c r="H38" s="138" t="str">
        <f ca="1">IFERROR(VLOOKUP($C38&amp;H$34,Calc3!$Z$64:$AB$207,3,0),"")</f>
        <v/>
      </c>
      <c r="I38" s="114" t="str">
        <f ca="1">IFERROR(VLOOKUP($C38&amp;I$34,Calc3!$Z$64:$AB$207,3,0),"")</f>
        <v/>
      </c>
      <c r="J38" s="114" t="str">
        <f ca="1">IFERROR(VLOOKUP($C38&amp;J$34,Calc3!$Z$64:$AB$207,3,0),"")</f>
        <v/>
      </c>
      <c r="K38" s="123"/>
      <c r="L38" s="114" t="str">
        <f ca="1">IFERROR(VLOOKUP($C38&amp;L$34,Calc3!$Z$64:$AB$207,3,0),"")</f>
        <v/>
      </c>
      <c r="M38" s="159" t="str">
        <f ca="1">IFERROR(VLOOKUP($C38&amp;M$34,Calc3!$Z$64:$AB$207,3,0),"")</f>
        <v/>
      </c>
      <c r="N38" s="187" t="str">
        <f t="shared" ca="1" si="3"/>
        <v/>
      </c>
    </row>
    <row r="39" spans="2:14" ht="21.95" customHeight="1" x14ac:dyDescent="0.2">
      <c r="B39" s="117" t="str">
        <f ca="1">IF($C39="","",INDEX(Calc3!$E$4:$E$12,MATCH($C39,Calc3!$F$4:$F$12,0)))</f>
        <v/>
      </c>
      <c r="C39" s="126" t="str">
        <f ca="1">IF(Calc3!$K$13=0,"",Calc3!$AM8)</f>
        <v/>
      </c>
      <c r="D39" s="130" t="str">
        <f ca="1">IF($C39="","",VLOOKUP($C39,Calc3!$C$17:$AC$25,25,0))</f>
        <v/>
      </c>
      <c r="E39" s="114" t="str">
        <f ca="1">IF($C39="","",VLOOKUP($C39,Calc3!$C$17:$AC$25,26,0))</f>
        <v/>
      </c>
      <c r="F39" s="114" t="str">
        <f ca="1">IF($C39="","",VLOOKUP($C39,Calc3!$C$17:$AC$25,27,0))</f>
        <v/>
      </c>
      <c r="G39" s="155" t="str">
        <f ca="1">IF($C39="","",VLOOKUP($C39,Vorrunde!$AH$12:$AI$47,2,0))</f>
        <v/>
      </c>
      <c r="H39" s="138" t="str">
        <f ca="1">IFERROR(VLOOKUP($C39&amp;H$34,Calc3!$Z$64:$AB$207,3,0),"")</f>
        <v/>
      </c>
      <c r="I39" s="114" t="str">
        <f ca="1">IFERROR(VLOOKUP($C39&amp;I$34,Calc3!$Z$64:$AB$207,3,0),"")</f>
        <v/>
      </c>
      <c r="J39" s="114" t="str">
        <f ca="1">IFERROR(VLOOKUP($C39&amp;J$34,Calc3!$Z$64:$AB$207,3,0),"")</f>
        <v/>
      </c>
      <c r="K39" s="114" t="str">
        <f ca="1">IFERROR(VLOOKUP($C39&amp;K$34,Calc3!$Z$64:$AB$207,3,0),"")</f>
        <v/>
      </c>
      <c r="L39" s="123"/>
      <c r="M39" s="159" t="str">
        <f ca="1">IFERROR(VLOOKUP($C39&amp;M$34,Calc3!$Z$64:$AB$207,3,0),"")</f>
        <v/>
      </c>
      <c r="N39" s="187" t="str">
        <f t="shared" ca="1" si="3"/>
        <v/>
      </c>
    </row>
    <row r="40" spans="2:14" ht="21.95" customHeight="1" thickBot="1" x14ac:dyDescent="0.25">
      <c r="B40" s="118" t="str">
        <f ca="1">IF($C40="","",INDEX(Calc3!$E$4:$E$12,MATCH($C40,Calc3!$F$4:$F$12,0)))</f>
        <v/>
      </c>
      <c r="C40" s="127" t="str">
        <f ca="1">IF(Calc3!$K$13=0,"",Calc3!$AM9)</f>
        <v/>
      </c>
      <c r="D40" s="131" t="str">
        <f ca="1">IF($C40="","",VLOOKUP($C40,Calc3!$C$17:$AC$25,25,0))</f>
        <v/>
      </c>
      <c r="E40" s="115" t="str">
        <f ca="1">IF($C40="","",VLOOKUP($C40,Calc3!$C$17:$AC$25,26,0))</f>
        <v/>
      </c>
      <c r="F40" s="115" t="str">
        <f ca="1">IF($C40="","",VLOOKUP($C40,Calc3!$C$17:$AC$25,27,0))</f>
        <v/>
      </c>
      <c r="G40" s="156" t="str">
        <f ca="1">IF($C40="","",VLOOKUP($C40,Vorrunde!$AH$12:$AI$47,2,0))</f>
        <v/>
      </c>
      <c r="H40" s="139" t="str">
        <f ca="1">IFERROR(VLOOKUP($C40&amp;H$34,Calc3!$Z$64:$AB$207,3,0),"")</f>
        <v/>
      </c>
      <c r="I40" s="115" t="str">
        <f ca="1">IFERROR(VLOOKUP($C40&amp;I$34,Calc3!$Z$64:$AB$207,3,0),"")</f>
        <v/>
      </c>
      <c r="J40" s="115" t="str">
        <f ca="1">IFERROR(VLOOKUP($C40&amp;J$34,Calc3!$Z$64:$AB$207,3,0),"")</f>
        <v/>
      </c>
      <c r="K40" s="115" t="str">
        <f ca="1">IFERROR(VLOOKUP($C40&amp;K$34,Calc3!$Z$64:$AB$207,3,0),"")</f>
        <v/>
      </c>
      <c r="L40" s="115" t="str">
        <f ca="1">IFERROR(VLOOKUP($C40&amp;L$34,Calc3!$Z$64:$AB$207,3,0),"")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20" priority="1">
      <formula>OR(AND($B8=$B7,$C7&lt;&gt;""),AND($B8=$B9,$C9&lt;&gt;""))</formula>
    </cfRule>
  </conditionalFormatting>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28</vt:i4>
      </vt:variant>
    </vt:vector>
  </HeadingPairs>
  <TitlesOfParts>
    <vt:vector size="28" baseType="lpstr">
      <vt:lpstr>Planung</vt:lpstr>
      <vt:lpstr>proof</vt:lpstr>
      <vt:lpstr>Pairings</vt:lpstr>
      <vt:lpstr>Vorrunde</vt:lpstr>
      <vt:lpstr>Endrunde 1</vt:lpstr>
      <vt:lpstr>Endrunde 2</vt:lpstr>
      <vt:lpstr>DirVergleich_A</vt:lpstr>
      <vt:lpstr>DirVergleich_B</vt:lpstr>
      <vt:lpstr>DirVergleich_C</vt:lpstr>
      <vt:lpstr>DirVergleich_D</vt:lpstr>
      <vt:lpstr>Endrunde 2a</vt:lpstr>
      <vt:lpstr>Endrunde 2b</vt:lpstr>
      <vt:lpstr>Endrunde 2c</vt:lpstr>
      <vt:lpstr>Endrunde 3</vt:lpstr>
      <vt:lpstr>Endrunde 4</vt:lpstr>
      <vt:lpstr>Sprache</vt:lpstr>
      <vt:lpstr>Einstellungen</vt:lpstr>
      <vt:lpstr>Info</vt:lpstr>
      <vt:lpstr>Calc1</vt:lpstr>
      <vt:lpstr>Calc2</vt:lpstr>
      <vt:lpstr>Calc3</vt:lpstr>
      <vt:lpstr>Calc4</vt:lpstr>
      <vt:lpstr>CalcE1</vt:lpstr>
      <vt:lpstr>CalcE2</vt:lpstr>
      <vt:lpstr>CalcE3</vt:lpstr>
      <vt:lpstr>CalcE4</vt:lpstr>
      <vt:lpstr>CalcE5</vt:lpstr>
      <vt:lpstr>CalcE6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2025-04-12T19:31:33Z</dcterms:modified>
</cp:coreProperties>
</file>