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9783E51B-67A7-4297-860E-07A424424324}" xr6:coauthVersionLast="36" xr6:coauthVersionMax="47" xr10:uidLastSave="{00000000-0000-0000-0000-000000000000}"/>
  <bookViews>
    <workbookView xWindow="-120" yWindow="-120" windowWidth="29040" windowHeight="15750" tabRatio="712" activeTab="3" xr2:uid="{00000000-000D-0000-FFFF-FFFF00000000}"/>
  </bookViews>
  <sheets>
    <sheet name="Planning" sheetId="22" r:id="rId1"/>
    <sheet name="proof" sheetId="25" state="hidden" r:id="rId2"/>
    <sheet name="Pairings" sheetId="13" state="hidden" r:id="rId3"/>
    <sheet name="PreliminaryRound" sheetId="6" r:id="rId4"/>
    <sheet name="Finals 1" sheetId="21" r:id="rId5"/>
    <sheet name="Finals 2" sheetId="32" r:id="rId6"/>
    <sheet name="DirVergleich_A" sheetId="10" state="hidden" r:id="rId7"/>
    <sheet name="DirVergleich_B" sheetId="31" state="hidden" r:id="rId8"/>
    <sheet name="Finals 2a" sheetId="36" r:id="rId9"/>
    <sheet name="Finals 3" sheetId="26" r:id="rId10"/>
    <sheet name="Finals 4" sheetId="27" r:id="rId11"/>
    <sheet name="Kick-off times finals 4" sheetId="35" r:id="rId12"/>
    <sheet name="Language" sheetId="9" r:id="rId13"/>
    <sheet name="Settings" sheetId="14" r:id="rId14"/>
    <sheet name="Help" sheetId="16" r:id="rId15"/>
    <sheet name="Calc1" sheetId="3" state="hidden" r:id="rId16"/>
    <sheet name="Calc2" sheetId="17" state="hidden" r:id="rId17"/>
    <sheet name="CalcE1" sheetId="28" state="hidden" r:id="rId18"/>
    <sheet name="CalcE2" sheetId="29" state="hidden" r:id="rId19"/>
    <sheet name="CalcE3" sheetId="30" state="hidden" r:id="rId20"/>
    <sheet name="CalcE4" sheetId="33" state="hidden" r:id="rId21"/>
    <sheet name="CalcE5" sheetId="34" state="hidden" r:id="rId22"/>
  </sheets>
  <definedNames>
    <definedName name="_xlnm.Print_Area" localSheetId="11">'Kick-off times finals 4'!$A$4:$I$94</definedName>
  </definedNames>
  <calcPr calcId="191029" concurrentCalc="0"/>
</workbook>
</file>

<file path=xl/calcChain.xml><?xml version="1.0" encoding="utf-8"?>
<calcChain xmlns="http://schemas.openxmlformats.org/spreadsheetml/2006/main">
  <c r="C3" i="9" l="1"/>
  <c r="E58" i="9"/>
  <c r="F24" i="36"/>
  <c r="E57" i="9"/>
  <c r="F25" i="36"/>
  <c r="C4" i="9"/>
  <c r="E97" i="9"/>
  <c r="Q17" i="22"/>
  <c r="E95" i="9"/>
  <c r="Q18" i="22"/>
  <c r="E96" i="9"/>
  <c r="Q19" i="22"/>
  <c r="Q72" i="3"/>
  <c r="F12" i="3"/>
  <c r="F13" i="3"/>
  <c r="Q72" i="17"/>
  <c r="F12" i="17"/>
  <c r="F13" i="17"/>
  <c r="F14" i="3"/>
  <c r="U16" i="22"/>
  <c r="U18" i="22"/>
  <c r="E27" i="36"/>
  <c r="E25" i="36"/>
  <c r="E24" i="36"/>
  <c r="E55" i="9"/>
  <c r="C26" i="36"/>
  <c r="E56" i="9"/>
  <c r="C23" i="36"/>
  <c r="E53" i="9"/>
  <c r="C20" i="36"/>
  <c r="E54" i="9"/>
  <c r="C17" i="36"/>
  <c r="E59" i="9"/>
  <c r="E62" i="9"/>
  <c r="C10" i="36"/>
  <c r="E80" i="9"/>
  <c r="N22" i="36"/>
  <c r="N21" i="36"/>
  <c r="K21" i="36"/>
  <c r="K19" i="36"/>
  <c r="K18" i="36"/>
  <c r="E10" i="9"/>
  <c r="G33" i="36"/>
  <c r="E88" i="9"/>
  <c r="F33" i="36"/>
  <c r="E29" i="9"/>
  <c r="G30" i="36"/>
  <c r="N28" i="36"/>
  <c r="E90" i="9"/>
  <c r="F28" i="36"/>
  <c r="E28" i="36"/>
  <c r="N27" i="36"/>
  <c r="K27" i="36"/>
  <c r="E89" i="9"/>
  <c r="F27" i="36"/>
  <c r="K25" i="36"/>
  <c r="K24" i="36"/>
  <c r="N16" i="36"/>
  <c r="K16" i="36"/>
  <c r="N15" i="36"/>
  <c r="K15" i="36"/>
  <c r="N14" i="36"/>
  <c r="K14" i="36"/>
  <c r="N13" i="36"/>
  <c r="K13" i="36"/>
  <c r="N12" i="36"/>
  <c r="K12" i="36"/>
  <c r="E12" i="36"/>
  <c r="E70" i="9"/>
  <c r="M11" i="36"/>
  <c r="E15" i="9"/>
  <c r="J11" i="36"/>
  <c r="E14" i="9"/>
  <c r="G11" i="36"/>
  <c r="E48" i="9"/>
  <c r="E11" i="36"/>
  <c r="E39" i="9"/>
  <c r="D11" i="36"/>
  <c r="E9" i="9"/>
  <c r="C11" i="36"/>
  <c r="E20" i="9"/>
  <c r="P9" i="36"/>
  <c r="E19" i="9"/>
  <c r="G7" i="36"/>
  <c r="E5" i="36"/>
  <c r="E4" i="36"/>
  <c r="E3" i="36"/>
  <c r="E2" i="36"/>
  <c r="C89" i="35"/>
  <c r="E46" i="9"/>
  <c r="H89" i="35"/>
  <c r="G89" i="35"/>
  <c r="F89" i="35"/>
  <c r="E69" i="9"/>
  <c r="E89" i="35"/>
  <c r="H84" i="35"/>
  <c r="G84" i="35"/>
  <c r="F84" i="35"/>
  <c r="E84" i="35"/>
  <c r="H79" i="35"/>
  <c r="G79" i="35"/>
  <c r="F79" i="35"/>
  <c r="E79" i="35"/>
  <c r="H74" i="35"/>
  <c r="G74" i="35"/>
  <c r="F74" i="35"/>
  <c r="E74" i="35"/>
  <c r="H69" i="35"/>
  <c r="G69" i="35"/>
  <c r="F69" i="35"/>
  <c r="E69" i="35"/>
  <c r="H64" i="35"/>
  <c r="G64" i="35"/>
  <c r="F64" i="35"/>
  <c r="E64" i="35"/>
  <c r="CW11" i="35"/>
  <c r="CR11" i="35"/>
  <c r="CM11" i="35"/>
  <c r="CH11" i="35"/>
  <c r="CC11" i="35"/>
  <c r="BX11" i="35"/>
  <c r="C44" i="35"/>
  <c r="C84" i="35"/>
  <c r="C79" i="35"/>
  <c r="C74" i="35"/>
  <c r="C69" i="35"/>
  <c r="C64" i="35"/>
  <c r="C59" i="35"/>
  <c r="C54" i="35"/>
  <c r="C49" i="35"/>
  <c r="C39" i="35"/>
  <c r="C34" i="35"/>
  <c r="E102" i="9"/>
  <c r="B1" i="35"/>
  <c r="E59" i="35"/>
  <c r="E54" i="35"/>
  <c r="E49" i="35"/>
  <c r="E44" i="35"/>
  <c r="E39" i="35"/>
  <c r="E34" i="35"/>
  <c r="E29" i="35"/>
  <c r="E24" i="35"/>
  <c r="E19" i="35"/>
  <c r="E14" i="35"/>
  <c r="E9" i="35"/>
  <c r="E4" i="35"/>
  <c r="H59" i="35"/>
  <c r="G59" i="35"/>
  <c r="F59" i="35"/>
  <c r="H54" i="35"/>
  <c r="G54" i="35"/>
  <c r="F54" i="35"/>
  <c r="H49" i="35"/>
  <c r="G49" i="35"/>
  <c r="F49" i="35"/>
  <c r="H44" i="35"/>
  <c r="G44" i="35"/>
  <c r="F44" i="35"/>
  <c r="H39" i="35"/>
  <c r="G39" i="35"/>
  <c r="F39" i="35"/>
  <c r="H34" i="35"/>
  <c r="G34" i="35"/>
  <c r="F34" i="35"/>
  <c r="C29" i="35"/>
  <c r="C24" i="35"/>
  <c r="C19" i="35"/>
  <c r="C14" i="35"/>
  <c r="C9" i="35"/>
  <c r="C4" i="35"/>
  <c r="H29" i="35"/>
  <c r="G29" i="35"/>
  <c r="F29" i="35"/>
  <c r="H24" i="35"/>
  <c r="G24" i="35"/>
  <c r="F24" i="35"/>
  <c r="H19" i="35"/>
  <c r="G19" i="35"/>
  <c r="F19" i="35"/>
  <c r="H14" i="35"/>
  <c r="G14" i="35"/>
  <c r="F14" i="35"/>
  <c r="L11" i="35"/>
  <c r="H9" i="35"/>
  <c r="G9" i="35"/>
  <c r="F9" i="35"/>
  <c r="H4" i="35"/>
  <c r="G4" i="35"/>
  <c r="F4" i="35"/>
  <c r="BS11" i="35"/>
  <c r="BN11" i="35"/>
  <c r="BI11" i="35"/>
  <c r="BD11" i="35"/>
  <c r="AY11" i="35"/>
  <c r="AT11" i="35"/>
  <c r="AO11" i="35"/>
  <c r="AJ11" i="35"/>
  <c r="AE11" i="35"/>
  <c r="Z11" i="35"/>
  <c r="U11" i="35"/>
  <c r="P11" i="35"/>
  <c r="Q71" i="17"/>
  <c r="F11" i="17"/>
  <c r="Q69" i="17"/>
  <c r="F9" i="17"/>
  <c r="Q70" i="17"/>
  <c r="F10" i="17"/>
  <c r="Q71" i="3"/>
  <c r="F11" i="3"/>
  <c r="Q69" i="3"/>
  <c r="F9" i="3"/>
  <c r="Q70" i="3"/>
  <c r="F10" i="3"/>
  <c r="I6" i="22" a="1"/>
  <c r="I12" i="22"/>
  <c r="L12" i="22"/>
  <c r="K6" i="22" a="1"/>
  <c r="K12" i="22"/>
  <c r="N12" i="22"/>
  <c r="Y18" i="34"/>
  <c r="Y17" i="34"/>
  <c r="Y18" i="33"/>
  <c r="Y19" i="33"/>
  <c r="Y20" i="33"/>
  <c r="Y17" i="33"/>
  <c r="Q66" i="34"/>
  <c r="Q67" i="34"/>
  <c r="V89" i="33"/>
  <c r="W89" i="33"/>
  <c r="X89" i="33"/>
  <c r="Y89" i="33"/>
  <c r="V90" i="33"/>
  <c r="W90" i="33"/>
  <c r="X90" i="33"/>
  <c r="Y90" i="33"/>
  <c r="V91" i="33"/>
  <c r="W91" i="33"/>
  <c r="X91" i="33"/>
  <c r="Y91" i="33"/>
  <c r="V92" i="33"/>
  <c r="W92" i="33"/>
  <c r="X92" i="33"/>
  <c r="Y92" i="33"/>
  <c r="V93" i="33"/>
  <c r="W93" i="33"/>
  <c r="X93" i="33"/>
  <c r="Y93" i="33"/>
  <c r="V94" i="33"/>
  <c r="W94" i="33"/>
  <c r="X94" i="33"/>
  <c r="Y94" i="33"/>
  <c r="V95" i="33"/>
  <c r="W95" i="33"/>
  <c r="X95" i="33"/>
  <c r="Y95" i="33"/>
  <c r="V96" i="33"/>
  <c r="W96" i="33"/>
  <c r="X96" i="33"/>
  <c r="Y96" i="33"/>
  <c r="V97" i="33"/>
  <c r="W97" i="33"/>
  <c r="X97" i="33"/>
  <c r="Y97" i="33"/>
  <c r="V98" i="33"/>
  <c r="W98" i="33"/>
  <c r="X98" i="33"/>
  <c r="Y98" i="33"/>
  <c r="V99" i="33"/>
  <c r="W99" i="33"/>
  <c r="X99" i="33"/>
  <c r="Y99" i="33"/>
  <c r="M29" i="27"/>
  <c r="M30" i="27"/>
  <c r="M31" i="27"/>
  <c r="M32" i="27"/>
  <c r="M33" i="27"/>
  <c r="M34" i="27"/>
  <c r="M35" i="27"/>
  <c r="M36" i="27"/>
  <c r="V135" i="34"/>
  <c r="W135" i="34"/>
  <c r="X135" i="34"/>
  <c r="Y135" i="34"/>
  <c r="AA135" i="34"/>
  <c r="AA207" i="34"/>
  <c r="AB207" i="34"/>
  <c r="Z207" i="34"/>
  <c r="V134" i="34"/>
  <c r="W134" i="34"/>
  <c r="X134" i="34"/>
  <c r="Y134" i="34"/>
  <c r="AA134" i="34"/>
  <c r="AA206" i="34"/>
  <c r="AB206" i="34"/>
  <c r="Z206" i="34"/>
  <c r="V133" i="34"/>
  <c r="W133" i="34"/>
  <c r="X133" i="34"/>
  <c r="Y133" i="34"/>
  <c r="AA133" i="34"/>
  <c r="AA205" i="34"/>
  <c r="AB205" i="34"/>
  <c r="Z205" i="34"/>
  <c r="V132" i="34"/>
  <c r="W132" i="34"/>
  <c r="X132" i="34"/>
  <c r="Y132" i="34"/>
  <c r="AA132" i="34"/>
  <c r="AA204" i="34"/>
  <c r="AB204" i="34"/>
  <c r="Z204" i="34"/>
  <c r="V131" i="34"/>
  <c r="W131" i="34"/>
  <c r="X131" i="34"/>
  <c r="Y131" i="34"/>
  <c r="AA131" i="34"/>
  <c r="AA203" i="34"/>
  <c r="AB203" i="34"/>
  <c r="Z203" i="34"/>
  <c r="V130" i="34"/>
  <c r="W130" i="34"/>
  <c r="X130" i="34"/>
  <c r="Y130" i="34"/>
  <c r="AA130" i="34"/>
  <c r="AA202" i="34"/>
  <c r="AB202" i="34"/>
  <c r="Z202" i="34"/>
  <c r="V129" i="34"/>
  <c r="W129" i="34"/>
  <c r="X129" i="34"/>
  <c r="Y129" i="34"/>
  <c r="AA129" i="34"/>
  <c r="AA201" i="34"/>
  <c r="AB201" i="34"/>
  <c r="Z201" i="34"/>
  <c r="V128" i="34"/>
  <c r="W128" i="34"/>
  <c r="X128" i="34"/>
  <c r="Y128" i="34"/>
  <c r="AA128" i="34"/>
  <c r="AA200" i="34"/>
  <c r="AB200" i="34"/>
  <c r="Z200" i="34"/>
  <c r="V127" i="34"/>
  <c r="W127" i="34"/>
  <c r="X127" i="34"/>
  <c r="Y127" i="34"/>
  <c r="AA127" i="34"/>
  <c r="AA199" i="34"/>
  <c r="AB199" i="34"/>
  <c r="Z199" i="34"/>
  <c r="V126" i="34"/>
  <c r="W126" i="34"/>
  <c r="X126" i="34"/>
  <c r="Y126" i="34"/>
  <c r="AA126" i="34"/>
  <c r="AA198" i="34"/>
  <c r="AB198" i="34"/>
  <c r="Z198" i="34"/>
  <c r="V125" i="34"/>
  <c r="W125" i="34"/>
  <c r="X125" i="34"/>
  <c r="Y125" i="34"/>
  <c r="AA125" i="34"/>
  <c r="AA197" i="34"/>
  <c r="AB197" i="34"/>
  <c r="Z197" i="34"/>
  <c r="V124" i="34"/>
  <c r="W124" i="34"/>
  <c r="X124" i="34"/>
  <c r="Y124" i="34"/>
  <c r="AA124" i="34"/>
  <c r="AA196" i="34"/>
  <c r="AB196" i="34"/>
  <c r="Z196" i="34"/>
  <c r="V123" i="34"/>
  <c r="W123" i="34"/>
  <c r="X123" i="34"/>
  <c r="Y123" i="34"/>
  <c r="AA123" i="34"/>
  <c r="AA195" i="34"/>
  <c r="AB195" i="34"/>
  <c r="Z195" i="34"/>
  <c r="V122" i="34"/>
  <c r="W122" i="34"/>
  <c r="X122" i="34"/>
  <c r="Y122" i="34"/>
  <c r="AA122" i="34"/>
  <c r="AA194" i="34"/>
  <c r="AB194" i="34"/>
  <c r="Z194" i="34"/>
  <c r="V121" i="34"/>
  <c r="W121" i="34"/>
  <c r="X121" i="34"/>
  <c r="Y121" i="34"/>
  <c r="AA121" i="34"/>
  <c r="AA193" i="34"/>
  <c r="AB193" i="34"/>
  <c r="Z193" i="34"/>
  <c r="V120" i="34"/>
  <c r="W120" i="34"/>
  <c r="X120" i="34"/>
  <c r="Y120" i="34"/>
  <c r="AA120" i="34"/>
  <c r="AA192" i="34"/>
  <c r="AB192" i="34"/>
  <c r="Z192" i="34"/>
  <c r="V119" i="34"/>
  <c r="W119" i="34"/>
  <c r="X119" i="34"/>
  <c r="Y119" i="34"/>
  <c r="AA119" i="34"/>
  <c r="AA191" i="34"/>
  <c r="AB191" i="34"/>
  <c r="Z191" i="34"/>
  <c r="V118" i="34"/>
  <c r="W118" i="34"/>
  <c r="X118" i="34"/>
  <c r="Y118" i="34"/>
  <c r="AA118" i="34"/>
  <c r="AA190" i="34"/>
  <c r="AB190" i="34"/>
  <c r="Z190" i="34"/>
  <c r="V117" i="34"/>
  <c r="W117" i="34"/>
  <c r="X117" i="34"/>
  <c r="Y117" i="34"/>
  <c r="AA117" i="34"/>
  <c r="AA189" i="34"/>
  <c r="AB189" i="34"/>
  <c r="Z189" i="34"/>
  <c r="V116" i="34"/>
  <c r="W116" i="34"/>
  <c r="X116" i="34"/>
  <c r="Y116" i="34"/>
  <c r="AA116" i="34"/>
  <c r="AA188" i="34"/>
  <c r="AB188" i="34"/>
  <c r="Z188" i="34"/>
  <c r="V115" i="34"/>
  <c r="W115" i="34"/>
  <c r="X115" i="34"/>
  <c r="Y115" i="34"/>
  <c r="AA115" i="34"/>
  <c r="AA187" i="34"/>
  <c r="AB187" i="34"/>
  <c r="Z187" i="34"/>
  <c r="V114" i="34"/>
  <c r="W114" i="34"/>
  <c r="X114" i="34"/>
  <c r="Y114" i="34"/>
  <c r="AA114" i="34"/>
  <c r="AA186" i="34"/>
  <c r="AB186" i="34"/>
  <c r="Z186" i="34"/>
  <c r="V113" i="34"/>
  <c r="W113" i="34"/>
  <c r="X113" i="34"/>
  <c r="Y113" i="34"/>
  <c r="AA113" i="34"/>
  <c r="AA185" i="34"/>
  <c r="AB185" i="34"/>
  <c r="Z185" i="34"/>
  <c r="V112" i="34"/>
  <c r="W112" i="34"/>
  <c r="X112" i="34"/>
  <c r="Y112" i="34"/>
  <c r="AA112" i="34"/>
  <c r="AA184" i="34"/>
  <c r="AB184" i="34"/>
  <c r="Z184" i="34"/>
  <c r="V111" i="34"/>
  <c r="W111" i="34"/>
  <c r="X111" i="34"/>
  <c r="Y111" i="34"/>
  <c r="AA111" i="34"/>
  <c r="AA183" i="34"/>
  <c r="AB183" i="34"/>
  <c r="Z183" i="34"/>
  <c r="V110" i="34"/>
  <c r="W110" i="34"/>
  <c r="X110" i="34"/>
  <c r="Y110" i="34"/>
  <c r="AA110" i="34"/>
  <c r="AA182" i="34"/>
  <c r="AB182" i="34"/>
  <c r="Z182" i="34"/>
  <c r="V109" i="34"/>
  <c r="W109" i="34"/>
  <c r="X109" i="34"/>
  <c r="Y109" i="34"/>
  <c r="AA109" i="34"/>
  <c r="AA181" i="34"/>
  <c r="AB181" i="34"/>
  <c r="Z181" i="34"/>
  <c r="V108" i="34"/>
  <c r="W108" i="34"/>
  <c r="X108" i="34"/>
  <c r="Y108" i="34"/>
  <c r="AA108" i="34"/>
  <c r="AA180" i="34"/>
  <c r="AB180" i="34"/>
  <c r="Z180" i="34"/>
  <c r="V107" i="34"/>
  <c r="W107" i="34"/>
  <c r="X107" i="34"/>
  <c r="Y107" i="34"/>
  <c r="AA107" i="34"/>
  <c r="AA179" i="34"/>
  <c r="AB179" i="34"/>
  <c r="Z179" i="34"/>
  <c r="V106" i="34"/>
  <c r="W106" i="34"/>
  <c r="X106" i="34"/>
  <c r="Y106" i="34"/>
  <c r="AA106" i="34"/>
  <c r="AA178" i="34"/>
  <c r="AB178" i="34"/>
  <c r="Z178" i="34"/>
  <c r="V105" i="34"/>
  <c r="W105" i="34"/>
  <c r="X105" i="34"/>
  <c r="Y105" i="34"/>
  <c r="AA105" i="34"/>
  <c r="AA177" i="34"/>
  <c r="AB177" i="34"/>
  <c r="Z177" i="34"/>
  <c r="V104" i="34"/>
  <c r="W104" i="34"/>
  <c r="X104" i="34"/>
  <c r="Y104" i="34"/>
  <c r="AA104" i="34"/>
  <c r="AA176" i="34"/>
  <c r="AB176" i="34"/>
  <c r="Z176" i="34"/>
  <c r="V103" i="34"/>
  <c r="W103" i="34"/>
  <c r="X103" i="34"/>
  <c r="Y103" i="34"/>
  <c r="AA103" i="34"/>
  <c r="AA175" i="34"/>
  <c r="AB175" i="34"/>
  <c r="Z175" i="34"/>
  <c r="V102" i="34"/>
  <c r="W102" i="34"/>
  <c r="X102" i="34"/>
  <c r="Y102" i="34"/>
  <c r="AA102" i="34"/>
  <c r="AA174" i="34"/>
  <c r="AB174" i="34"/>
  <c r="Z174" i="34"/>
  <c r="V101" i="34"/>
  <c r="W101" i="34"/>
  <c r="X101" i="34"/>
  <c r="Y101" i="34"/>
  <c r="AA101" i="34"/>
  <c r="AA173" i="34"/>
  <c r="AB173" i="34"/>
  <c r="Z173" i="34"/>
  <c r="V100" i="34"/>
  <c r="W100" i="34"/>
  <c r="X100" i="34"/>
  <c r="Y100" i="34"/>
  <c r="AA100" i="34"/>
  <c r="AA172" i="34"/>
  <c r="AB172" i="34"/>
  <c r="Z172" i="34"/>
  <c r="V99" i="34"/>
  <c r="W99" i="34"/>
  <c r="X99" i="34"/>
  <c r="Y99" i="34"/>
  <c r="AA99" i="34"/>
  <c r="AA171" i="34"/>
  <c r="AB171" i="34"/>
  <c r="Z171" i="34"/>
  <c r="V98" i="34"/>
  <c r="W98" i="34"/>
  <c r="X98" i="34"/>
  <c r="Y98" i="34"/>
  <c r="AA98" i="34"/>
  <c r="AA170" i="34"/>
  <c r="AB170" i="34"/>
  <c r="Z170" i="34"/>
  <c r="V97" i="34"/>
  <c r="W97" i="34"/>
  <c r="X97" i="34"/>
  <c r="Y97" i="34"/>
  <c r="AA97" i="34"/>
  <c r="AA169" i="34"/>
  <c r="AB169" i="34"/>
  <c r="Z169" i="34"/>
  <c r="V96" i="34"/>
  <c r="W96" i="34"/>
  <c r="X96" i="34"/>
  <c r="Y96" i="34"/>
  <c r="AA96" i="34"/>
  <c r="AA168" i="34"/>
  <c r="AB168" i="34"/>
  <c r="Z168" i="34"/>
  <c r="V95" i="34"/>
  <c r="W95" i="34"/>
  <c r="X95" i="34"/>
  <c r="Y95" i="34"/>
  <c r="AA95" i="34"/>
  <c r="AA167" i="34"/>
  <c r="AB167" i="34"/>
  <c r="Z167" i="34"/>
  <c r="V94" i="34"/>
  <c r="W94" i="34"/>
  <c r="X94" i="34"/>
  <c r="Y94" i="34"/>
  <c r="AA94" i="34"/>
  <c r="AA166" i="34"/>
  <c r="AB166" i="34"/>
  <c r="Z166" i="34"/>
  <c r="V93" i="34"/>
  <c r="W93" i="34"/>
  <c r="X93" i="34"/>
  <c r="Y93" i="34"/>
  <c r="AA93" i="34"/>
  <c r="AA165" i="34"/>
  <c r="AB165" i="34"/>
  <c r="Z165" i="34"/>
  <c r="V92" i="34"/>
  <c r="W92" i="34"/>
  <c r="X92" i="34"/>
  <c r="Y92" i="34"/>
  <c r="AA92" i="34"/>
  <c r="AA164" i="34"/>
  <c r="AB164" i="34"/>
  <c r="Z164" i="34"/>
  <c r="V91" i="34"/>
  <c r="W91" i="34"/>
  <c r="X91" i="34"/>
  <c r="Y91" i="34"/>
  <c r="AA91" i="34"/>
  <c r="AA163" i="34"/>
  <c r="AB163" i="34"/>
  <c r="Z163" i="34"/>
  <c r="V90" i="34"/>
  <c r="W90" i="34"/>
  <c r="X90" i="34"/>
  <c r="Y90" i="34"/>
  <c r="AA90" i="34"/>
  <c r="AA162" i="34"/>
  <c r="AB162" i="34"/>
  <c r="Z162" i="34"/>
  <c r="V89" i="34"/>
  <c r="W89" i="34"/>
  <c r="X89" i="34"/>
  <c r="Y89" i="34"/>
  <c r="AA89" i="34"/>
  <c r="AA161" i="34"/>
  <c r="AB161" i="34"/>
  <c r="Z161" i="34"/>
  <c r="AF135" i="34"/>
  <c r="AE135" i="34"/>
  <c r="AB135" i="34"/>
  <c r="Z135" i="34"/>
  <c r="AF134" i="34"/>
  <c r="AE134" i="34"/>
  <c r="AB134" i="34"/>
  <c r="Z134" i="34"/>
  <c r="AF133" i="34"/>
  <c r="AE133" i="34"/>
  <c r="AB133" i="34"/>
  <c r="Z133" i="34"/>
  <c r="AF132" i="34"/>
  <c r="AE132" i="34"/>
  <c r="AB132" i="34"/>
  <c r="Z132" i="34"/>
  <c r="AF131" i="34"/>
  <c r="AE131" i="34"/>
  <c r="AB131" i="34"/>
  <c r="Z131" i="34"/>
  <c r="AF130" i="34"/>
  <c r="AE130" i="34"/>
  <c r="AB130" i="34"/>
  <c r="Z130" i="34"/>
  <c r="AF129" i="34"/>
  <c r="AE129" i="34"/>
  <c r="AB129" i="34"/>
  <c r="Z129" i="34"/>
  <c r="AF128" i="34"/>
  <c r="AE128" i="34"/>
  <c r="AB128" i="34"/>
  <c r="Z128" i="34"/>
  <c r="AF127" i="34"/>
  <c r="AE127" i="34"/>
  <c r="AB127" i="34"/>
  <c r="Z127" i="34"/>
  <c r="AF126" i="34"/>
  <c r="AE126" i="34"/>
  <c r="AB126" i="34"/>
  <c r="Z126" i="34"/>
  <c r="AF125" i="34"/>
  <c r="AE125" i="34"/>
  <c r="AB125" i="34"/>
  <c r="Z125" i="34"/>
  <c r="AF124" i="34"/>
  <c r="AE124" i="34"/>
  <c r="AB124" i="34"/>
  <c r="Z124" i="34"/>
  <c r="AF123" i="34"/>
  <c r="AE123" i="34"/>
  <c r="AB123" i="34"/>
  <c r="Z123" i="34"/>
  <c r="AF122" i="34"/>
  <c r="AE122" i="34"/>
  <c r="AB122" i="34"/>
  <c r="Z122" i="34"/>
  <c r="AF121" i="34"/>
  <c r="AE121" i="34"/>
  <c r="AB121" i="34"/>
  <c r="Z121" i="34"/>
  <c r="AF120" i="34"/>
  <c r="AE120" i="34"/>
  <c r="AB120" i="34"/>
  <c r="Z120" i="34"/>
  <c r="AF119" i="34"/>
  <c r="AE119" i="34"/>
  <c r="AB119" i="34"/>
  <c r="Z119" i="34"/>
  <c r="AF118" i="34"/>
  <c r="AE118" i="34"/>
  <c r="AB118" i="34"/>
  <c r="Z118" i="34"/>
  <c r="AF117" i="34"/>
  <c r="AE117" i="34"/>
  <c r="AB117" i="34"/>
  <c r="Z117" i="34"/>
  <c r="AF116" i="34"/>
  <c r="AE116" i="34"/>
  <c r="AB116" i="34"/>
  <c r="Z116" i="34"/>
  <c r="AF115" i="34"/>
  <c r="AE115" i="34"/>
  <c r="AB115" i="34"/>
  <c r="Z115" i="34"/>
  <c r="AF114" i="34"/>
  <c r="AE114" i="34"/>
  <c r="AB114" i="34"/>
  <c r="Z114" i="34"/>
  <c r="AF113" i="34"/>
  <c r="AE113" i="34"/>
  <c r="AB113" i="34"/>
  <c r="Z113" i="34"/>
  <c r="AF112" i="34"/>
  <c r="AE112" i="34"/>
  <c r="AB112" i="34"/>
  <c r="Z112" i="34"/>
  <c r="AF111" i="34"/>
  <c r="AE111" i="34"/>
  <c r="AB111" i="34"/>
  <c r="Z111" i="34"/>
  <c r="AF110" i="34"/>
  <c r="AE110" i="34"/>
  <c r="AB110" i="34"/>
  <c r="Z110" i="34"/>
  <c r="AF109" i="34"/>
  <c r="AE109" i="34"/>
  <c r="AB109" i="34"/>
  <c r="Z109" i="34"/>
  <c r="AF108" i="34"/>
  <c r="AE108" i="34"/>
  <c r="AB108" i="34"/>
  <c r="Z108" i="34"/>
  <c r="AF107" i="34"/>
  <c r="AE107" i="34"/>
  <c r="AB107" i="34"/>
  <c r="Z107" i="34"/>
  <c r="AF106" i="34"/>
  <c r="AE106" i="34"/>
  <c r="AB106" i="34"/>
  <c r="Z106" i="34"/>
  <c r="AF105" i="34"/>
  <c r="AE105" i="34"/>
  <c r="AB105" i="34"/>
  <c r="Z105" i="34"/>
  <c r="AF104" i="34"/>
  <c r="AE104" i="34"/>
  <c r="AB104" i="34"/>
  <c r="Z104" i="34"/>
  <c r="AF103" i="34"/>
  <c r="AE103" i="34"/>
  <c r="AB103" i="34"/>
  <c r="Z103" i="34"/>
  <c r="AF102" i="34"/>
  <c r="AE102" i="34"/>
  <c r="AB102" i="34"/>
  <c r="Z102" i="34"/>
  <c r="AF101" i="34"/>
  <c r="AE101" i="34"/>
  <c r="AB101" i="34"/>
  <c r="Z101" i="34"/>
  <c r="AF100" i="34"/>
  <c r="AE100" i="34"/>
  <c r="AB100" i="34"/>
  <c r="Z100" i="34"/>
  <c r="AF99" i="34"/>
  <c r="AE99" i="34"/>
  <c r="AB99" i="34"/>
  <c r="Z99" i="34"/>
  <c r="AF98" i="34"/>
  <c r="AE98" i="34"/>
  <c r="AB98" i="34"/>
  <c r="Z98" i="34"/>
  <c r="AF97" i="34"/>
  <c r="AE97" i="34"/>
  <c r="AB97" i="34"/>
  <c r="Z97" i="34"/>
  <c r="AF96" i="34"/>
  <c r="AE96" i="34"/>
  <c r="AB96" i="34"/>
  <c r="Z96" i="34"/>
  <c r="AF95" i="34"/>
  <c r="AE95" i="34"/>
  <c r="AB95" i="34"/>
  <c r="Z95" i="34"/>
  <c r="AF94" i="34"/>
  <c r="AE94" i="34"/>
  <c r="AB94" i="34"/>
  <c r="Z94" i="34"/>
  <c r="AF93" i="34"/>
  <c r="AE93" i="34"/>
  <c r="AB93" i="34"/>
  <c r="Z93" i="34"/>
  <c r="AF92" i="34"/>
  <c r="AE92" i="34"/>
  <c r="AB92" i="34"/>
  <c r="Z92" i="34"/>
  <c r="AF91" i="34"/>
  <c r="AE91" i="34"/>
  <c r="AB91" i="34"/>
  <c r="Z91" i="34"/>
  <c r="AF90" i="34"/>
  <c r="AE90" i="34"/>
  <c r="AB90" i="34"/>
  <c r="Z90" i="34"/>
  <c r="AF89" i="34"/>
  <c r="AE89" i="34"/>
  <c r="AB89" i="34"/>
  <c r="Z89" i="34"/>
  <c r="Q72" i="34"/>
  <c r="Q71" i="34"/>
  <c r="Q70" i="34"/>
  <c r="Q69" i="34"/>
  <c r="Q68" i="34"/>
  <c r="F12" i="34"/>
  <c r="BR60" i="34"/>
  <c r="F11" i="34"/>
  <c r="BZ51" i="34"/>
  <c r="F10" i="34"/>
  <c r="BY51" i="34"/>
  <c r="F9" i="34"/>
  <c r="BX51" i="34"/>
  <c r="F8" i="34"/>
  <c r="BW51" i="34"/>
  <c r="E85" i="9"/>
  <c r="AI15" i="34"/>
  <c r="BR59" i="34"/>
  <c r="CA51" i="34"/>
  <c r="BR58" i="34"/>
  <c r="BR57" i="34"/>
  <c r="BR56" i="34"/>
  <c r="BR37" i="34"/>
  <c r="CA29" i="34"/>
  <c r="BR36" i="34"/>
  <c r="BR35" i="34"/>
  <c r="BR34" i="34"/>
  <c r="BR49" i="34"/>
  <c r="BZ29" i="34"/>
  <c r="BR48" i="34"/>
  <c r="BY29" i="34"/>
  <c r="BR47" i="34"/>
  <c r="BX29" i="34"/>
  <c r="BR46" i="34"/>
  <c r="BR45" i="34"/>
  <c r="CA40" i="34"/>
  <c r="BZ40" i="34"/>
  <c r="BY40" i="34"/>
  <c r="BX40" i="34"/>
  <c r="BW40" i="34"/>
  <c r="BR38" i="34"/>
  <c r="BW29" i="34"/>
  <c r="C38" i="34"/>
  <c r="C37" i="34"/>
  <c r="C36" i="34"/>
  <c r="C35" i="34"/>
  <c r="C34" i="34"/>
  <c r="C25" i="34"/>
  <c r="C24" i="34"/>
  <c r="C23" i="34"/>
  <c r="C22" i="34"/>
  <c r="C21" i="34"/>
  <c r="V135" i="33"/>
  <c r="W135" i="33"/>
  <c r="X135" i="33"/>
  <c r="Y135" i="33"/>
  <c r="AA135" i="33"/>
  <c r="AA207" i="33"/>
  <c r="AB207" i="33"/>
  <c r="Z207" i="33"/>
  <c r="V134" i="33"/>
  <c r="W134" i="33"/>
  <c r="X134" i="33"/>
  <c r="Y134" i="33"/>
  <c r="AA134" i="33"/>
  <c r="AA206" i="33"/>
  <c r="AB206" i="33"/>
  <c r="Z206" i="33"/>
  <c r="V133" i="33"/>
  <c r="W133" i="33"/>
  <c r="X133" i="33"/>
  <c r="Y133" i="33"/>
  <c r="AA133" i="33"/>
  <c r="AA205" i="33"/>
  <c r="AB205" i="33"/>
  <c r="Z205" i="33"/>
  <c r="V132" i="33"/>
  <c r="W132" i="33"/>
  <c r="X132" i="33"/>
  <c r="Y132" i="33"/>
  <c r="AA132" i="33"/>
  <c r="AA204" i="33"/>
  <c r="AB204" i="33"/>
  <c r="Z204" i="33"/>
  <c r="V131" i="33"/>
  <c r="W131" i="33"/>
  <c r="X131" i="33"/>
  <c r="Y131" i="33"/>
  <c r="AA131" i="33"/>
  <c r="AA203" i="33"/>
  <c r="AB203" i="33"/>
  <c r="Z203" i="33"/>
  <c r="V130" i="33"/>
  <c r="W130" i="33"/>
  <c r="X130" i="33"/>
  <c r="Y130" i="33"/>
  <c r="AA130" i="33"/>
  <c r="AA202" i="33"/>
  <c r="AB202" i="33"/>
  <c r="Z202" i="33"/>
  <c r="V129" i="33"/>
  <c r="W129" i="33"/>
  <c r="X129" i="33"/>
  <c r="Y129" i="33"/>
  <c r="AA129" i="33"/>
  <c r="AA201" i="33"/>
  <c r="AB201" i="33"/>
  <c r="Z201" i="33"/>
  <c r="V128" i="33"/>
  <c r="W128" i="33"/>
  <c r="X128" i="33"/>
  <c r="Y128" i="33"/>
  <c r="AA128" i="33"/>
  <c r="AA200" i="33"/>
  <c r="AB200" i="33"/>
  <c r="Z200" i="33"/>
  <c r="V127" i="33"/>
  <c r="W127" i="33"/>
  <c r="X127" i="33"/>
  <c r="Y127" i="33"/>
  <c r="AA127" i="33"/>
  <c r="AA199" i="33"/>
  <c r="AB199" i="33"/>
  <c r="Z199" i="33"/>
  <c r="V126" i="33"/>
  <c r="W126" i="33"/>
  <c r="X126" i="33"/>
  <c r="Y126" i="33"/>
  <c r="AA126" i="33"/>
  <c r="AA198" i="33"/>
  <c r="AB198" i="33"/>
  <c r="Z198" i="33"/>
  <c r="V125" i="33"/>
  <c r="W125" i="33"/>
  <c r="X125" i="33"/>
  <c r="Y125" i="33"/>
  <c r="AA125" i="33"/>
  <c r="AA197" i="33"/>
  <c r="AB197" i="33"/>
  <c r="Z197" i="33"/>
  <c r="V124" i="33"/>
  <c r="W124" i="33"/>
  <c r="X124" i="33"/>
  <c r="Y124" i="33"/>
  <c r="AA124" i="33"/>
  <c r="AA196" i="33"/>
  <c r="AB196" i="33"/>
  <c r="Z196" i="33"/>
  <c r="V123" i="33"/>
  <c r="W123" i="33"/>
  <c r="X123" i="33"/>
  <c r="Y123" i="33"/>
  <c r="AA123" i="33"/>
  <c r="AA195" i="33"/>
  <c r="AB195" i="33"/>
  <c r="Z195" i="33"/>
  <c r="V122" i="33"/>
  <c r="W122" i="33"/>
  <c r="X122" i="33"/>
  <c r="Y122" i="33"/>
  <c r="AA122" i="33"/>
  <c r="AA194" i="33"/>
  <c r="AB194" i="33"/>
  <c r="Z194" i="33"/>
  <c r="V121" i="33"/>
  <c r="W121" i="33"/>
  <c r="X121" i="33"/>
  <c r="Y121" i="33"/>
  <c r="AA121" i="33"/>
  <c r="AA193" i="33"/>
  <c r="AB193" i="33"/>
  <c r="Z193" i="33"/>
  <c r="V120" i="33"/>
  <c r="W120" i="33"/>
  <c r="X120" i="33"/>
  <c r="Y120" i="33"/>
  <c r="AA120" i="33"/>
  <c r="AA192" i="33"/>
  <c r="AB192" i="33"/>
  <c r="Z192" i="33"/>
  <c r="V119" i="33"/>
  <c r="W119" i="33"/>
  <c r="X119" i="33"/>
  <c r="Y119" i="33"/>
  <c r="AA119" i="33"/>
  <c r="AA191" i="33"/>
  <c r="AB191" i="33"/>
  <c r="Z191" i="33"/>
  <c r="V118" i="33"/>
  <c r="W118" i="33"/>
  <c r="X118" i="33"/>
  <c r="Y118" i="33"/>
  <c r="AA118" i="33"/>
  <c r="AA190" i="33"/>
  <c r="AB190" i="33"/>
  <c r="Z190" i="33"/>
  <c r="V117" i="33"/>
  <c r="W117" i="33"/>
  <c r="X117" i="33"/>
  <c r="Y117" i="33"/>
  <c r="AA117" i="33"/>
  <c r="AA189" i="33"/>
  <c r="AB189" i="33"/>
  <c r="Z189" i="33"/>
  <c r="V116" i="33"/>
  <c r="W116" i="33"/>
  <c r="X116" i="33"/>
  <c r="Y116" i="33"/>
  <c r="AA116" i="33"/>
  <c r="AA188" i="33"/>
  <c r="AB188" i="33"/>
  <c r="Z188" i="33"/>
  <c r="V115" i="33"/>
  <c r="W115" i="33"/>
  <c r="X115" i="33"/>
  <c r="Y115" i="33"/>
  <c r="AA115" i="33"/>
  <c r="AA187" i="33"/>
  <c r="AB187" i="33"/>
  <c r="Z187" i="33"/>
  <c r="V114" i="33"/>
  <c r="W114" i="33"/>
  <c r="X114" i="33"/>
  <c r="Y114" i="33"/>
  <c r="AA114" i="33"/>
  <c r="AA186" i="33"/>
  <c r="AB186" i="33"/>
  <c r="Z186" i="33"/>
  <c r="V113" i="33"/>
  <c r="W113" i="33"/>
  <c r="X113" i="33"/>
  <c r="Y113" i="33"/>
  <c r="AA113" i="33"/>
  <c r="AA185" i="33"/>
  <c r="AB185" i="33"/>
  <c r="Z185" i="33"/>
  <c r="V112" i="33"/>
  <c r="W112" i="33"/>
  <c r="X112" i="33"/>
  <c r="Y112" i="33"/>
  <c r="AA112" i="33"/>
  <c r="AA184" i="33"/>
  <c r="AB184" i="33"/>
  <c r="Z184" i="33"/>
  <c r="V111" i="33"/>
  <c r="W111" i="33"/>
  <c r="X111" i="33"/>
  <c r="Y111" i="33"/>
  <c r="AA111" i="33"/>
  <c r="AA183" i="33"/>
  <c r="AB183" i="33"/>
  <c r="Z183" i="33"/>
  <c r="V110" i="33"/>
  <c r="W110" i="33"/>
  <c r="X110" i="33"/>
  <c r="Y110" i="33"/>
  <c r="AA110" i="33"/>
  <c r="AA182" i="33"/>
  <c r="AB182" i="33"/>
  <c r="Z182" i="33"/>
  <c r="V109" i="33"/>
  <c r="W109" i="33"/>
  <c r="X109" i="33"/>
  <c r="Y109" i="33"/>
  <c r="AA109" i="33"/>
  <c r="AA181" i="33"/>
  <c r="AB181" i="33"/>
  <c r="Z181" i="33"/>
  <c r="V108" i="33"/>
  <c r="W108" i="33"/>
  <c r="X108" i="33"/>
  <c r="Y108" i="33"/>
  <c r="AA108" i="33"/>
  <c r="AA180" i="33"/>
  <c r="AB180" i="33"/>
  <c r="Z180" i="33"/>
  <c r="V107" i="33"/>
  <c r="W107" i="33"/>
  <c r="X107" i="33"/>
  <c r="Y107" i="33"/>
  <c r="AA107" i="33"/>
  <c r="AA179" i="33"/>
  <c r="AB179" i="33"/>
  <c r="Z179" i="33"/>
  <c r="V106" i="33"/>
  <c r="W106" i="33"/>
  <c r="X106" i="33"/>
  <c r="Y106" i="33"/>
  <c r="AA106" i="33"/>
  <c r="AA178" i="33"/>
  <c r="AB178" i="33"/>
  <c r="Z178" i="33"/>
  <c r="V105" i="33"/>
  <c r="W105" i="33"/>
  <c r="X105" i="33"/>
  <c r="Y105" i="33"/>
  <c r="AA105" i="33"/>
  <c r="AA177" i="33"/>
  <c r="AB177" i="33"/>
  <c r="Z177" i="33"/>
  <c r="V104" i="33"/>
  <c r="W104" i="33"/>
  <c r="X104" i="33"/>
  <c r="Y104" i="33"/>
  <c r="AA104" i="33"/>
  <c r="AA176" i="33"/>
  <c r="AB176" i="33"/>
  <c r="Z176" i="33"/>
  <c r="V103" i="33"/>
  <c r="W103" i="33"/>
  <c r="X103" i="33"/>
  <c r="Y103" i="33"/>
  <c r="AA103" i="33"/>
  <c r="AA175" i="33"/>
  <c r="AB175" i="33"/>
  <c r="Z175" i="33"/>
  <c r="V102" i="33"/>
  <c r="W102" i="33"/>
  <c r="X102" i="33"/>
  <c r="Y102" i="33"/>
  <c r="AA102" i="33"/>
  <c r="AA174" i="33"/>
  <c r="AB174" i="33"/>
  <c r="Z174" i="33"/>
  <c r="V101" i="33"/>
  <c r="W101" i="33"/>
  <c r="X101" i="33"/>
  <c r="Y101" i="33"/>
  <c r="AA101" i="33"/>
  <c r="AA173" i="33"/>
  <c r="AB173" i="33"/>
  <c r="Z173" i="33"/>
  <c r="V100" i="33"/>
  <c r="W100" i="33"/>
  <c r="X100" i="33"/>
  <c r="Y100" i="33"/>
  <c r="AA100" i="33"/>
  <c r="AA172" i="33"/>
  <c r="AB172" i="33"/>
  <c r="Z172" i="33"/>
  <c r="AA92" i="33"/>
  <c r="AA164" i="33"/>
  <c r="AB164" i="33"/>
  <c r="Z164" i="33"/>
  <c r="AA91" i="33"/>
  <c r="AA163" i="33"/>
  <c r="AB163" i="33"/>
  <c r="Z163" i="33"/>
  <c r="AA89" i="33"/>
  <c r="AA161" i="33"/>
  <c r="AB161" i="33"/>
  <c r="Z161" i="33"/>
  <c r="AF135" i="33"/>
  <c r="AE135" i="33"/>
  <c r="AB135" i="33"/>
  <c r="Z135" i="33"/>
  <c r="AF134" i="33"/>
  <c r="AE134" i="33"/>
  <c r="AB134" i="33"/>
  <c r="Z134" i="33"/>
  <c r="AF133" i="33"/>
  <c r="AE133" i="33"/>
  <c r="AB133" i="33"/>
  <c r="Z133" i="33"/>
  <c r="AF132" i="33"/>
  <c r="AE132" i="33"/>
  <c r="AB132" i="33"/>
  <c r="Z132" i="33"/>
  <c r="AF131" i="33"/>
  <c r="AE131" i="33"/>
  <c r="AB131" i="33"/>
  <c r="Z131" i="33"/>
  <c r="AF130" i="33"/>
  <c r="AE130" i="33"/>
  <c r="AB130" i="33"/>
  <c r="Z130" i="33"/>
  <c r="AF129" i="33"/>
  <c r="AE129" i="33"/>
  <c r="AB129" i="33"/>
  <c r="Z129" i="33"/>
  <c r="AF128" i="33"/>
  <c r="AE128" i="33"/>
  <c r="AB128" i="33"/>
  <c r="Z128" i="33"/>
  <c r="AF127" i="33"/>
  <c r="AE127" i="33"/>
  <c r="AB127" i="33"/>
  <c r="Z127" i="33"/>
  <c r="AF126" i="33"/>
  <c r="AE126" i="33"/>
  <c r="AB126" i="33"/>
  <c r="Z126" i="33"/>
  <c r="AF125" i="33"/>
  <c r="AE125" i="33"/>
  <c r="AB125" i="33"/>
  <c r="Z125" i="33"/>
  <c r="AF124" i="33"/>
  <c r="AE124" i="33"/>
  <c r="AB124" i="33"/>
  <c r="Z124" i="33"/>
  <c r="AF123" i="33"/>
  <c r="AE123" i="33"/>
  <c r="AB123" i="33"/>
  <c r="Z123" i="33"/>
  <c r="AF122" i="33"/>
  <c r="AE122" i="33"/>
  <c r="AB122" i="33"/>
  <c r="Z122" i="33"/>
  <c r="AF121" i="33"/>
  <c r="AE121" i="33"/>
  <c r="AB121" i="33"/>
  <c r="Z121" i="33"/>
  <c r="AF120" i="33"/>
  <c r="AE120" i="33"/>
  <c r="AB120" i="33"/>
  <c r="Z120" i="33"/>
  <c r="AF119" i="33"/>
  <c r="AE119" i="33"/>
  <c r="AB119" i="33"/>
  <c r="Z119" i="33"/>
  <c r="AF118" i="33"/>
  <c r="AE118" i="33"/>
  <c r="AB118" i="33"/>
  <c r="Z118" i="33"/>
  <c r="AF117" i="33"/>
  <c r="AE117" i="33"/>
  <c r="AB117" i="33"/>
  <c r="Z117" i="33"/>
  <c r="AF116" i="33"/>
  <c r="AE116" i="33"/>
  <c r="AB116" i="33"/>
  <c r="Z116" i="33"/>
  <c r="AF115" i="33"/>
  <c r="AE115" i="33"/>
  <c r="AB115" i="33"/>
  <c r="Z115" i="33"/>
  <c r="AF114" i="33"/>
  <c r="AE114" i="33"/>
  <c r="AB114" i="33"/>
  <c r="Z114" i="33"/>
  <c r="AF113" i="33"/>
  <c r="AE113" i="33"/>
  <c r="AB113" i="33"/>
  <c r="Z113" i="33"/>
  <c r="AF112" i="33"/>
  <c r="AE112" i="33"/>
  <c r="AB112" i="33"/>
  <c r="Z112" i="33"/>
  <c r="AF111" i="33"/>
  <c r="AE111" i="33"/>
  <c r="AB111" i="33"/>
  <c r="Z111" i="33"/>
  <c r="AF110" i="33"/>
  <c r="AE110" i="33"/>
  <c r="AB110" i="33"/>
  <c r="Z110" i="33"/>
  <c r="AF109" i="33"/>
  <c r="AE109" i="33"/>
  <c r="AB109" i="33"/>
  <c r="Z109" i="33"/>
  <c r="AF108" i="33"/>
  <c r="AE108" i="33"/>
  <c r="AB108" i="33"/>
  <c r="Z108" i="33"/>
  <c r="AF107" i="33"/>
  <c r="AE107" i="33"/>
  <c r="AB107" i="33"/>
  <c r="Z107" i="33"/>
  <c r="AF106" i="33"/>
  <c r="AE106" i="33"/>
  <c r="AB106" i="33"/>
  <c r="Z106" i="33"/>
  <c r="AF105" i="33"/>
  <c r="AE105" i="33"/>
  <c r="AB105" i="33"/>
  <c r="Z105" i="33"/>
  <c r="AF104" i="33"/>
  <c r="AE104" i="33"/>
  <c r="AB104" i="33"/>
  <c r="Z104" i="33"/>
  <c r="AF103" i="33"/>
  <c r="AE103" i="33"/>
  <c r="AB103" i="33"/>
  <c r="Z103" i="33"/>
  <c r="AF102" i="33"/>
  <c r="AE102" i="33"/>
  <c r="AB102" i="33"/>
  <c r="Z102" i="33"/>
  <c r="AF101" i="33"/>
  <c r="AE101" i="33"/>
  <c r="AB101" i="33"/>
  <c r="Z101" i="33"/>
  <c r="AF100" i="33"/>
  <c r="AE100" i="33"/>
  <c r="AB100" i="33"/>
  <c r="Z100" i="33"/>
  <c r="AB99" i="33"/>
  <c r="Z99" i="33"/>
  <c r="AB98" i="33"/>
  <c r="Z98" i="33"/>
  <c r="AB97" i="33"/>
  <c r="Z97" i="33"/>
  <c r="AB96" i="33"/>
  <c r="Z96" i="33"/>
  <c r="AB95" i="33"/>
  <c r="Z95" i="33"/>
  <c r="AB94" i="33"/>
  <c r="Z94" i="33"/>
  <c r="AF92" i="33"/>
  <c r="AE92" i="33"/>
  <c r="AB92" i="33"/>
  <c r="Z92" i="33"/>
  <c r="AF91" i="33"/>
  <c r="AE91" i="33"/>
  <c r="AB91" i="33"/>
  <c r="Z91" i="33"/>
  <c r="AF89" i="33"/>
  <c r="AE89" i="33"/>
  <c r="AB89" i="33"/>
  <c r="Z89" i="33"/>
  <c r="Q72" i="33"/>
  <c r="Q71" i="33"/>
  <c r="Q70" i="33"/>
  <c r="Q69" i="33"/>
  <c r="Q68" i="33"/>
  <c r="F12" i="33"/>
  <c r="BR60" i="33"/>
  <c r="F11" i="33"/>
  <c r="BZ51" i="33"/>
  <c r="F10" i="33"/>
  <c r="BY51" i="33"/>
  <c r="F9" i="33"/>
  <c r="BX51" i="33"/>
  <c r="F8" i="33"/>
  <c r="BW51" i="33"/>
  <c r="AI15" i="33"/>
  <c r="BR59" i="33"/>
  <c r="CA51" i="33"/>
  <c r="BR58" i="33"/>
  <c r="BR57" i="33"/>
  <c r="BR56" i="33"/>
  <c r="BR37" i="33"/>
  <c r="CA29" i="33"/>
  <c r="BR36" i="33"/>
  <c r="BR35" i="33"/>
  <c r="BR34" i="33"/>
  <c r="BR49" i="33"/>
  <c r="BZ29" i="33"/>
  <c r="BR48" i="33"/>
  <c r="BY29" i="33"/>
  <c r="BR47" i="33"/>
  <c r="BX29" i="33"/>
  <c r="BR46" i="33"/>
  <c r="BR45" i="33"/>
  <c r="CA40" i="33"/>
  <c r="BZ40" i="33"/>
  <c r="BY40" i="33"/>
  <c r="BX40" i="33"/>
  <c r="BW40" i="33"/>
  <c r="BR38" i="33"/>
  <c r="BW29" i="33"/>
  <c r="C38" i="33"/>
  <c r="C37" i="33"/>
  <c r="C36" i="33"/>
  <c r="C35" i="33"/>
  <c r="C34" i="33"/>
  <c r="C25" i="33"/>
  <c r="C24" i="33"/>
  <c r="C23" i="33"/>
  <c r="C22" i="33"/>
  <c r="C21" i="33"/>
  <c r="E68" i="9"/>
  <c r="Q38" i="27"/>
  <c r="E67" i="9"/>
  <c r="Q31" i="27"/>
  <c r="X41" i="27"/>
  <c r="X40" i="27"/>
  <c r="E49" i="9"/>
  <c r="AF39" i="27"/>
  <c r="AE39" i="27"/>
  <c r="E27" i="9"/>
  <c r="AA39" i="27"/>
  <c r="E26" i="9"/>
  <c r="Z39" i="27"/>
  <c r="E25" i="9"/>
  <c r="W39" i="27"/>
  <c r="E24" i="9"/>
  <c r="V39" i="27"/>
  <c r="E23" i="9"/>
  <c r="U39" i="27"/>
  <c r="E22" i="9"/>
  <c r="T39" i="27"/>
  <c r="E21" i="9"/>
  <c r="S39" i="27"/>
  <c r="E66" i="9"/>
  <c r="AD38" i="27"/>
  <c r="X36" i="27"/>
  <c r="X35" i="27"/>
  <c r="X34" i="27"/>
  <c r="X33" i="27"/>
  <c r="AF32" i="27"/>
  <c r="AE32" i="27"/>
  <c r="AA32" i="27"/>
  <c r="Z32" i="27"/>
  <c r="W32" i="27"/>
  <c r="V32" i="27"/>
  <c r="U32" i="27"/>
  <c r="T32" i="27"/>
  <c r="S32" i="27"/>
  <c r="AD31" i="27"/>
  <c r="B13" i="17"/>
  <c r="B13" i="3"/>
  <c r="B14" i="3"/>
  <c r="P77" i="22"/>
  <c r="C10" i="32"/>
  <c r="E61" i="9"/>
  <c r="C22" i="32"/>
  <c r="I20" i="22"/>
  <c r="L20" i="22"/>
  <c r="K20" i="22"/>
  <c r="N20" i="22"/>
  <c r="E60" i="9"/>
  <c r="C19" i="32"/>
  <c r="K20" i="32"/>
  <c r="K21" i="32"/>
  <c r="F24" i="32"/>
  <c r="F23" i="32"/>
  <c r="E24" i="32"/>
  <c r="E23" i="32"/>
  <c r="G29" i="32"/>
  <c r="F29" i="32"/>
  <c r="G26" i="32"/>
  <c r="N24" i="32"/>
  <c r="N23" i="32"/>
  <c r="K23" i="32"/>
  <c r="N18" i="32"/>
  <c r="K18" i="32"/>
  <c r="N17" i="32"/>
  <c r="K17" i="32"/>
  <c r="N16" i="32"/>
  <c r="K16" i="32"/>
  <c r="N15" i="32"/>
  <c r="K15" i="32"/>
  <c r="N14" i="32"/>
  <c r="K14" i="32"/>
  <c r="N13" i="32"/>
  <c r="K13" i="32"/>
  <c r="N12" i="32"/>
  <c r="K12" i="32"/>
  <c r="E12" i="32"/>
  <c r="M11" i="32"/>
  <c r="J11" i="32"/>
  <c r="G11" i="32"/>
  <c r="E11" i="32"/>
  <c r="D11" i="32"/>
  <c r="C11" i="32"/>
  <c r="P9" i="32"/>
  <c r="G7" i="32"/>
  <c r="E5" i="32"/>
  <c r="E4" i="32"/>
  <c r="E3" i="32"/>
  <c r="E2" i="32"/>
  <c r="N20" i="21"/>
  <c r="K17" i="21"/>
  <c r="N17" i="21"/>
  <c r="K18" i="21"/>
  <c r="N18" i="21"/>
  <c r="K19" i="21"/>
  <c r="N19" i="21"/>
  <c r="Q64" i="3"/>
  <c r="F4" i="3"/>
  <c r="Q65" i="3"/>
  <c r="F5" i="3"/>
  <c r="Q66" i="3"/>
  <c r="F6" i="3"/>
  <c r="Q67" i="3"/>
  <c r="F7" i="3"/>
  <c r="Q68" i="3"/>
  <c r="F8" i="3"/>
  <c r="Q64" i="17"/>
  <c r="F4" i="17"/>
  <c r="Q65" i="17"/>
  <c r="F5" i="17"/>
  <c r="Q66" i="17"/>
  <c r="F6" i="17"/>
  <c r="Q67" i="17"/>
  <c r="F7" i="17"/>
  <c r="Q68" i="17"/>
  <c r="F8" i="17"/>
  <c r="I6" i="22"/>
  <c r="L6" i="22"/>
  <c r="K6" i="22"/>
  <c r="N6" i="22"/>
  <c r="F6" i="22"/>
  <c r="C3" i="25"/>
  <c r="I7" i="22"/>
  <c r="L7" i="22"/>
  <c r="K7" i="22"/>
  <c r="N7" i="22"/>
  <c r="E7" i="22" a="1"/>
  <c r="E7" i="22"/>
  <c r="F7" i="22"/>
  <c r="C4" i="25"/>
  <c r="I8" i="22"/>
  <c r="L8" i="22"/>
  <c r="K8" i="22"/>
  <c r="N8" i="22"/>
  <c r="E8" i="22" a="1"/>
  <c r="E8" i="22"/>
  <c r="F8" i="22"/>
  <c r="C5" i="25"/>
  <c r="I9" i="22"/>
  <c r="L9" i="22"/>
  <c r="K9" i="22"/>
  <c r="N9" i="22"/>
  <c r="E9" i="22" a="1"/>
  <c r="E9" i="22"/>
  <c r="F9" i="22"/>
  <c r="C6" i="25"/>
  <c r="I10" i="22"/>
  <c r="L10" i="22"/>
  <c r="K10" i="22"/>
  <c r="N10" i="22"/>
  <c r="E10" i="22" a="1"/>
  <c r="E10" i="22"/>
  <c r="F10" i="22"/>
  <c r="C7" i="25"/>
  <c r="I11" i="22"/>
  <c r="L11" i="22"/>
  <c r="K11" i="22"/>
  <c r="N11" i="22"/>
  <c r="E11" i="22" a="1"/>
  <c r="E11" i="22"/>
  <c r="F11" i="22"/>
  <c r="C8" i="25"/>
  <c r="E12" i="22" a="1"/>
  <c r="E12" i="22"/>
  <c r="F12" i="22"/>
  <c r="C9" i="25"/>
  <c r="I13" i="22"/>
  <c r="L13" i="22"/>
  <c r="K13" i="22"/>
  <c r="N13" i="22"/>
  <c r="E13" i="22" a="1"/>
  <c r="E13" i="22"/>
  <c r="F13" i="22"/>
  <c r="C10" i="25"/>
  <c r="I14" i="22"/>
  <c r="L14" i="22"/>
  <c r="K14" i="22"/>
  <c r="N14" i="22"/>
  <c r="E14" i="22" a="1"/>
  <c r="E14" i="22"/>
  <c r="F14" i="22"/>
  <c r="C11" i="25"/>
  <c r="I15" i="22"/>
  <c r="L15" i="22"/>
  <c r="K15" i="22"/>
  <c r="N15" i="22"/>
  <c r="E15" i="22" a="1"/>
  <c r="E15" i="22"/>
  <c r="F15" i="22"/>
  <c r="C12" i="25"/>
  <c r="I16" i="22"/>
  <c r="L16" i="22"/>
  <c r="K16" i="22"/>
  <c r="N16" i="22"/>
  <c r="E16" i="22" a="1"/>
  <c r="E16" i="22"/>
  <c r="F16" i="22"/>
  <c r="C13" i="25"/>
  <c r="I17" i="22"/>
  <c r="L17" i="22"/>
  <c r="K17" i="22"/>
  <c r="N17" i="22"/>
  <c r="E17" i="22" a="1"/>
  <c r="E17" i="22"/>
  <c r="F17" i="22"/>
  <c r="C14" i="25"/>
  <c r="I18" i="22"/>
  <c r="L18" i="22"/>
  <c r="K18" i="22"/>
  <c r="N18" i="22"/>
  <c r="E18" i="22" a="1"/>
  <c r="E18" i="22"/>
  <c r="F18" i="22"/>
  <c r="C15" i="25"/>
  <c r="I19" i="22"/>
  <c r="L19" i="22"/>
  <c r="K19" i="22"/>
  <c r="N19" i="22"/>
  <c r="E19" i="22" a="1"/>
  <c r="E19" i="22"/>
  <c r="F19" i="22"/>
  <c r="C16" i="25"/>
  <c r="E20" i="22" a="1"/>
  <c r="E20" i="22"/>
  <c r="F20" i="22"/>
  <c r="C17" i="25"/>
  <c r="I21" i="22"/>
  <c r="L21" i="22"/>
  <c r="K21" i="22"/>
  <c r="N21" i="22"/>
  <c r="E21" i="22" a="1"/>
  <c r="E21" i="22"/>
  <c r="F21" i="22"/>
  <c r="C18" i="25"/>
  <c r="I22" i="22"/>
  <c r="L22" i="22"/>
  <c r="K22" i="22"/>
  <c r="N22" i="22"/>
  <c r="E22" i="22" a="1"/>
  <c r="E22" i="22"/>
  <c r="F22" i="22"/>
  <c r="C19" i="25"/>
  <c r="I23" i="22"/>
  <c r="L23" i="22"/>
  <c r="K23" i="22"/>
  <c r="N23" i="22"/>
  <c r="E23" i="22" a="1"/>
  <c r="E23" i="22"/>
  <c r="F23" i="22"/>
  <c r="C20" i="25"/>
  <c r="I24" i="22"/>
  <c r="L24" i="22"/>
  <c r="K24" i="22"/>
  <c r="N24" i="22"/>
  <c r="E24" i="22" a="1"/>
  <c r="E24" i="22"/>
  <c r="F24" i="22"/>
  <c r="C21" i="25"/>
  <c r="I25" i="22"/>
  <c r="L25" i="22"/>
  <c r="K25" i="22"/>
  <c r="N25" i="22"/>
  <c r="E25" i="22" a="1"/>
  <c r="E25" i="22"/>
  <c r="F25" i="22"/>
  <c r="C22" i="25"/>
  <c r="I26" i="22"/>
  <c r="L26" i="22"/>
  <c r="K26" i="22"/>
  <c r="N26" i="22"/>
  <c r="E26" i="22" a="1"/>
  <c r="E26" i="22"/>
  <c r="F26" i="22"/>
  <c r="C23" i="25"/>
  <c r="I27" i="22"/>
  <c r="L27" i="22"/>
  <c r="K27" i="22"/>
  <c r="N27" i="22"/>
  <c r="E27" i="22" a="1"/>
  <c r="E27" i="22"/>
  <c r="F27" i="22"/>
  <c r="C24" i="25"/>
  <c r="I28" i="22"/>
  <c r="L28" i="22"/>
  <c r="K28" i="22"/>
  <c r="N28" i="22"/>
  <c r="E28" i="22" a="1"/>
  <c r="E28" i="22"/>
  <c r="F28" i="22"/>
  <c r="C25" i="25"/>
  <c r="I29" i="22"/>
  <c r="L29" i="22"/>
  <c r="K29" i="22"/>
  <c r="N29" i="22"/>
  <c r="E29" i="22" a="1"/>
  <c r="E29" i="22"/>
  <c r="F29" i="22"/>
  <c r="C26" i="25"/>
  <c r="I30" i="22"/>
  <c r="L30" i="22"/>
  <c r="K30" i="22"/>
  <c r="N30" i="22"/>
  <c r="E30" i="22" a="1"/>
  <c r="E30" i="22"/>
  <c r="F30" i="22"/>
  <c r="C27" i="25"/>
  <c r="I31" i="22"/>
  <c r="L31" i="22"/>
  <c r="K31" i="22"/>
  <c r="N31" i="22"/>
  <c r="E31" i="22" a="1"/>
  <c r="E31" i="22"/>
  <c r="F31" i="22"/>
  <c r="C28" i="25"/>
  <c r="I32" i="22"/>
  <c r="L32" i="22"/>
  <c r="K32" i="22"/>
  <c r="N32" i="22"/>
  <c r="E32" i="22" a="1"/>
  <c r="E32" i="22"/>
  <c r="F32" i="22"/>
  <c r="C29" i="25"/>
  <c r="I33" i="22"/>
  <c r="L33" i="22"/>
  <c r="K33" i="22"/>
  <c r="N33" i="22"/>
  <c r="E33" i="22" a="1"/>
  <c r="E33" i="22"/>
  <c r="F33" i="22"/>
  <c r="C30" i="25"/>
  <c r="I34" i="22"/>
  <c r="L34" i="22"/>
  <c r="K34" i="22"/>
  <c r="N34" i="22"/>
  <c r="E34" i="22" a="1"/>
  <c r="E34" i="22"/>
  <c r="F34" i="22"/>
  <c r="C31" i="25"/>
  <c r="I35" i="22"/>
  <c r="L35" i="22"/>
  <c r="K35" i="22"/>
  <c r="N35" i="22"/>
  <c r="E35" i="22" a="1"/>
  <c r="E35" i="22"/>
  <c r="F35" i="22"/>
  <c r="C32" i="25"/>
  <c r="I36" i="22"/>
  <c r="L36" i="22"/>
  <c r="K36" i="22"/>
  <c r="N36" i="22"/>
  <c r="E36" i="22" a="1"/>
  <c r="E36" i="22"/>
  <c r="F36" i="22"/>
  <c r="C33" i="25"/>
  <c r="I37" i="22"/>
  <c r="L37" i="22"/>
  <c r="K37" i="22"/>
  <c r="N37" i="22"/>
  <c r="E37" i="22" a="1"/>
  <c r="E37" i="22"/>
  <c r="F37" i="22"/>
  <c r="C34" i="25"/>
  <c r="I38" i="22"/>
  <c r="L38" i="22"/>
  <c r="K38" i="22"/>
  <c r="N38" i="22"/>
  <c r="E38" i="22" a="1"/>
  <c r="E38" i="22"/>
  <c r="F38" i="22"/>
  <c r="C35" i="25"/>
  <c r="I39" i="22"/>
  <c r="L39" i="22"/>
  <c r="K39" i="22"/>
  <c r="N39" i="22"/>
  <c r="E39" i="22" a="1"/>
  <c r="E39" i="22"/>
  <c r="F39" i="22"/>
  <c r="C36" i="25"/>
  <c r="I40" i="22"/>
  <c r="L40" i="22"/>
  <c r="K40" i="22"/>
  <c r="N40" i="22"/>
  <c r="E40" i="22" a="1"/>
  <c r="E40" i="22"/>
  <c r="F40" i="22"/>
  <c r="C37" i="25"/>
  <c r="I41" i="22"/>
  <c r="L41" i="22"/>
  <c r="K41" i="22"/>
  <c r="N41" i="22"/>
  <c r="E41" i="22" a="1"/>
  <c r="E41" i="22"/>
  <c r="F41" i="22"/>
  <c r="C38" i="25"/>
  <c r="I42" i="22"/>
  <c r="L42" i="22"/>
  <c r="K42" i="22"/>
  <c r="N42" i="22"/>
  <c r="E42" i="22" a="1"/>
  <c r="E42" i="22"/>
  <c r="F42" i="22"/>
  <c r="C39" i="25"/>
  <c r="I43" i="22"/>
  <c r="L43" i="22"/>
  <c r="K43" i="22"/>
  <c r="N43" i="22"/>
  <c r="E43" i="22" a="1"/>
  <c r="E43" i="22"/>
  <c r="F43" i="22"/>
  <c r="C40" i="25"/>
  <c r="I44" i="22"/>
  <c r="L44" i="22"/>
  <c r="K44" i="22"/>
  <c r="N44" i="22"/>
  <c r="E44" i="22" a="1"/>
  <c r="E44" i="22"/>
  <c r="F44" i="22"/>
  <c r="C41" i="25"/>
  <c r="I45" i="22"/>
  <c r="L45" i="22"/>
  <c r="K45" i="22"/>
  <c r="N45" i="22"/>
  <c r="E45" i="22" a="1"/>
  <c r="E45" i="22"/>
  <c r="F45" i="22"/>
  <c r="C42" i="25"/>
  <c r="I46" i="22"/>
  <c r="L46" i="22"/>
  <c r="K46" i="22"/>
  <c r="N46" i="22"/>
  <c r="E46" i="22" a="1"/>
  <c r="E46" i="22"/>
  <c r="F46" i="22"/>
  <c r="C43" i="25"/>
  <c r="I47" i="22"/>
  <c r="L47" i="22"/>
  <c r="K47" i="22"/>
  <c r="N47" i="22"/>
  <c r="E47" i="22" a="1"/>
  <c r="E47" i="22"/>
  <c r="F47" i="22"/>
  <c r="C44" i="25"/>
  <c r="I48" i="22"/>
  <c r="L48" i="22"/>
  <c r="K48" i="22"/>
  <c r="N48" i="22"/>
  <c r="E48" i="22" a="1"/>
  <c r="E48" i="22"/>
  <c r="F48" i="22"/>
  <c r="C45" i="25"/>
  <c r="I49" i="22"/>
  <c r="L49" i="22"/>
  <c r="K49" i="22"/>
  <c r="N49" i="22"/>
  <c r="E49" i="22" a="1"/>
  <c r="E49" i="22"/>
  <c r="F49" i="22"/>
  <c r="C46" i="25"/>
  <c r="I50" i="22"/>
  <c r="L50" i="22"/>
  <c r="K50" i="22"/>
  <c r="N50" i="22"/>
  <c r="E50" i="22" a="1"/>
  <c r="E50" i="22"/>
  <c r="F50" i="22"/>
  <c r="C47" i="25"/>
  <c r="I51" i="22"/>
  <c r="L51" i="22"/>
  <c r="K51" i="22"/>
  <c r="N51" i="22"/>
  <c r="E51" i="22" a="1"/>
  <c r="E51" i="22"/>
  <c r="F51" i="22"/>
  <c r="C48" i="25"/>
  <c r="I52" i="22"/>
  <c r="L52" i="22"/>
  <c r="K52" i="22"/>
  <c r="N52" i="22"/>
  <c r="E52" i="22" a="1"/>
  <c r="E52" i="22"/>
  <c r="F52" i="22"/>
  <c r="C49" i="25"/>
  <c r="I53" i="22"/>
  <c r="L53" i="22"/>
  <c r="K53" i="22"/>
  <c r="N53" i="22"/>
  <c r="E53" i="22" a="1"/>
  <c r="E53" i="22"/>
  <c r="F53" i="22"/>
  <c r="C50" i="25"/>
  <c r="I54" i="22"/>
  <c r="L54" i="22"/>
  <c r="K54" i="22"/>
  <c r="N54" i="22"/>
  <c r="E54" i="22" a="1"/>
  <c r="E54" i="22"/>
  <c r="F54" i="22"/>
  <c r="C51" i="25"/>
  <c r="I55" i="22"/>
  <c r="L55" i="22"/>
  <c r="K55" i="22"/>
  <c r="N55" i="22"/>
  <c r="E55" i="22" a="1"/>
  <c r="E55" i="22"/>
  <c r="F55" i="22"/>
  <c r="C52" i="25"/>
  <c r="I56" i="22"/>
  <c r="L56" i="22"/>
  <c r="K56" i="22"/>
  <c r="N56" i="22"/>
  <c r="E56" i="22" a="1"/>
  <c r="E56" i="22"/>
  <c r="F56" i="22"/>
  <c r="C53" i="25"/>
  <c r="I57" i="22"/>
  <c r="L57" i="22"/>
  <c r="K57" i="22"/>
  <c r="N57" i="22"/>
  <c r="E57" i="22" a="1"/>
  <c r="E57" i="22"/>
  <c r="F57" i="22"/>
  <c r="C54" i="25"/>
  <c r="I58" i="22"/>
  <c r="L58" i="22"/>
  <c r="K58" i="22"/>
  <c r="N58" i="22"/>
  <c r="E58" i="22" a="1"/>
  <c r="E58" i="22"/>
  <c r="F58" i="22"/>
  <c r="C55" i="25"/>
  <c r="I59" i="22"/>
  <c r="L59" i="22"/>
  <c r="K59" i="22"/>
  <c r="N59" i="22"/>
  <c r="E59" i="22" a="1"/>
  <c r="E59" i="22"/>
  <c r="F59" i="22"/>
  <c r="C56" i="25"/>
  <c r="I60" i="22"/>
  <c r="L60" i="22"/>
  <c r="K60" i="22"/>
  <c r="N60" i="22"/>
  <c r="E60" i="22" a="1"/>
  <c r="E60" i="22"/>
  <c r="F60" i="22"/>
  <c r="C57" i="25"/>
  <c r="I61" i="22"/>
  <c r="L61" i="22"/>
  <c r="K61" i="22"/>
  <c r="N61" i="22"/>
  <c r="E61" i="22" a="1"/>
  <c r="E61" i="22"/>
  <c r="F61" i="22"/>
  <c r="C58" i="25"/>
  <c r="I62" i="22"/>
  <c r="L62" i="22"/>
  <c r="K62" i="22"/>
  <c r="N62" i="22"/>
  <c r="E62" i="22" a="1"/>
  <c r="E62" i="22"/>
  <c r="F62" i="22"/>
  <c r="C59" i="25"/>
  <c r="I63" i="22"/>
  <c r="L63" i="22"/>
  <c r="K63" i="22"/>
  <c r="N63" i="22"/>
  <c r="E63" i="22" a="1"/>
  <c r="E63" i="22"/>
  <c r="F63" i="22"/>
  <c r="C60" i="25"/>
  <c r="I64" i="22"/>
  <c r="L64" i="22"/>
  <c r="K64" i="22"/>
  <c r="N64" i="22"/>
  <c r="E64" i="22" a="1"/>
  <c r="E64" i="22"/>
  <c r="F64" i="22"/>
  <c r="C61" i="25"/>
  <c r="I65" i="22"/>
  <c r="L65" i="22"/>
  <c r="K65" i="22"/>
  <c r="N65" i="22"/>
  <c r="E65" i="22" a="1"/>
  <c r="E65" i="22"/>
  <c r="F65" i="22"/>
  <c r="C62" i="25"/>
  <c r="I66" i="22"/>
  <c r="L66" i="22"/>
  <c r="K66" i="22"/>
  <c r="N66" i="22"/>
  <c r="E66" i="22" a="1"/>
  <c r="E66" i="22"/>
  <c r="F66" i="22"/>
  <c r="C63" i="25"/>
  <c r="I67" i="22"/>
  <c r="L67" i="22"/>
  <c r="K67" i="22"/>
  <c r="N67" i="22"/>
  <c r="E67" i="22" a="1"/>
  <c r="E67" i="22"/>
  <c r="F67" i="22"/>
  <c r="C64" i="25"/>
  <c r="I68" i="22"/>
  <c r="L68" i="22"/>
  <c r="K68" i="22"/>
  <c r="N68" i="22"/>
  <c r="E68" i="22" a="1"/>
  <c r="E68" i="22"/>
  <c r="F68" i="22"/>
  <c r="C65" i="25"/>
  <c r="I69" i="22"/>
  <c r="L69" i="22"/>
  <c r="K69" i="22"/>
  <c r="N69" i="22"/>
  <c r="E69" i="22" a="1"/>
  <c r="E69" i="22"/>
  <c r="F69" i="22"/>
  <c r="C66" i="25"/>
  <c r="I70" i="22"/>
  <c r="L70" i="22"/>
  <c r="K70" i="22"/>
  <c r="N70" i="22"/>
  <c r="E70" i="22" a="1"/>
  <c r="E70" i="22"/>
  <c r="F70" i="22"/>
  <c r="C67" i="25"/>
  <c r="I71" i="22"/>
  <c r="L71" i="22"/>
  <c r="K71" i="22"/>
  <c r="N71" i="22"/>
  <c r="E71" i="22" a="1"/>
  <c r="E71" i="22"/>
  <c r="F71" i="22"/>
  <c r="C68" i="25"/>
  <c r="I72" i="22"/>
  <c r="L72" i="22"/>
  <c r="K72" i="22"/>
  <c r="N72" i="22"/>
  <c r="E72" i="22" a="1"/>
  <c r="E72" i="22"/>
  <c r="F72" i="22"/>
  <c r="C69" i="25"/>
  <c r="I73" i="22"/>
  <c r="L73" i="22"/>
  <c r="K73" i="22"/>
  <c r="N73" i="22"/>
  <c r="E73" i="22" a="1"/>
  <c r="E73" i="22"/>
  <c r="F73" i="22"/>
  <c r="C70" i="25"/>
  <c r="I74" i="22"/>
  <c r="L74" i="22"/>
  <c r="K74" i="22"/>
  <c r="N74" i="22"/>
  <c r="E74" i="22" a="1"/>
  <c r="E74" i="22"/>
  <c r="F74" i="22"/>
  <c r="C71" i="25"/>
  <c r="I75" i="22"/>
  <c r="L75" i="22"/>
  <c r="K75" i="22"/>
  <c r="N75" i="22"/>
  <c r="E75" i="22" a="1"/>
  <c r="E75" i="22"/>
  <c r="F75" i="22"/>
  <c r="C72" i="25"/>
  <c r="I76" i="22"/>
  <c r="L76" i="22"/>
  <c r="K76" i="22"/>
  <c r="N76" i="22"/>
  <c r="E76" i="22" a="1"/>
  <c r="E76" i="22"/>
  <c r="F76" i="22"/>
  <c r="C73" i="25"/>
  <c r="I77" i="22"/>
  <c r="L77" i="22"/>
  <c r="K77" i="22"/>
  <c r="N77" i="22"/>
  <c r="E77" i="22" a="1"/>
  <c r="E77" i="22"/>
  <c r="F77" i="22"/>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E2" i="25"/>
  <c r="E63" i="9"/>
  <c r="B3" i="31"/>
  <c r="G43" i="31"/>
  <c r="E28" i="9"/>
  <c r="F43" i="31"/>
  <c r="E43" i="31"/>
  <c r="D43" i="31"/>
  <c r="C43" i="31"/>
  <c r="G31" i="31"/>
  <c r="F31" i="31"/>
  <c r="E31" i="31"/>
  <c r="D31" i="31"/>
  <c r="C31" i="31"/>
  <c r="G19" i="31"/>
  <c r="F19" i="31"/>
  <c r="E19" i="31"/>
  <c r="D19" i="31"/>
  <c r="C19" i="31"/>
  <c r="G7" i="31"/>
  <c r="F7" i="31"/>
  <c r="E7" i="31"/>
  <c r="D7" i="31"/>
  <c r="C7" i="31"/>
  <c r="E78" i="9"/>
  <c r="B4" i="31"/>
  <c r="E7" i="9"/>
  <c r="B2" i="31"/>
  <c r="V64" i="3"/>
  <c r="V65" i="3"/>
  <c r="V66" i="3"/>
  <c r="V67" i="3"/>
  <c r="F12" i="6"/>
  <c r="H12" i="6"/>
  <c r="W64" i="3"/>
  <c r="X64" i="3"/>
  <c r="F13" i="6"/>
  <c r="H13" i="6"/>
  <c r="W65" i="3"/>
  <c r="X65" i="3"/>
  <c r="F14" i="6"/>
  <c r="H14" i="6"/>
  <c r="W66" i="3"/>
  <c r="X66" i="3"/>
  <c r="F15" i="6"/>
  <c r="H15" i="6"/>
  <c r="W67" i="3"/>
  <c r="X67" i="3"/>
  <c r="F16" i="6"/>
  <c r="H16" i="6"/>
  <c r="V68" i="3"/>
  <c r="W68" i="3"/>
  <c r="X68" i="3"/>
  <c r="F17" i="6"/>
  <c r="H17" i="6"/>
  <c r="V69" i="3"/>
  <c r="W69" i="3"/>
  <c r="X69" i="3"/>
  <c r="F18" i="6"/>
  <c r="H18" i="6"/>
  <c r="V70" i="3"/>
  <c r="W70" i="3"/>
  <c r="X70" i="3"/>
  <c r="F19" i="6"/>
  <c r="H19" i="6"/>
  <c r="V71" i="3"/>
  <c r="W71" i="3"/>
  <c r="X71" i="3"/>
  <c r="F20" i="6"/>
  <c r="H20" i="6"/>
  <c r="V72" i="3"/>
  <c r="W72" i="3"/>
  <c r="X72" i="3"/>
  <c r="F21" i="6"/>
  <c r="H21" i="6"/>
  <c r="V73" i="3"/>
  <c r="W73" i="3"/>
  <c r="X73" i="3"/>
  <c r="F22" i="6"/>
  <c r="H22" i="6"/>
  <c r="V74" i="3"/>
  <c r="W74" i="3"/>
  <c r="X74" i="3"/>
  <c r="F23" i="6"/>
  <c r="H23" i="6"/>
  <c r="V75" i="3"/>
  <c r="W75" i="3"/>
  <c r="X75" i="3"/>
  <c r="F24" i="6"/>
  <c r="H24" i="6"/>
  <c r="V76" i="3"/>
  <c r="W76" i="3"/>
  <c r="X76" i="3"/>
  <c r="F25" i="6"/>
  <c r="H25" i="6"/>
  <c r="V77" i="3"/>
  <c r="W77" i="3"/>
  <c r="X77" i="3"/>
  <c r="F26" i="6"/>
  <c r="H26" i="6"/>
  <c r="V78" i="3"/>
  <c r="W78" i="3"/>
  <c r="X78" i="3"/>
  <c r="F27" i="6"/>
  <c r="H27" i="6"/>
  <c r="V79" i="3"/>
  <c r="W79" i="3"/>
  <c r="X79" i="3"/>
  <c r="F28" i="6"/>
  <c r="H28" i="6"/>
  <c r="V80" i="3"/>
  <c r="W80" i="3"/>
  <c r="X80" i="3"/>
  <c r="F29" i="6"/>
  <c r="H29" i="6"/>
  <c r="V81" i="3"/>
  <c r="W81" i="3"/>
  <c r="X81" i="3"/>
  <c r="F30" i="6"/>
  <c r="H30" i="6"/>
  <c r="V82" i="3"/>
  <c r="W82" i="3"/>
  <c r="X82" i="3"/>
  <c r="F31" i="6"/>
  <c r="H31" i="6"/>
  <c r="V83" i="3"/>
  <c r="W83" i="3"/>
  <c r="X83" i="3"/>
  <c r="F32" i="6"/>
  <c r="H32" i="6"/>
  <c r="V84" i="3"/>
  <c r="W84" i="3"/>
  <c r="X84" i="3"/>
  <c r="F33" i="6"/>
  <c r="H33" i="6"/>
  <c r="V85" i="3"/>
  <c r="W85" i="3"/>
  <c r="X85" i="3"/>
  <c r="F34" i="6"/>
  <c r="H34" i="6"/>
  <c r="V86" i="3"/>
  <c r="W86" i="3"/>
  <c r="X86" i="3"/>
  <c r="F35" i="6"/>
  <c r="H35" i="6"/>
  <c r="V87" i="3"/>
  <c r="W87" i="3"/>
  <c r="X87" i="3"/>
  <c r="F36" i="6"/>
  <c r="H36" i="6"/>
  <c r="V88" i="3"/>
  <c r="W88" i="3"/>
  <c r="X88" i="3"/>
  <c r="F37" i="6"/>
  <c r="H37" i="6"/>
  <c r="V89" i="3"/>
  <c r="W89" i="3"/>
  <c r="X89" i="3"/>
  <c r="F38" i="6"/>
  <c r="H38" i="6"/>
  <c r="V90" i="3"/>
  <c r="W90" i="3"/>
  <c r="X90" i="3"/>
  <c r="F39" i="6"/>
  <c r="H39" i="6"/>
  <c r="V91" i="3"/>
  <c r="W91" i="3"/>
  <c r="X91" i="3"/>
  <c r="F40" i="6"/>
  <c r="H40" i="6"/>
  <c r="V92" i="3"/>
  <c r="W92" i="3"/>
  <c r="X92" i="3"/>
  <c r="F41" i="6"/>
  <c r="H41" i="6"/>
  <c r="V93" i="3"/>
  <c r="W93" i="3"/>
  <c r="X93" i="3"/>
  <c r="F42" i="6"/>
  <c r="H42" i="6"/>
  <c r="V94" i="3"/>
  <c r="W94" i="3"/>
  <c r="X94" i="3"/>
  <c r="F43" i="6"/>
  <c r="H43" i="6"/>
  <c r="V95" i="3"/>
  <c r="W95" i="3"/>
  <c r="X95" i="3"/>
  <c r="F44" i="6"/>
  <c r="H44" i="6"/>
  <c r="V96" i="3"/>
  <c r="W96" i="3"/>
  <c r="X96" i="3"/>
  <c r="F45" i="6"/>
  <c r="H45" i="6"/>
  <c r="V97" i="3"/>
  <c r="W97" i="3"/>
  <c r="X97" i="3"/>
  <c r="F46" i="6"/>
  <c r="H46" i="6"/>
  <c r="V98" i="3"/>
  <c r="W98" i="3"/>
  <c r="X98" i="3"/>
  <c r="F47" i="6"/>
  <c r="H47" i="6"/>
  <c r="V99" i="3"/>
  <c r="W99" i="3"/>
  <c r="X99" i="3"/>
  <c r="F48" i="6"/>
  <c r="H48" i="6"/>
  <c r="V100" i="3"/>
  <c r="W100" i="3"/>
  <c r="X100" i="3"/>
  <c r="F49" i="6"/>
  <c r="H49" i="6"/>
  <c r="V101" i="3"/>
  <c r="W101" i="3"/>
  <c r="X101" i="3"/>
  <c r="F50" i="6"/>
  <c r="H50" i="6"/>
  <c r="V102" i="3"/>
  <c r="W102" i="3"/>
  <c r="X102" i="3"/>
  <c r="F51" i="6"/>
  <c r="H51" i="6"/>
  <c r="V103" i="3"/>
  <c r="W103" i="3"/>
  <c r="X103" i="3"/>
  <c r="F52" i="6"/>
  <c r="H52" i="6"/>
  <c r="V104" i="3"/>
  <c r="W104" i="3"/>
  <c r="X104" i="3"/>
  <c r="F53" i="6"/>
  <c r="H53" i="6"/>
  <c r="V105" i="3"/>
  <c r="W105" i="3"/>
  <c r="X105" i="3"/>
  <c r="F54" i="6"/>
  <c r="H54" i="6"/>
  <c r="V106" i="3"/>
  <c r="W106" i="3"/>
  <c r="X106" i="3"/>
  <c r="F55" i="6"/>
  <c r="H55" i="6"/>
  <c r="V107" i="3"/>
  <c r="W107" i="3"/>
  <c r="X107" i="3"/>
  <c r="F56" i="6"/>
  <c r="H56" i="6"/>
  <c r="V108" i="3"/>
  <c r="W108" i="3"/>
  <c r="X108" i="3"/>
  <c r="F57" i="6"/>
  <c r="H57" i="6"/>
  <c r="V109" i="3"/>
  <c r="W109" i="3"/>
  <c r="X109" i="3"/>
  <c r="F58" i="6"/>
  <c r="H58" i="6"/>
  <c r="V110" i="3"/>
  <c r="W110" i="3"/>
  <c r="X110" i="3"/>
  <c r="F59" i="6"/>
  <c r="H59" i="6"/>
  <c r="V111" i="3"/>
  <c r="W111" i="3"/>
  <c r="X111" i="3"/>
  <c r="F60" i="6"/>
  <c r="H60" i="6"/>
  <c r="V112" i="3"/>
  <c r="W112" i="3"/>
  <c r="X112" i="3"/>
  <c r="F61" i="6"/>
  <c r="H61" i="6"/>
  <c r="V113" i="3"/>
  <c r="W113" i="3"/>
  <c r="X113" i="3"/>
  <c r="F62" i="6"/>
  <c r="H62" i="6"/>
  <c r="V114" i="3"/>
  <c r="W114" i="3"/>
  <c r="X114" i="3"/>
  <c r="F63" i="6"/>
  <c r="H63" i="6"/>
  <c r="V115" i="3"/>
  <c r="W115" i="3"/>
  <c r="X115" i="3"/>
  <c r="F64" i="6"/>
  <c r="H64" i="6"/>
  <c r="V116" i="3"/>
  <c r="W116" i="3"/>
  <c r="X116" i="3"/>
  <c r="F65" i="6"/>
  <c r="H65" i="6"/>
  <c r="V117" i="3"/>
  <c r="W117" i="3"/>
  <c r="X117" i="3"/>
  <c r="F66" i="6"/>
  <c r="H66" i="6"/>
  <c r="V118" i="3"/>
  <c r="W118" i="3"/>
  <c r="X118" i="3"/>
  <c r="F67" i="6"/>
  <c r="H67" i="6"/>
  <c r="V119" i="3"/>
  <c r="W119" i="3"/>
  <c r="X119" i="3"/>
  <c r="F68" i="6"/>
  <c r="H68" i="6"/>
  <c r="V120" i="3"/>
  <c r="W120" i="3"/>
  <c r="X120" i="3"/>
  <c r="F69" i="6"/>
  <c r="H69" i="6"/>
  <c r="V121" i="3"/>
  <c r="W121" i="3"/>
  <c r="X121" i="3"/>
  <c r="F70" i="6"/>
  <c r="H70" i="6"/>
  <c r="V122" i="3"/>
  <c r="W122" i="3"/>
  <c r="X122" i="3"/>
  <c r="F71" i="6"/>
  <c r="H71" i="6"/>
  <c r="V123" i="3"/>
  <c r="W123" i="3"/>
  <c r="X123" i="3"/>
  <c r="F72" i="6"/>
  <c r="H72" i="6"/>
  <c r="V124" i="3"/>
  <c r="W124" i="3"/>
  <c r="X124" i="3"/>
  <c r="F73" i="6"/>
  <c r="H73" i="6"/>
  <c r="V125" i="3"/>
  <c r="W125" i="3"/>
  <c r="X125" i="3"/>
  <c r="F74" i="6"/>
  <c r="H74" i="6"/>
  <c r="V126" i="3"/>
  <c r="W126" i="3"/>
  <c r="X126" i="3"/>
  <c r="F75" i="6"/>
  <c r="H75" i="6"/>
  <c r="V127" i="3"/>
  <c r="W127" i="3"/>
  <c r="X127" i="3"/>
  <c r="F76" i="6"/>
  <c r="H76" i="6"/>
  <c r="V128" i="3"/>
  <c r="W128" i="3"/>
  <c r="X128" i="3"/>
  <c r="F77" i="6"/>
  <c r="H77" i="6"/>
  <c r="V129" i="3"/>
  <c r="W129" i="3"/>
  <c r="X129" i="3"/>
  <c r="F78" i="6"/>
  <c r="H78" i="6"/>
  <c r="V130" i="3"/>
  <c r="W130" i="3"/>
  <c r="X130" i="3"/>
  <c r="F79" i="6"/>
  <c r="H79" i="6"/>
  <c r="V131" i="3"/>
  <c r="W131" i="3"/>
  <c r="X131" i="3"/>
  <c r="F80" i="6"/>
  <c r="H80" i="6"/>
  <c r="V132" i="3"/>
  <c r="W132" i="3"/>
  <c r="X132" i="3"/>
  <c r="F81" i="6"/>
  <c r="H81" i="6"/>
  <c r="V133" i="3"/>
  <c r="W133" i="3"/>
  <c r="X133" i="3"/>
  <c r="F82" i="6"/>
  <c r="H82" i="6"/>
  <c r="V134" i="3"/>
  <c r="W134" i="3"/>
  <c r="X134" i="3"/>
  <c r="F83" i="6"/>
  <c r="H83" i="6"/>
  <c r="V135" i="3"/>
  <c r="W135" i="3"/>
  <c r="X135"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G10" i="3"/>
  <c r="H10" i="3"/>
  <c r="I10" i="3"/>
  <c r="J23" i="3"/>
  <c r="H23" i="3"/>
  <c r="AE23" i="3"/>
  <c r="G11" i="3"/>
  <c r="H11" i="3"/>
  <c r="I11" i="3"/>
  <c r="J24" i="3"/>
  <c r="H24" i="3"/>
  <c r="AE24" i="3"/>
  <c r="G12" i="3"/>
  <c r="H12" i="3"/>
  <c r="I12" i="3"/>
  <c r="J25" i="3"/>
  <c r="H25" i="3"/>
  <c r="AE25" i="3"/>
  <c r="AA64" i="3"/>
  <c r="AE64" i="3"/>
  <c r="AA65" i="3"/>
  <c r="AE65" i="3"/>
  <c r="AA66" i="3"/>
  <c r="AE66" i="3"/>
  <c r="AA67" i="3"/>
  <c r="AE67" i="3"/>
  <c r="AA68" i="3"/>
  <c r="AE68" i="3"/>
  <c r="AA69" i="3"/>
  <c r="AE69" i="3"/>
  <c r="AA70" i="3"/>
  <c r="AE70" i="3"/>
  <c r="AA71" i="3"/>
  <c r="AE71" i="3"/>
  <c r="AA72" i="3"/>
  <c r="AE72" i="3"/>
  <c r="AA73" i="3"/>
  <c r="AE73" i="3"/>
  <c r="AA74" i="3"/>
  <c r="AE74" i="3"/>
  <c r="AA75" i="3"/>
  <c r="AE75" i="3"/>
  <c r="AA76" i="3"/>
  <c r="AE76" i="3"/>
  <c r="AA77" i="3"/>
  <c r="AE77" i="3"/>
  <c r="AA78" i="3"/>
  <c r="AE78" i="3"/>
  <c r="AA79" i="3"/>
  <c r="AE79" i="3"/>
  <c r="AA80" i="3"/>
  <c r="AE80" i="3"/>
  <c r="AA81" i="3"/>
  <c r="AE81" i="3"/>
  <c r="AA82" i="3"/>
  <c r="AE82" i="3"/>
  <c r="AA83" i="3"/>
  <c r="AE83" i="3"/>
  <c r="AA84" i="3"/>
  <c r="AE84" i="3"/>
  <c r="AA85" i="3"/>
  <c r="AE85" i="3"/>
  <c r="AA86" i="3"/>
  <c r="AE86" i="3"/>
  <c r="AA87" i="3"/>
  <c r="AE87" i="3"/>
  <c r="AA88" i="3"/>
  <c r="AE88" i="3"/>
  <c r="AA89" i="3"/>
  <c r="AE89" i="3"/>
  <c r="AA90" i="3"/>
  <c r="AE90" i="3"/>
  <c r="AA91" i="3"/>
  <c r="AE91" i="3"/>
  <c r="AA92" i="3"/>
  <c r="AE92" i="3"/>
  <c r="AA93" i="3"/>
  <c r="AE93" i="3"/>
  <c r="AA94" i="3"/>
  <c r="AE94" i="3"/>
  <c r="AA95" i="3"/>
  <c r="AE95" i="3"/>
  <c r="AA96" i="3"/>
  <c r="AE96" i="3"/>
  <c r="AA97" i="3"/>
  <c r="AE97" i="3"/>
  <c r="AA98" i="3"/>
  <c r="AE98" i="3"/>
  <c r="AA99" i="3"/>
  <c r="AE99" i="3"/>
  <c r="AA100" i="3"/>
  <c r="AE100" i="3"/>
  <c r="AA101" i="3"/>
  <c r="AE101" i="3"/>
  <c r="AA102" i="3"/>
  <c r="AE102" i="3"/>
  <c r="AA103" i="3"/>
  <c r="AE103" i="3"/>
  <c r="AA104" i="3"/>
  <c r="AE104" i="3"/>
  <c r="AA105" i="3"/>
  <c r="AE105" i="3"/>
  <c r="AA106" i="3"/>
  <c r="AE106" i="3"/>
  <c r="AA107" i="3"/>
  <c r="AE107" i="3"/>
  <c r="AA108" i="3"/>
  <c r="AE108" i="3"/>
  <c r="AA109" i="3"/>
  <c r="AE109" i="3"/>
  <c r="AA110" i="3"/>
  <c r="AE110" i="3"/>
  <c r="AA111" i="3"/>
  <c r="AE111" i="3"/>
  <c r="AA112" i="3"/>
  <c r="AE112" i="3"/>
  <c r="AA113" i="3"/>
  <c r="AE113" i="3"/>
  <c r="AA114" i="3"/>
  <c r="AE114" i="3"/>
  <c r="AA115" i="3"/>
  <c r="AE115" i="3"/>
  <c r="AA116" i="3"/>
  <c r="AE116" i="3"/>
  <c r="AA117" i="3"/>
  <c r="AE117" i="3"/>
  <c r="AA118" i="3"/>
  <c r="AE118" i="3"/>
  <c r="AA119" i="3"/>
  <c r="AE119" i="3"/>
  <c r="AA120" i="3"/>
  <c r="AE120" i="3"/>
  <c r="AA121" i="3"/>
  <c r="AE121" i="3"/>
  <c r="AA122" i="3"/>
  <c r="AE122" i="3"/>
  <c r="AA123" i="3"/>
  <c r="AE123" i="3"/>
  <c r="AA124" i="3"/>
  <c r="AE124" i="3"/>
  <c r="AA125" i="3"/>
  <c r="AE125" i="3"/>
  <c r="AA126" i="3"/>
  <c r="AE126" i="3"/>
  <c r="AA127" i="3"/>
  <c r="AE127" i="3"/>
  <c r="AA128" i="3"/>
  <c r="AE128" i="3"/>
  <c r="AA129" i="3"/>
  <c r="AE129" i="3"/>
  <c r="AA130" i="3"/>
  <c r="AE130" i="3"/>
  <c r="AA131" i="3"/>
  <c r="AE131" i="3"/>
  <c r="AA132" i="3"/>
  <c r="AE132" i="3"/>
  <c r="AA133" i="3"/>
  <c r="AE133" i="3"/>
  <c r="AA134" i="3"/>
  <c r="AE134" i="3"/>
  <c r="AA135" i="3"/>
  <c r="AE135"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J10" i="3"/>
  <c r="K23" i="3"/>
  <c r="J4" i="3"/>
  <c r="K17" i="3"/>
  <c r="J5" i="3"/>
  <c r="K18" i="3"/>
  <c r="J6" i="3"/>
  <c r="K19" i="3"/>
  <c r="J7" i="3"/>
  <c r="K20" i="3"/>
  <c r="J8" i="3"/>
  <c r="K21" i="3"/>
  <c r="J9" i="3"/>
  <c r="K22" i="3"/>
  <c r="J11" i="3"/>
  <c r="K24" i="3"/>
  <c r="J12" i="3"/>
  <c r="K25" i="3"/>
  <c r="AI15" i="3"/>
  <c r="L23" i="3"/>
  <c r="G4" i="3"/>
  <c r="H4" i="3"/>
  <c r="I4" i="3"/>
  <c r="J17" i="3"/>
  <c r="H17" i="3"/>
  <c r="L17" i="3"/>
  <c r="G5" i="3"/>
  <c r="H5" i="3"/>
  <c r="I5" i="3"/>
  <c r="J18" i="3"/>
  <c r="H18" i="3"/>
  <c r="L18" i="3"/>
  <c r="G6" i="3"/>
  <c r="H6" i="3"/>
  <c r="I6" i="3"/>
  <c r="J19" i="3"/>
  <c r="H19" i="3"/>
  <c r="L19" i="3"/>
  <c r="G7" i="3"/>
  <c r="H7" i="3"/>
  <c r="I7" i="3"/>
  <c r="J20" i="3"/>
  <c r="H20" i="3"/>
  <c r="L20" i="3"/>
  <c r="G8" i="3"/>
  <c r="H8" i="3"/>
  <c r="I8" i="3"/>
  <c r="J21" i="3"/>
  <c r="H21" i="3"/>
  <c r="L21" i="3"/>
  <c r="G9" i="3"/>
  <c r="H9" i="3"/>
  <c r="I9" i="3"/>
  <c r="J22" i="3"/>
  <c r="H22" i="3"/>
  <c r="L22" i="3"/>
  <c r="L24" i="3"/>
  <c r="L25" i="3"/>
  <c r="M23" i="3"/>
  <c r="N23" i="3" a="1"/>
  <c r="N23" i="3"/>
  <c r="O23" i="3"/>
  <c r="C23" i="3"/>
  <c r="E36" i="3" a="1"/>
  <c r="E36" i="3"/>
  <c r="F36" i="3" a="1"/>
  <c r="F36" i="3"/>
  <c r="G36" i="3" a="1"/>
  <c r="H36" i="3" a="1"/>
  <c r="I36" i="3" a="1"/>
  <c r="J36" i="3" a="1"/>
  <c r="K36" i="3" a="1"/>
  <c r="L36" i="3" a="1"/>
  <c r="P23" i="3"/>
  <c r="M17" i="3"/>
  <c r="N17" i="3" a="1"/>
  <c r="N17" i="3"/>
  <c r="P17" i="3"/>
  <c r="BR52" i="3"/>
  <c r="BT51" i="3"/>
  <c r="BT52" i="3"/>
  <c r="BU51" i="3"/>
  <c r="BU52" i="3"/>
  <c r="BV51" i="3"/>
  <c r="BV52" i="3"/>
  <c r="BW51" i="3"/>
  <c r="BW52" i="3"/>
  <c r="BX51" i="3"/>
  <c r="BX52" i="3"/>
  <c r="BY51" i="3"/>
  <c r="BY52" i="3"/>
  <c r="BZ51" i="3"/>
  <c r="BZ52" i="3"/>
  <c r="CA51" i="3"/>
  <c r="CA52" i="3"/>
  <c r="BR53" i="3"/>
  <c r="BS51" i="3"/>
  <c r="BS53" i="3"/>
  <c r="BU53" i="3"/>
  <c r="BV53" i="3"/>
  <c r="BW53" i="3"/>
  <c r="BX53" i="3"/>
  <c r="BY53" i="3"/>
  <c r="BZ53" i="3"/>
  <c r="CA53" i="3"/>
  <c r="BR54" i="3"/>
  <c r="BS54" i="3"/>
  <c r="BT54" i="3"/>
  <c r="BV54" i="3"/>
  <c r="BW54" i="3"/>
  <c r="BX54" i="3"/>
  <c r="BY54" i="3"/>
  <c r="BZ54" i="3"/>
  <c r="CA54" i="3"/>
  <c r="BR55" i="3"/>
  <c r="BS55" i="3"/>
  <c r="BT55" i="3"/>
  <c r="BU55" i="3"/>
  <c r="BW55" i="3"/>
  <c r="BX55" i="3"/>
  <c r="BY55" i="3"/>
  <c r="BZ55" i="3"/>
  <c r="CA55" i="3"/>
  <c r="BR56" i="3"/>
  <c r="BS56" i="3"/>
  <c r="BT56" i="3"/>
  <c r="BU56" i="3"/>
  <c r="BV56" i="3"/>
  <c r="BX56" i="3"/>
  <c r="BY56" i="3"/>
  <c r="BZ56" i="3"/>
  <c r="CA56" i="3"/>
  <c r="BR57" i="3"/>
  <c r="BS57" i="3"/>
  <c r="BT57" i="3"/>
  <c r="BU57" i="3"/>
  <c r="BV57" i="3"/>
  <c r="BW57" i="3"/>
  <c r="BY57" i="3"/>
  <c r="BZ57" i="3"/>
  <c r="CA57" i="3"/>
  <c r="BR58" i="3"/>
  <c r="BS58" i="3"/>
  <c r="BT58" i="3"/>
  <c r="BU58" i="3"/>
  <c r="BV58" i="3"/>
  <c r="BW58" i="3"/>
  <c r="BX58" i="3"/>
  <c r="BZ58" i="3"/>
  <c r="CA58" i="3"/>
  <c r="BR59" i="3"/>
  <c r="BS59" i="3"/>
  <c r="BT59" i="3"/>
  <c r="BU59" i="3"/>
  <c r="BV59" i="3"/>
  <c r="BW59" i="3"/>
  <c r="BX59" i="3"/>
  <c r="BY59" i="3"/>
  <c r="CA59" i="3"/>
  <c r="BR60" i="3"/>
  <c r="BS60" i="3"/>
  <c r="BT60" i="3"/>
  <c r="BU60" i="3"/>
  <c r="BV60" i="3"/>
  <c r="BW60" i="3"/>
  <c r="BX60" i="3"/>
  <c r="BY60" i="3"/>
  <c r="BZ60" i="3"/>
  <c r="M36" i="3" a="1"/>
  <c r="M18" i="3"/>
  <c r="N18" i="3" a="1"/>
  <c r="N18" i="3"/>
  <c r="P18" i="3"/>
  <c r="N36" i="3" a="1"/>
  <c r="M19" i="3"/>
  <c r="N19" i="3" a="1"/>
  <c r="N19" i="3"/>
  <c r="P19" i="3"/>
  <c r="O36" i="3" a="1"/>
  <c r="M20" i="3"/>
  <c r="N20" i="3" a="1"/>
  <c r="N20" i="3"/>
  <c r="P20" i="3"/>
  <c r="P36" i="3" a="1"/>
  <c r="M21" i="3"/>
  <c r="N21" i="3" a="1"/>
  <c r="N21" i="3"/>
  <c r="P21" i="3"/>
  <c r="Q36" i="3" a="1"/>
  <c r="M22" i="3"/>
  <c r="N22" i="3" a="1"/>
  <c r="N22" i="3"/>
  <c r="C22" i="3"/>
  <c r="P22" i="3"/>
  <c r="R36" i="3" a="1"/>
  <c r="M24" i="3"/>
  <c r="N24" i="3" a="1"/>
  <c r="N24" i="3"/>
  <c r="P24" i="3"/>
  <c r="S36" i="3" a="1"/>
  <c r="M25" i="3"/>
  <c r="N25" i="3" a="1"/>
  <c r="N25" i="3"/>
  <c r="C25" i="3"/>
  <c r="P25" i="3"/>
  <c r="T36" i="3" a="1"/>
  <c r="Q23" i="3"/>
  <c r="U36" i="3" a="1"/>
  <c r="V36" i="3" a="1"/>
  <c r="W36" i="3" a="1"/>
  <c r="X36" i="3" a="1"/>
  <c r="Y36" i="3" a="1"/>
  <c r="Z36" i="3" a="1"/>
  <c r="AA36" i="3" a="1"/>
  <c r="AB36" i="3" a="1"/>
  <c r="R23" i="3"/>
  <c r="AC36" i="3" a="1"/>
  <c r="AD36" i="3" a="1"/>
  <c r="AE36" i="3" a="1"/>
  <c r="AF36" i="3" a="1"/>
  <c r="AG36" i="3" a="1"/>
  <c r="AH36" i="3" a="1"/>
  <c r="AI36" i="3" a="1"/>
  <c r="AJ36" i="3" a="1"/>
  <c r="S23" i="3"/>
  <c r="S17" i="3"/>
  <c r="AK36" i="3" a="1"/>
  <c r="S18" i="3"/>
  <c r="AL36" i="3" a="1"/>
  <c r="S19" i="3"/>
  <c r="AM36" i="3" a="1"/>
  <c r="S20" i="3"/>
  <c r="AN36" i="3" a="1"/>
  <c r="C21" i="3"/>
  <c r="S21" i="3"/>
  <c r="AO36" i="3" a="1"/>
  <c r="S22" i="3"/>
  <c r="AP36" i="3" a="1"/>
  <c r="S24" i="3"/>
  <c r="AQ36" i="3" a="1"/>
  <c r="S25" i="3"/>
  <c r="AR36" i="3" a="1"/>
  <c r="T23" i="3"/>
  <c r="T17" i="3"/>
  <c r="AS36" i="3" a="1"/>
  <c r="T18" i="3"/>
  <c r="AT36" i="3" a="1"/>
  <c r="T19" i="3"/>
  <c r="AU36" i="3" a="1"/>
  <c r="T20" i="3"/>
  <c r="AV36" i="3" a="1"/>
  <c r="T21" i="3"/>
  <c r="AW36" i="3" a="1"/>
  <c r="T22" i="3"/>
  <c r="AX36" i="3" a="1"/>
  <c r="T24" i="3"/>
  <c r="AY36" i="3" a="1"/>
  <c r="T25" i="3"/>
  <c r="AZ36" i="3" a="1"/>
  <c r="U23" i="3"/>
  <c r="BA36" i="3" a="1"/>
  <c r="BB36" i="3" a="1"/>
  <c r="BC36" i="3" a="1"/>
  <c r="BD36" i="3" a="1"/>
  <c r="BE36" i="3" a="1"/>
  <c r="BF36" i="3" a="1"/>
  <c r="BG36" i="3" a="1"/>
  <c r="BH36" i="3" a="1"/>
  <c r="V23" i="3"/>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BR30" i="3"/>
  <c r="BT29" i="3"/>
  <c r="BT30" i="3"/>
  <c r="BR31" i="3"/>
  <c r="BS29" i="3"/>
  <c r="BS31" i="3"/>
  <c r="BT41" i="3"/>
  <c r="BU29" i="3"/>
  <c r="BU30" i="3"/>
  <c r="BR32" i="3"/>
  <c r="BS32" i="3"/>
  <c r="BU41" i="3"/>
  <c r="BV29" i="3"/>
  <c r="BV30" i="3"/>
  <c r="BR33" i="3"/>
  <c r="BS33" i="3"/>
  <c r="BV41" i="3"/>
  <c r="BW29" i="3"/>
  <c r="BW30" i="3"/>
  <c r="BR34" i="3"/>
  <c r="BS34" i="3"/>
  <c r="BW41" i="3"/>
  <c r="BX29" i="3"/>
  <c r="BX30" i="3"/>
  <c r="BR35" i="3"/>
  <c r="BS35" i="3"/>
  <c r="BX41" i="3"/>
  <c r="BY29" i="3"/>
  <c r="BY30" i="3"/>
  <c r="BR36" i="3"/>
  <c r="BS36" i="3"/>
  <c r="BY41" i="3"/>
  <c r="BZ29" i="3"/>
  <c r="BZ30" i="3"/>
  <c r="BR37" i="3"/>
  <c r="BS37" i="3"/>
  <c r="BZ41" i="3"/>
  <c r="CA29" i="3"/>
  <c r="CA30" i="3"/>
  <c r="BR38"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S47" i="3"/>
  <c r="AT47" i="3"/>
  <c r="AU47" i="3"/>
  <c r="AV47" i="3"/>
  <c r="AW47" i="3"/>
  <c r="AX47" i="3"/>
  <c r="AY47" i="3"/>
  <c r="AZ47" i="3"/>
  <c r="BA47" i="3"/>
  <c r="BB47" i="3"/>
  <c r="BC47" i="3"/>
  <c r="BD47" i="3"/>
  <c r="BE47" i="3"/>
  <c r="BF47" i="3"/>
  <c r="BG47" i="3"/>
  <c r="BH47" i="3"/>
  <c r="BI47" i="3"/>
  <c r="BJ47" i="3"/>
  <c r="BK47" i="3"/>
  <c r="BL47" i="3"/>
  <c r="BM47" i="3"/>
  <c r="BN47" i="3"/>
  <c r="BO47" i="3"/>
  <c r="BP47"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O24" i="3"/>
  <c r="C24" i="3"/>
  <c r="O17" i="3"/>
  <c r="E37" i="3" a="1"/>
  <c r="E37" i="3"/>
  <c r="O18" i="3"/>
  <c r="F37" i="3" a="1"/>
  <c r="F37" i="3"/>
  <c r="O19" i="3"/>
  <c r="G37" i="3" a="1"/>
  <c r="O20" i="3"/>
  <c r="H37" i="3" a="1"/>
  <c r="O21" i="3"/>
  <c r="I37" i="3" a="1"/>
  <c r="O22" i="3"/>
  <c r="J37" i="3" a="1"/>
  <c r="K37" i="3" a="1"/>
  <c r="O25" i="3"/>
  <c r="L37" i="3" a="1"/>
  <c r="M37" i="3" a="1"/>
  <c r="N37" i="3" a="1"/>
  <c r="O37" i="3" a="1"/>
  <c r="P37" i="3" a="1"/>
  <c r="Q37" i="3" a="1"/>
  <c r="R37" i="3" a="1"/>
  <c r="S37" i="3" a="1"/>
  <c r="T37" i="3" a="1"/>
  <c r="Q24" i="3"/>
  <c r="Q17" i="3"/>
  <c r="U37" i="3" a="1"/>
  <c r="Q18" i="3"/>
  <c r="V37" i="3" a="1"/>
  <c r="Q19" i="3"/>
  <c r="W37" i="3" a="1"/>
  <c r="Q20" i="3"/>
  <c r="X37" i="3" a="1"/>
  <c r="Q21" i="3"/>
  <c r="Y37" i="3" a="1"/>
  <c r="Q22" i="3"/>
  <c r="Z37" i="3" a="1"/>
  <c r="AA37" i="3" a="1"/>
  <c r="Q25" i="3"/>
  <c r="AB37" i="3" a="1"/>
  <c r="R24" i="3"/>
  <c r="R17" i="3"/>
  <c r="AC37" i="3" a="1"/>
  <c r="R18" i="3"/>
  <c r="AD37" i="3" a="1"/>
  <c r="C19" i="3"/>
  <c r="R19" i="3"/>
  <c r="AE37" i="3" a="1"/>
  <c r="R20" i="3"/>
  <c r="AF37" i="3" a="1"/>
  <c r="R21" i="3"/>
  <c r="AG37" i="3" a="1"/>
  <c r="R22" i="3"/>
  <c r="AH37" i="3" a="1"/>
  <c r="AI37" i="3" a="1"/>
  <c r="R25" i="3"/>
  <c r="AJ37" i="3" a="1"/>
  <c r="AK37" i="3" a="1"/>
  <c r="AL37" i="3" a="1"/>
  <c r="AM37" i="3" a="1"/>
  <c r="AN37" i="3" a="1"/>
  <c r="AO37" i="3" a="1"/>
  <c r="AP37" i="3" a="1"/>
  <c r="AQ37" i="3" a="1"/>
  <c r="AR37" i="3" a="1"/>
  <c r="AS37" i="3" a="1"/>
  <c r="AT37" i="3" a="1"/>
  <c r="AU37" i="3" a="1"/>
  <c r="AV37" i="3" a="1"/>
  <c r="AW37" i="3" a="1"/>
  <c r="AX37" i="3" a="1"/>
  <c r="AY37" i="3" a="1"/>
  <c r="AZ37" i="3" a="1"/>
  <c r="U24" i="3"/>
  <c r="U17" i="3"/>
  <c r="BA37" i="3" a="1"/>
  <c r="U18" i="3"/>
  <c r="BB37" i="3" a="1"/>
  <c r="U19" i="3"/>
  <c r="BC37" i="3" a="1"/>
  <c r="U20" i="3"/>
  <c r="BD37" i="3" a="1"/>
  <c r="U21" i="3"/>
  <c r="BE37" i="3" a="1"/>
  <c r="U22" i="3"/>
  <c r="BF37" i="3" a="1"/>
  <c r="BG37" i="3" a="1"/>
  <c r="U25" i="3"/>
  <c r="BH37" i="3" a="1"/>
  <c r="V24" i="3"/>
  <c r="V17" i="3"/>
  <c r="BI37" i="3" a="1"/>
  <c r="V18" i="3"/>
  <c r="BJ37" i="3" a="1"/>
  <c r="V19" i="3"/>
  <c r="BK37" i="3" a="1"/>
  <c r="V20" i="3"/>
  <c r="BL37" i="3" a="1"/>
  <c r="V21" i="3"/>
  <c r="BM37" i="3" a="1"/>
  <c r="V22" i="3"/>
  <c r="BN37" i="3" a="1"/>
  <c r="BO37" i="3" a="1"/>
  <c r="V25" i="3"/>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BZ40" i="3"/>
  <c r="BR48"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CA40" i="3"/>
  <c r="BR49" i="3"/>
  <c r="BX40" i="3"/>
  <c r="BY40" i="3"/>
  <c r="BR46" i="3"/>
  <c r="BR47" i="3"/>
  <c r="E49" i="3" a="1"/>
  <c r="E49" i="3"/>
  <c r="F49" i="3" a="1"/>
  <c r="F49" i="3"/>
  <c r="G49" i="3" a="1"/>
  <c r="H49" i="3" a="1"/>
  <c r="I49" i="3" a="1"/>
  <c r="J49" i="3" a="1"/>
  <c r="K49" i="3" a="1"/>
  <c r="L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V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120" i="17"/>
  <c r="V121" i="17"/>
  <c r="V122" i="17"/>
  <c r="V123" i="17"/>
  <c r="V124" i="17"/>
  <c r="V125" i="17"/>
  <c r="V126" i="17"/>
  <c r="V127" i="17"/>
  <c r="V128" i="17"/>
  <c r="V129" i="17"/>
  <c r="V130" i="17"/>
  <c r="V131" i="17"/>
  <c r="V132" i="17"/>
  <c r="V133" i="17"/>
  <c r="V134" i="17"/>
  <c r="V135" i="17"/>
  <c r="W64" i="17"/>
  <c r="X64" i="17"/>
  <c r="Y64" i="17"/>
  <c r="AA64" i="17"/>
  <c r="AE64" i="17"/>
  <c r="W65" i="17"/>
  <c r="X65" i="17"/>
  <c r="Y65" i="17"/>
  <c r="AA65" i="17"/>
  <c r="AE65" i="17"/>
  <c r="W66" i="17"/>
  <c r="X66" i="17"/>
  <c r="Y66" i="17"/>
  <c r="AA66" i="17"/>
  <c r="AE66" i="17"/>
  <c r="W67" i="17"/>
  <c r="X67" i="17"/>
  <c r="Y67" i="17"/>
  <c r="AA67" i="17"/>
  <c r="AE67" i="17"/>
  <c r="W68" i="17"/>
  <c r="X68" i="17"/>
  <c r="Y68" i="17"/>
  <c r="AA68" i="17"/>
  <c r="AE68" i="17"/>
  <c r="W69" i="17"/>
  <c r="X69" i="17"/>
  <c r="Y69" i="17"/>
  <c r="AA69" i="17"/>
  <c r="AE69" i="17"/>
  <c r="W70" i="17"/>
  <c r="X70" i="17"/>
  <c r="Y70" i="17"/>
  <c r="AA70" i="17"/>
  <c r="AE70" i="17"/>
  <c r="W71" i="17"/>
  <c r="X71" i="17"/>
  <c r="Y71" i="17"/>
  <c r="AA71" i="17"/>
  <c r="AE71" i="17"/>
  <c r="W72" i="17"/>
  <c r="X72" i="17"/>
  <c r="Y72" i="17"/>
  <c r="AA72" i="17"/>
  <c r="AE72" i="17"/>
  <c r="W73" i="17"/>
  <c r="X73" i="17"/>
  <c r="Y73" i="17"/>
  <c r="AA73" i="17"/>
  <c r="AE73" i="17"/>
  <c r="W74" i="17"/>
  <c r="X74" i="17"/>
  <c r="Y74" i="17"/>
  <c r="AA74" i="17"/>
  <c r="AE74" i="17"/>
  <c r="W75" i="17"/>
  <c r="X75" i="17"/>
  <c r="Y75" i="17"/>
  <c r="AA75" i="17"/>
  <c r="AE75" i="17"/>
  <c r="W76" i="17"/>
  <c r="X76" i="17"/>
  <c r="Y76" i="17"/>
  <c r="AA76" i="17"/>
  <c r="AE76" i="17"/>
  <c r="W77" i="17"/>
  <c r="X77" i="17"/>
  <c r="Y77" i="17"/>
  <c r="AA77" i="17"/>
  <c r="AE77" i="17"/>
  <c r="W78" i="17"/>
  <c r="X78" i="17"/>
  <c r="Y78" i="17"/>
  <c r="AA78" i="17"/>
  <c r="AE78" i="17"/>
  <c r="W79" i="17"/>
  <c r="X79" i="17"/>
  <c r="Y79" i="17"/>
  <c r="AA79" i="17"/>
  <c r="AE79" i="17"/>
  <c r="W80" i="17"/>
  <c r="X80" i="17"/>
  <c r="Y80" i="17"/>
  <c r="AA80" i="17"/>
  <c r="AE80" i="17"/>
  <c r="W81" i="17"/>
  <c r="X81" i="17"/>
  <c r="Y81" i="17"/>
  <c r="AA81" i="17"/>
  <c r="AE81" i="17"/>
  <c r="W82" i="17"/>
  <c r="X82" i="17"/>
  <c r="Y82" i="17"/>
  <c r="AA82" i="17"/>
  <c r="AE82" i="17"/>
  <c r="W83" i="17"/>
  <c r="X83" i="17"/>
  <c r="Y83" i="17"/>
  <c r="AA83" i="17"/>
  <c r="AE83" i="17"/>
  <c r="W84" i="17"/>
  <c r="X84" i="17"/>
  <c r="Y84" i="17"/>
  <c r="AA84" i="17"/>
  <c r="AE84" i="17"/>
  <c r="W85" i="17"/>
  <c r="X85" i="17"/>
  <c r="Y85" i="17"/>
  <c r="AA85" i="17"/>
  <c r="AE85" i="17"/>
  <c r="W86" i="17"/>
  <c r="X86" i="17"/>
  <c r="Y86" i="17"/>
  <c r="AA86" i="17"/>
  <c r="AE86" i="17"/>
  <c r="W87" i="17"/>
  <c r="X87" i="17"/>
  <c r="Y87" i="17"/>
  <c r="AA87" i="17"/>
  <c r="AE87" i="17"/>
  <c r="W88" i="17"/>
  <c r="X88" i="17"/>
  <c r="Y88" i="17"/>
  <c r="AA88" i="17"/>
  <c r="AE88" i="17"/>
  <c r="W89" i="17"/>
  <c r="X89" i="17"/>
  <c r="Y89" i="17"/>
  <c r="AA89" i="17"/>
  <c r="AE89" i="17"/>
  <c r="W90" i="17"/>
  <c r="X90" i="17"/>
  <c r="Y90" i="17"/>
  <c r="AA90" i="17"/>
  <c r="AE90" i="17"/>
  <c r="W91" i="17"/>
  <c r="X91" i="17"/>
  <c r="Y91" i="17"/>
  <c r="AA91" i="17"/>
  <c r="AE91" i="17"/>
  <c r="W92" i="17"/>
  <c r="X92" i="17"/>
  <c r="Y92" i="17"/>
  <c r="AA92" i="17"/>
  <c r="AE92" i="17"/>
  <c r="W93" i="17"/>
  <c r="X93" i="17"/>
  <c r="Y93" i="17"/>
  <c r="AA93" i="17"/>
  <c r="AE93" i="17"/>
  <c r="W94" i="17"/>
  <c r="X94" i="17"/>
  <c r="Y94" i="17"/>
  <c r="AA94" i="17"/>
  <c r="AE94" i="17"/>
  <c r="W95" i="17"/>
  <c r="X95" i="17"/>
  <c r="Y95" i="17"/>
  <c r="AA95" i="17"/>
  <c r="AE95" i="17"/>
  <c r="W96" i="17"/>
  <c r="X96" i="17"/>
  <c r="Y96" i="17"/>
  <c r="AA96" i="17"/>
  <c r="AE96" i="17"/>
  <c r="W97" i="17"/>
  <c r="X97" i="17"/>
  <c r="Y97" i="17"/>
  <c r="AA97" i="17"/>
  <c r="AE97" i="17"/>
  <c r="W98" i="17"/>
  <c r="X98" i="17"/>
  <c r="Y98" i="17"/>
  <c r="AA98" i="17"/>
  <c r="AE98" i="17"/>
  <c r="W99" i="17"/>
  <c r="X99" i="17"/>
  <c r="Y99" i="17"/>
  <c r="AA99" i="17"/>
  <c r="AE99" i="17"/>
  <c r="W100" i="17"/>
  <c r="X100" i="17"/>
  <c r="Y100" i="17"/>
  <c r="AA100" i="17"/>
  <c r="AE100" i="17"/>
  <c r="W101" i="17"/>
  <c r="X101" i="17"/>
  <c r="Y101" i="17"/>
  <c r="AA101" i="17"/>
  <c r="AE101" i="17"/>
  <c r="W102" i="17"/>
  <c r="X102" i="17"/>
  <c r="Y102" i="17"/>
  <c r="AA102" i="17"/>
  <c r="AE102" i="17"/>
  <c r="W103" i="17"/>
  <c r="X103" i="17"/>
  <c r="Y103" i="17"/>
  <c r="AA103" i="17"/>
  <c r="AE103" i="17"/>
  <c r="W104" i="17"/>
  <c r="X104" i="17"/>
  <c r="Y104" i="17"/>
  <c r="AA104" i="17"/>
  <c r="AE104" i="17"/>
  <c r="W105" i="17"/>
  <c r="X105" i="17"/>
  <c r="Y105" i="17"/>
  <c r="AA105" i="17"/>
  <c r="AE105" i="17"/>
  <c r="W106" i="17"/>
  <c r="X106" i="17"/>
  <c r="Y106" i="17"/>
  <c r="AA106" i="17"/>
  <c r="AE106" i="17"/>
  <c r="W107" i="17"/>
  <c r="X107" i="17"/>
  <c r="Y107" i="17"/>
  <c r="AA107" i="17"/>
  <c r="AE107" i="17"/>
  <c r="W108" i="17"/>
  <c r="X108" i="17"/>
  <c r="Y108" i="17"/>
  <c r="AA108" i="17"/>
  <c r="AE108" i="17"/>
  <c r="W109" i="17"/>
  <c r="X109" i="17"/>
  <c r="Y109" i="17"/>
  <c r="AA109" i="17"/>
  <c r="AE109" i="17"/>
  <c r="W110" i="17"/>
  <c r="X110" i="17"/>
  <c r="Y110" i="17"/>
  <c r="AA110" i="17"/>
  <c r="AE110" i="17"/>
  <c r="W111" i="17"/>
  <c r="X111" i="17"/>
  <c r="Y111" i="17"/>
  <c r="AA111" i="17"/>
  <c r="AE111" i="17"/>
  <c r="W112" i="17"/>
  <c r="X112" i="17"/>
  <c r="Y112" i="17"/>
  <c r="AA112" i="17"/>
  <c r="AE112" i="17"/>
  <c r="W113" i="17"/>
  <c r="X113" i="17"/>
  <c r="Y113" i="17"/>
  <c r="AA113" i="17"/>
  <c r="AE113" i="17"/>
  <c r="W114" i="17"/>
  <c r="X114" i="17"/>
  <c r="Y114" i="17"/>
  <c r="AA114" i="17"/>
  <c r="AE114" i="17"/>
  <c r="W115" i="17"/>
  <c r="X115" i="17"/>
  <c r="Y115" i="17"/>
  <c r="AA115" i="17"/>
  <c r="AE115" i="17"/>
  <c r="W116" i="17"/>
  <c r="X116" i="17"/>
  <c r="Y116" i="17"/>
  <c r="AA116" i="17"/>
  <c r="AE116" i="17"/>
  <c r="W117" i="17"/>
  <c r="X117" i="17"/>
  <c r="Y117" i="17"/>
  <c r="AA117" i="17"/>
  <c r="AE117" i="17"/>
  <c r="W118" i="17"/>
  <c r="X118" i="17"/>
  <c r="Y118" i="17"/>
  <c r="AA118" i="17"/>
  <c r="AE118" i="17"/>
  <c r="W119" i="17"/>
  <c r="X119" i="17"/>
  <c r="Y119" i="17"/>
  <c r="AA119" i="17"/>
  <c r="AE119" i="17"/>
  <c r="W120" i="17"/>
  <c r="X120" i="17"/>
  <c r="Y120" i="17"/>
  <c r="AA120" i="17"/>
  <c r="AE120" i="17"/>
  <c r="W121" i="17"/>
  <c r="X121" i="17"/>
  <c r="Y121" i="17"/>
  <c r="AA121" i="17"/>
  <c r="AE121" i="17"/>
  <c r="W122" i="17"/>
  <c r="X122" i="17"/>
  <c r="Y122" i="17"/>
  <c r="AA122" i="17"/>
  <c r="AE122" i="17"/>
  <c r="W123" i="17"/>
  <c r="X123" i="17"/>
  <c r="Y123" i="17"/>
  <c r="AA123" i="17"/>
  <c r="AE123" i="17"/>
  <c r="W124" i="17"/>
  <c r="X124" i="17"/>
  <c r="Y124" i="17"/>
  <c r="AA124" i="17"/>
  <c r="AE124" i="17"/>
  <c r="W125" i="17"/>
  <c r="X125" i="17"/>
  <c r="Y125" i="17"/>
  <c r="AA125" i="17"/>
  <c r="AE125" i="17"/>
  <c r="W126" i="17"/>
  <c r="X126" i="17"/>
  <c r="Y126" i="17"/>
  <c r="AA126" i="17"/>
  <c r="AE126" i="17"/>
  <c r="W127" i="17"/>
  <c r="X127" i="17"/>
  <c r="Y127" i="17"/>
  <c r="AA127" i="17"/>
  <c r="AE127" i="17"/>
  <c r="W128" i="17"/>
  <c r="X128" i="17"/>
  <c r="Y128" i="17"/>
  <c r="AA128" i="17"/>
  <c r="AE128" i="17"/>
  <c r="W129" i="17"/>
  <c r="X129" i="17"/>
  <c r="Y129" i="17"/>
  <c r="AA129" i="17"/>
  <c r="AE129" i="17"/>
  <c r="W130" i="17"/>
  <c r="X130" i="17"/>
  <c r="Y130" i="17"/>
  <c r="AA130" i="17"/>
  <c r="AE130" i="17"/>
  <c r="W131" i="17"/>
  <c r="X131" i="17"/>
  <c r="Y131" i="17"/>
  <c r="AA131" i="17"/>
  <c r="AE131" i="17"/>
  <c r="W132" i="17"/>
  <c r="X132" i="17"/>
  <c r="Y132" i="17"/>
  <c r="AA132" i="17"/>
  <c r="AE132" i="17"/>
  <c r="W133" i="17"/>
  <c r="X133" i="17"/>
  <c r="Y133" i="17"/>
  <c r="AA133" i="17"/>
  <c r="AE133" i="17"/>
  <c r="W134" i="17"/>
  <c r="X134" i="17"/>
  <c r="Y134" i="17"/>
  <c r="AA134" i="17"/>
  <c r="AE134" i="17"/>
  <c r="W135" i="17"/>
  <c r="X135" i="17"/>
  <c r="Y135" i="17"/>
  <c r="AA135" i="17"/>
  <c r="AE135" i="17"/>
  <c r="AF64" i="17"/>
  <c r="AF65" i="17"/>
  <c r="AF66" i="17"/>
  <c r="AF67" i="17"/>
  <c r="AF68" i="17"/>
  <c r="AF69" i="17"/>
  <c r="AF70" i="17"/>
  <c r="AF71" i="17"/>
  <c r="AF72" i="17"/>
  <c r="AF73" i="17"/>
  <c r="AF74" i="17"/>
  <c r="AF75" i="17"/>
  <c r="AF76" i="17"/>
  <c r="AF77" i="17"/>
  <c r="AF78" i="17"/>
  <c r="AF79" i="17"/>
  <c r="AF80" i="17"/>
  <c r="AF81" i="17"/>
  <c r="AF82" i="17"/>
  <c r="AF83" i="17"/>
  <c r="AF84" i="17"/>
  <c r="AF85" i="17"/>
  <c r="AF86" i="17"/>
  <c r="AF87" i="17"/>
  <c r="AF88" i="17"/>
  <c r="AF89" i="17"/>
  <c r="AF90" i="17"/>
  <c r="AF91" i="17"/>
  <c r="AF92" i="17"/>
  <c r="AF93" i="17"/>
  <c r="AF94" i="17"/>
  <c r="AF95" i="17"/>
  <c r="AF96" i="17"/>
  <c r="AF97" i="17"/>
  <c r="AF98" i="17"/>
  <c r="AF99" i="17"/>
  <c r="AF100" i="17"/>
  <c r="AF101" i="17"/>
  <c r="AF102" i="17"/>
  <c r="AF103" i="17"/>
  <c r="AF104" i="17"/>
  <c r="AF105" i="17"/>
  <c r="AF106" i="17"/>
  <c r="AF107" i="17"/>
  <c r="AF108" i="17"/>
  <c r="AF109" i="17"/>
  <c r="AF110" i="17"/>
  <c r="AF111" i="17"/>
  <c r="AF112" i="17"/>
  <c r="AF113" i="17"/>
  <c r="AF114" i="17"/>
  <c r="AF115" i="17"/>
  <c r="AF116" i="17"/>
  <c r="AF117" i="17"/>
  <c r="AF118" i="17"/>
  <c r="AF119" i="17"/>
  <c r="AF120" i="17"/>
  <c r="AF121" i="17"/>
  <c r="AF122" i="17"/>
  <c r="AF123" i="17"/>
  <c r="AF124" i="17"/>
  <c r="AF125" i="17"/>
  <c r="AF126" i="17"/>
  <c r="AF127" i="17"/>
  <c r="AF128" i="17"/>
  <c r="AF129" i="17"/>
  <c r="AF130" i="17"/>
  <c r="AF131" i="17"/>
  <c r="AF132" i="17"/>
  <c r="AF133" i="17"/>
  <c r="AF134" i="17"/>
  <c r="AF135" i="17"/>
  <c r="J10" i="17"/>
  <c r="K23" i="17"/>
  <c r="J4" i="17"/>
  <c r="K17" i="17"/>
  <c r="J5" i="17"/>
  <c r="K18" i="17"/>
  <c r="J6" i="17"/>
  <c r="K19" i="17"/>
  <c r="J7" i="17"/>
  <c r="K20" i="17"/>
  <c r="J8" i="17"/>
  <c r="K21" i="17"/>
  <c r="J9" i="17"/>
  <c r="K22" i="17"/>
  <c r="J11" i="17"/>
  <c r="K24" i="17"/>
  <c r="J12" i="17"/>
  <c r="K25" i="17"/>
  <c r="AI15" i="17"/>
  <c r="G10" i="17"/>
  <c r="H10" i="17"/>
  <c r="I10" i="17"/>
  <c r="J23" i="17"/>
  <c r="H23" i="17"/>
  <c r="L23" i="17"/>
  <c r="G4" i="17"/>
  <c r="H4" i="17"/>
  <c r="I4" i="17"/>
  <c r="J17" i="17"/>
  <c r="H17" i="17"/>
  <c r="L17" i="17"/>
  <c r="G5" i="17"/>
  <c r="H5" i="17"/>
  <c r="I5" i="17"/>
  <c r="J18" i="17"/>
  <c r="H18" i="17"/>
  <c r="L18" i="17"/>
  <c r="G6" i="17"/>
  <c r="H6" i="17"/>
  <c r="I6" i="17"/>
  <c r="J19" i="17"/>
  <c r="H19" i="17"/>
  <c r="L19" i="17"/>
  <c r="G7" i="17"/>
  <c r="H7" i="17"/>
  <c r="I7" i="17"/>
  <c r="J20" i="17"/>
  <c r="H20" i="17"/>
  <c r="L20" i="17"/>
  <c r="G8" i="17"/>
  <c r="H8" i="17"/>
  <c r="I8" i="17"/>
  <c r="J21" i="17"/>
  <c r="H21" i="17"/>
  <c r="L21" i="17"/>
  <c r="G9" i="17"/>
  <c r="H9" i="17"/>
  <c r="I9" i="17"/>
  <c r="J22" i="17"/>
  <c r="H22" i="17"/>
  <c r="L22" i="17"/>
  <c r="G11" i="17"/>
  <c r="H11" i="17"/>
  <c r="I11" i="17"/>
  <c r="J24" i="17"/>
  <c r="H24" i="17"/>
  <c r="L24" i="17"/>
  <c r="G12" i="17"/>
  <c r="H12" i="17"/>
  <c r="I12" i="17"/>
  <c r="J25" i="17"/>
  <c r="H25" i="17"/>
  <c r="L25" i="17"/>
  <c r="M23" i="17"/>
  <c r="N23" i="17" a="1"/>
  <c r="N23" i="17"/>
  <c r="O23" i="17"/>
  <c r="C23" i="17"/>
  <c r="M17" i="17"/>
  <c r="N17" i="17" a="1"/>
  <c r="N17" i="17"/>
  <c r="O17" i="17"/>
  <c r="BT52" i="17"/>
  <c r="BU52" i="17"/>
  <c r="BV52" i="17"/>
  <c r="BW52" i="17"/>
  <c r="BX51" i="17"/>
  <c r="BX52" i="17"/>
  <c r="BY51" i="17"/>
  <c r="BY52" i="17"/>
  <c r="BZ51" i="17"/>
  <c r="BZ52" i="17"/>
  <c r="CA51"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R58" i="17"/>
  <c r="BS58" i="17"/>
  <c r="BT58" i="17"/>
  <c r="BU58" i="17"/>
  <c r="BV58" i="17"/>
  <c r="BW58" i="17"/>
  <c r="BX58" i="17"/>
  <c r="BZ58" i="17"/>
  <c r="CA58" i="17"/>
  <c r="BR59" i="17"/>
  <c r="BS59" i="17"/>
  <c r="BT59" i="17"/>
  <c r="BU59" i="17"/>
  <c r="BV59" i="17"/>
  <c r="BW59" i="17"/>
  <c r="BX59" i="17"/>
  <c r="BY59" i="17"/>
  <c r="CA59" i="17"/>
  <c r="BR60" i="17"/>
  <c r="BS60" i="17"/>
  <c r="BT60" i="17"/>
  <c r="BU60" i="17"/>
  <c r="BV60" i="17"/>
  <c r="BW60" i="17"/>
  <c r="BX60" i="17"/>
  <c r="BY60" i="17"/>
  <c r="BZ60" i="17"/>
  <c r="E36" i="17" a="1"/>
  <c r="E36" i="17"/>
  <c r="M18" i="17"/>
  <c r="N18" i="17" a="1"/>
  <c r="N18" i="17"/>
  <c r="O18" i="17"/>
  <c r="F36" i="17" a="1"/>
  <c r="F36" i="17"/>
  <c r="M19" i="17"/>
  <c r="N19" i="17" a="1"/>
  <c r="N19" i="17"/>
  <c r="O19" i="17"/>
  <c r="G36" i="17" a="1"/>
  <c r="M20" i="17"/>
  <c r="N20" i="17" a="1"/>
  <c r="N20" i="17"/>
  <c r="O20" i="17"/>
  <c r="H36" i="17" a="1"/>
  <c r="M21" i="17"/>
  <c r="N21" i="17" a="1"/>
  <c r="N21" i="17"/>
  <c r="O21" i="17"/>
  <c r="I36" i="17" a="1"/>
  <c r="M22" i="17"/>
  <c r="N22" i="17" a="1"/>
  <c r="N22" i="17"/>
  <c r="O22" i="17"/>
  <c r="J36" i="17" a="1"/>
  <c r="M24" i="17"/>
  <c r="N24" i="17" a="1"/>
  <c r="N24" i="17"/>
  <c r="O24" i="17"/>
  <c r="K36" i="17" a="1"/>
  <c r="M25" i="17"/>
  <c r="N25" i="17" a="1"/>
  <c r="N25" i="17"/>
  <c r="O25" i="17"/>
  <c r="L36" i="17" a="1"/>
  <c r="P23" i="17"/>
  <c r="C17" i="17"/>
  <c r="P17" i="17"/>
  <c r="BR52" i="17"/>
  <c r="BT51" i="17"/>
  <c r="BU51" i="17"/>
  <c r="BV51" i="17"/>
  <c r="BW51" i="17"/>
  <c r="BR53" i="17"/>
  <c r="BS51" i="17"/>
  <c r="BR54" i="17"/>
  <c r="BR55" i="17"/>
  <c r="BR56" i="17"/>
  <c r="M36" i="17" a="1"/>
  <c r="P18" i="17"/>
  <c r="N36" i="17" a="1"/>
  <c r="C19" i="17"/>
  <c r="P19" i="17"/>
  <c r="O36" i="17" a="1"/>
  <c r="P20" i="17"/>
  <c r="P36" i="17" a="1"/>
  <c r="P21" i="17"/>
  <c r="Q36" i="17" a="1"/>
  <c r="C22" i="17"/>
  <c r="P22" i="17"/>
  <c r="R36" i="17" a="1"/>
  <c r="C24" i="17"/>
  <c r="P24" i="17"/>
  <c r="S36" i="17" a="1"/>
  <c r="P25" i="17"/>
  <c r="T36" i="17" a="1"/>
  <c r="Q23" i="17"/>
  <c r="Q17" i="17"/>
  <c r="U36" i="17" a="1"/>
  <c r="Q18" i="17"/>
  <c r="V36" i="17" a="1"/>
  <c r="Q19" i="17"/>
  <c r="W36" i="17" a="1"/>
  <c r="Q20" i="17"/>
  <c r="X36" i="17" a="1"/>
  <c r="Q21" i="17"/>
  <c r="Y36" i="17" a="1"/>
  <c r="Q22" i="17"/>
  <c r="Z36" i="17" a="1"/>
  <c r="Q24" i="17"/>
  <c r="AA36" i="17" a="1"/>
  <c r="Q25" i="17"/>
  <c r="AB36" i="17" a="1"/>
  <c r="R23" i="17"/>
  <c r="R17" i="17"/>
  <c r="AC36" i="17" a="1"/>
  <c r="C18" i="17"/>
  <c r="R18" i="17"/>
  <c r="AD36" i="17" a="1"/>
  <c r="R19" i="17"/>
  <c r="AE36" i="17" a="1"/>
  <c r="C20" i="17"/>
  <c r="R20" i="17"/>
  <c r="AF36" i="17" a="1"/>
  <c r="R21" i="17"/>
  <c r="AG36" i="17" a="1"/>
  <c r="R22" i="17"/>
  <c r="AH36" i="17" a="1"/>
  <c r="R24" i="17"/>
  <c r="AI36" i="17" a="1"/>
  <c r="R25" i="17"/>
  <c r="AJ36" i="17" a="1"/>
  <c r="S23" i="17"/>
  <c r="S17" i="17"/>
  <c r="AK36" i="17" a="1"/>
  <c r="S18" i="17"/>
  <c r="AL36" i="17" a="1"/>
  <c r="S19" i="17"/>
  <c r="AM36" i="17" a="1"/>
  <c r="S20" i="17"/>
  <c r="AN36" i="17" a="1"/>
  <c r="S21" i="17"/>
  <c r="AO36" i="17" a="1"/>
  <c r="S22" i="17"/>
  <c r="AP36" i="17" a="1"/>
  <c r="S24" i="17"/>
  <c r="AQ36" i="17" a="1"/>
  <c r="C25" i="17"/>
  <c r="S25" i="17"/>
  <c r="AR36" i="17" a="1"/>
  <c r="T23" i="17"/>
  <c r="T17" i="17"/>
  <c r="AS36" i="17" a="1"/>
  <c r="T18" i="17"/>
  <c r="AT36" i="17" a="1"/>
  <c r="T19" i="17"/>
  <c r="AU36" i="17" a="1"/>
  <c r="T20" i="17"/>
  <c r="AV36" i="17" a="1"/>
  <c r="T21" i="17"/>
  <c r="AW36" i="17" a="1"/>
  <c r="T22" i="17"/>
  <c r="AX36" i="17" a="1"/>
  <c r="T24" i="17"/>
  <c r="AY36" i="17" a="1"/>
  <c r="T25" i="17"/>
  <c r="AZ36" i="17" a="1"/>
  <c r="U23" i="17"/>
  <c r="U17" i="17"/>
  <c r="BA36" i="17" a="1"/>
  <c r="U18" i="17"/>
  <c r="BB36" i="17" a="1"/>
  <c r="U19" i="17"/>
  <c r="BC36" i="17" a="1"/>
  <c r="U20" i="17"/>
  <c r="BD36" i="17" a="1"/>
  <c r="U21" i="17"/>
  <c r="BE36" i="17" a="1"/>
  <c r="U22" i="17"/>
  <c r="BF36" i="17" a="1"/>
  <c r="U24" i="17"/>
  <c r="BG36" i="17" a="1"/>
  <c r="U25" i="17"/>
  <c r="BH36" i="17" a="1"/>
  <c r="V23" i="17"/>
  <c r="V17" i="17"/>
  <c r="BI36" i="17" a="1"/>
  <c r="V18" i="17"/>
  <c r="BJ36" i="17" a="1"/>
  <c r="V19" i="17"/>
  <c r="BK36" i="17" a="1"/>
  <c r="V20" i="17"/>
  <c r="BL36" i="17" a="1"/>
  <c r="V21" i="17"/>
  <c r="BM36" i="17" a="1"/>
  <c r="V22" i="17"/>
  <c r="BN36" i="17" a="1"/>
  <c r="V24" i="17"/>
  <c r="BO36" i="17" a="1"/>
  <c r="V25" i="17"/>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BT30" i="17"/>
  <c r="BS31" i="17"/>
  <c r="BT41" i="17"/>
  <c r="BU30" i="17"/>
  <c r="BS32" i="17"/>
  <c r="BU41" i="17"/>
  <c r="BV30" i="17"/>
  <c r="BS33" i="17"/>
  <c r="BV41" i="17"/>
  <c r="BW30" i="17"/>
  <c r="BS34" i="17"/>
  <c r="BW41" i="17"/>
  <c r="BX40" i="17"/>
  <c r="BX29" i="17"/>
  <c r="BX30" i="17"/>
  <c r="BR35" i="17"/>
  <c r="BS35" i="17"/>
  <c r="BX41" i="17"/>
  <c r="BY40" i="17"/>
  <c r="BY29" i="17"/>
  <c r="BY30" i="17"/>
  <c r="BR36" i="17"/>
  <c r="BS36" i="17"/>
  <c r="BY41" i="17"/>
  <c r="BZ40" i="17"/>
  <c r="BZ29" i="17"/>
  <c r="BZ30" i="17"/>
  <c r="BR37" i="17"/>
  <c r="BS37" i="17"/>
  <c r="BZ41" i="17"/>
  <c r="CA29" i="17"/>
  <c r="CA30" i="17"/>
  <c r="BR38"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R46" i="17"/>
  <c r="BS46" i="17"/>
  <c r="BT46" i="17"/>
  <c r="BU46" i="17"/>
  <c r="BV46" i="17"/>
  <c r="BW46" i="17"/>
  <c r="BY35" i="17"/>
  <c r="BX36" i="17"/>
  <c r="BY46" i="17"/>
  <c r="BZ35" i="17"/>
  <c r="BX37" i="17"/>
  <c r="BZ46" i="17"/>
  <c r="CA35" i="17"/>
  <c r="BX38" i="17"/>
  <c r="CA46" i="17"/>
  <c r="BR47" i="17"/>
  <c r="BS47" i="17"/>
  <c r="BT47" i="17"/>
  <c r="BU47" i="17"/>
  <c r="BV47" i="17"/>
  <c r="BW47" i="17"/>
  <c r="BX47" i="17"/>
  <c r="BZ36" i="17"/>
  <c r="BY37" i="17"/>
  <c r="BZ47" i="17"/>
  <c r="CA36" i="17"/>
  <c r="BY38" i="17"/>
  <c r="CA47" i="17"/>
  <c r="BR48" i="17"/>
  <c r="BS48" i="17"/>
  <c r="BT48" i="17"/>
  <c r="BU48" i="17"/>
  <c r="BV48" i="17"/>
  <c r="BW48" i="17"/>
  <c r="BX48" i="17"/>
  <c r="BY48" i="17"/>
  <c r="CA37" i="17"/>
  <c r="BZ38" i="17"/>
  <c r="CA48" i="17"/>
  <c r="BS49" i="17"/>
  <c r="BT49" i="17"/>
  <c r="BU49" i="17"/>
  <c r="BV49" i="17"/>
  <c r="BW49" i="17"/>
  <c r="BX49" i="17"/>
  <c r="BY49" i="17"/>
  <c r="BZ49" i="17"/>
  <c r="E47" i="17" a="1"/>
  <c r="E47" i="17"/>
  <c r="F47" i="17" a="1"/>
  <c r="F47" i="17"/>
  <c r="G47" i="17" a="1"/>
  <c r="H47" i="17" a="1"/>
  <c r="I47" i="17" a="1"/>
  <c r="J47" i="17" a="1"/>
  <c r="K47" i="17" a="1"/>
  <c r="L47" i="17" a="1"/>
  <c r="BR30" i="17"/>
  <c r="BT29" i="17"/>
  <c r="BR31" i="17"/>
  <c r="BS29" i="17"/>
  <c r="BU29" i="17"/>
  <c r="BR32" i="17"/>
  <c r="BV29" i="17"/>
  <c r="BR33" i="17"/>
  <c r="BW29" i="17"/>
  <c r="BR34" i="17"/>
  <c r="M47" i="17" a="1"/>
  <c r="N47" i="17" a="1"/>
  <c r="O47" i="17" a="1"/>
  <c r="P47" i="17" a="1"/>
  <c r="Q47" i="17" a="1"/>
  <c r="R47" i="17" a="1"/>
  <c r="S47" i="17" a="1"/>
  <c r="T47" i="17" a="1"/>
  <c r="CA40" i="17"/>
  <c r="BR49" i="17"/>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BR41" i="17"/>
  <c r="BS40" i="17"/>
  <c r="BT40" i="17"/>
  <c r="BU40" i="17"/>
  <c r="BV40" i="17"/>
  <c r="BW40" i="17"/>
  <c r="BR42" i="17"/>
  <c r="BR43" i="17"/>
  <c r="BR44" i="17"/>
  <c r="BR45" i="17"/>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W25" i="17"/>
  <c r="AE23" i="17"/>
  <c r="AE24" i="17"/>
  <c r="AE25" i="17"/>
  <c r="H35" i="22"/>
  <c r="E41" i="6"/>
  <c r="J41" i="6"/>
  <c r="B42" i="6"/>
  <c r="C42" i="6"/>
  <c r="G36" i="22"/>
  <c r="D42" i="6"/>
  <c r="H36" i="22"/>
  <c r="E42" i="6"/>
  <c r="J42" i="6"/>
  <c r="B43" i="6"/>
  <c r="C43" i="6"/>
  <c r="G37" i="22"/>
  <c r="D43" i="6"/>
  <c r="H37" i="22"/>
  <c r="E43" i="6"/>
  <c r="J43" i="6"/>
  <c r="B44" i="6"/>
  <c r="C44" i="6"/>
  <c r="G38" i="22"/>
  <c r="D44" i="6"/>
  <c r="H38" i="22"/>
  <c r="E44" i="6"/>
  <c r="J44" i="6"/>
  <c r="B45" i="6"/>
  <c r="C45" i="6"/>
  <c r="G39" i="22"/>
  <c r="D45" i="6"/>
  <c r="H39" i="22"/>
  <c r="E45" i="6"/>
  <c r="J45" i="6"/>
  <c r="B46" i="6"/>
  <c r="C46" i="6"/>
  <c r="G40" i="22"/>
  <c r="D46" i="6"/>
  <c r="H40" i="22"/>
  <c r="E46" i="6"/>
  <c r="J46" i="6"/>
  <c r="B47" i="6"/>
  <c r="C47" i="6"/>
  <c r="G41" i="22"/>
  <c r="D47" i="6"/>
  <c r="H41" i="22"/>
  <c r="E47" i="6"/>
  <c r="J47" i="6"/>
  <c r="B48" i="6"/>
  <c r="C48" i="6"/>
  <c r="G42" i="22"/>
  <c r="D48" i="6"/>
  <c r="H42" i="22"/>
  <c r="E48" i="6"/>
  <c r="J48" i="6"/>
  <c r="B49" i="6"/>
  <c r="C49" i="6"/>
  <c r="G43" i="22"/>
  <c r="D49" i="6"/>
  <c r="H43" i="22"/>
  <c r="E49" i="6"/>
  <c r="J49" i="6"/>
  <c r="B50" i="6"/>
  <c r="C50" i="6"/>
  <c r="G44" i="22"/>
  <c r="D50" i="6"/>
  <c r="H44" i="22"/>
  <c r="E50" i="6"/>
  <c r="J50" i="6"/>
  <c r="B51" i="6"/>
  <c r="C51" i="6"/>
  <c r="G45" i="22"/>
  <c r="D51" i="6"/>
  <c r="H45" i="22"/>
  <c r="E51" i="6"/>
  <c r="J51" i="6"/>
  <c r="B52" i="6"/>
  <c r="C52" i="6"/>
  <c r="G46" i="22"/>
  <c r="D52" i="6"/>
  <c r="H46" i="22"/>
  <c r="E52" i="6"/>
  <c r="J52" i="6"/>
  <c r="B53" i="6"/>
  <c r="C53" i="6"/>
  <c r="G47" i="22"/>
  <c r="D53" i="6"/>
  <c r="H47" i="22"/>
  <c r="E53" i="6"/>
  <c r="J53" i="6"/>
  <c r="H48" i="22"/>
  <c r="E54" i="6"/>
  <c r="J54" i="6"/>
  <c r="B55" i="6"/>
  <c r="C55" i="6"/>
  <c r="G49" i="22"/>
  <c r="D55" i="6"/>
  <c r="H49" i="22"/>
  <c r="E55" i="6"/>
  <c r="J55" i="6"/>
  <c r="B56" i="6"/>
  <c r="C56" i="6"/>
  <c r="G50" i="22"/>
  <c r="D56" i="6"/>
  <c r="H50" i="22"/>
  <c r="E56" i="6"/>
  <c r="J56" i="6"/>
  <c r="B57" i="6"/>
  <c r="C57" i="6"/>
  <c r="G51" i="22"/>
  <c r="D57" i="6"/>
  <c r="H51" i="22"/>
  <c r="E57" i="6"/>
  <c r="J57" i="6"/>
  <c r="B58" i="6"/>
  <c r="C58" i="6"/>
  <c r="G52" i="22"/>
  <c r="D58" i="6"/>
  <c r="H52" i="22"/>
  <c r="E58" i="6"/>
  <c r="J58" i="6"/>
  <c r="B59" i="6"/>
  <c r="C59" i="6"/>
  <c r="G53" i="22"/>
  <c r="D59" i="6"/>
  <c r="H53" i="22"/>
  <c r="E59" i="6"/>
  <c r="J59" i="6"/>
  <c r="B60" i="6"/>
  <c r="C60" i="6"/>
  <c r="G54" i="22"/>
  <c r="D60" i="6"/>
  <c r="H54" i="22"/>
  <c r="E60" i="6"/>
  <c r="J60" i="6"/>
  <c r="B61" i="6"/>
  <c r="C61" i="6"/>
  <c r="G55" i="22"/>
  <c r="D61" i="6"/>
  <c r="H55" i="22"/>
  <c r="E61" i="6"/>
  <c r="J61" i="6"/>
  <c r="B62" i="6"/>
  <c r="C62" i="6"/>
  <c r="G56" i="22"/>
  <c r="D62" i="6"/>
  <c r="H56" i="22"/>
  <c r="E62" i="6"/>
  <c r="J62" i="6"/>
  <c r="B63" i="6"/>
  <c r="C63" i="6"/>
  <c r="G57" i="22"/>
  <c r="D63" i="6"/>
  <c r="H57" i="22"/>
  <c r="E63" i="6"/>
  <c r="J63" i="6"/>
  <c r="B64" i="6"/>
  <c r="C64" i="6"/>
  <c r="G58" i="22"/>
  <c r="D64" i="6"/>
  <c r="H58" i="22"/>
  <c r="E64" i="6"/>
  <c r="J64" i="6"/>
  <c r="B65" i="6"/>
  <c r="C65" i="6"/>
  <c r="G59" i="22"/>
  <c r="D65" i="6"/>
  <c r="H59" i="22"/>
  <c r="E65" i="6"/>
  <c r="J65" i="6"/>
  <c r="B66" i="6"/>
  <c r="C66" i="6"/>
  <c r="G60" i="22"/>
  <c r="D66" i="6"/>
  <c r="H60" i="22"/>
  <c r="E66" i="6"/>
  <c r="J66" i="6"/>
  <c r="B67" i="6"/>
  <c r="C67" i="6"/>
  <c r="G61" i="22"/>
  <c r="D67" i="6"/>
  <c r="H61" i="22"/>
  <c r="E67" i="6"/>
  <c r="J67" i="6"/>
  <c r="B68" i="6"/>
  <c r="C68" i="6"/>
  <c r="G62" i="22"/>
  <c r="D68" i="6"/>
  <c r="H62" i="22"/>
  <c r="E68" i="6"/>
  <c r="J68" i="6"/>
  <c r="B69" i="6"/>
  <c r="C69" i="6"/>
  <c r="G63" i="22"/>
  <c r="D69" i="6"/>
  <c r="H63" i="22"/>
  <c r="E69" i="6"/>
  <c r="J69" i="6"/>
  <c r="B70" i="6"/>
  <c r="C70" i="6"/>
  <c r="G64" i="22"/>
  <c r="D70" i="6"/>
  <c r="H64" i="22"/>
  <c r="E70" i="6"/>
  <c r="J70" i="6"/>
  <c r="B71" i="6"/>
  <c r="C71" i="6"/>
  <c r="G65" i="22"/>
  <c r="D71" i="6"/>
  <c r="H65" i="22"/>
  <c r="E71" i="6"/>
  <c r="J71" i="6"/>
  <c r="B72" i="6"/>
  <c r="C72" i="6"/>
  <c r="G66" i="22"/>
  <c r="D72" i="6"/>
  <c r="H66" i="22"/>
  <c r="E72" i="6"/>
  <c r="J72" i="6"/>
  <c r="B73" i="6"/>
  <c r="C73" i="6"/>
  <c r="G67" i="22"/>
  <c r="D73" i="6"/>
  <c r="H67" i="22"/>
  <c r="E73" i="6"/>
  <c r="J73" i="6"/>
  <c r="B74" i="6"/>
  <c r="C74" i="6"/>
  <c r="G68" i="22"/>
  <c r="D74" i="6"/>
  <c r="H68" i="22"/>
  <c r="E74" i="6"/>
  <c r="J74" i="6"/>
  <c r="B75" i="6"/>
  <c r="C75" i="6"/>
  <c r="G69" i="22"/>
  <c r="D75" i="6"/>
  <c r="H69" i="22"/>
  <c r="E75" i="6"/>
  <c r="J75" i="6"/>
  <c r="B76" i="6"/>
  <c r="C76" i="6"/>
  <c r="G70" i="22"/>
  <c r="D76" i="6"/>
  <c r="H70" i="22"/>
  <c r="E76" i="6"/>
  <c r="J76" i="6"/>
  <c r="B77" i="6"/>
  <c r="C77" i="6"/>
  <c r="G71" i="22"/>
  <c r="D77" i="6"/>
  <c r="H71" i="22"/>
  <c r="E77" i="6"/>
  <c r="J77" i="6"/>
  <c r="B78" i="6"/>
  <c r="C78" i="6"/>
  <c r="G72" i="22"/>
  <c r="D78" i="6"/>
  <c r="H72" i="22"/>
  <c r="E78" i="6"/>
  <c r="J78" i="6"/>
  <c r="B79" i="6"/>
  <c r="C79" i="6"/>
  <c r="G73" i="22"/>
  <c r="D79" i="6"/>
  <c r="H73" i="22"/>
  <c r="E79" i="6"/>
  <c r="J79" i="6"/>
  <c r="B80" i="6"/>
  <c r="C80" i="6"/>
  <c r="G74" i="22"/>
  <c r="D80" i="6"/>
  <c r="H74" i="22"/>
  <c r="E80" i="6"/>
  <c r="J80" i="6"/>
  <c r="B81" i="6"/>
  <c r="C81" i="6"/>
  <c r="G75" i="22"/>
  <c r="D81" i="6"/>
  <c r="H75" i="22"/>
  <c r="E81" i="6"/>
  <c r="J81" i="6"/>
  <c r="B82" i="6"/>
  <c r="C82" i="6"/>
  <c r="G76" i="22"/>
  <c r="D82" i="6"/>
  <c r="H76" i="22"/>
  <c r="E82" i="6"/>
  <c r="J82" i="6"/>
  <c r="B83" i="6"/>
  <c r="C83" i="6"/>
  <c r="G77" i="22"/>
  <c r="D83" i="6"/>
  <c r="H77" i="22"/>
  <c r="E83" i="6"/>
  <c r="J83" i="6"/>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D25" i="17"/>
  <c r="E30" i="17" a="1"/>
  <c r="E30" i="17"/>
  <c r="F30" i="17" a="1"/>
  <c r="F30" i="17"/>
  <c r="G30" i="17" a="1"/>
  <c r="H30" i="17" a="1"/>
  <c r="I30" i="17" a="1"/>
  <c r="J30" i="17" a="1"/>
  <c r="K30" i="17" a="1"/>
  <c r="L30" i="17" a="1"/>
  <c r="M30" i="17" a="1"/>
  <c r="N30" i="17" a="1"/>
  <c r="O30" i="17" a="1"/>
  <c r="P30" i="17" a="1"/>
  <c r="Q30" i="17" a="1"/>
  <c r="R30" i="17" a="1"/>
  <c r="S30" i="17" a="1"/>
  <c r="T30" i="17" a="1"/>
  <c r="U30" i="17" a="1"/>
  <c r="V30" i="17" a="1"/>
  <c r="W30" i="17" a="1"/>
  <c r="X30" i="17" a="1"/>
  <c r="Y30" i="17" a="1"/>
  <c r="Z30" i="17" a="1"/>
  <c r="AA30" i="17" a="1"/>
  <c r="AB30" i="17" a="1"/>
  <c r="AC30" i="17" a="1"/>
  <c r="AD30" i="17" a="1"/>
  <c r="AE30" i="17" a="1"/>
  <c r="AF30" i="17" a="1"/>
  <c r="AG30" i="17" a="1"/>
  <c r="AH30" i="17" a="1"/>
  <c r="AI30" i="17" a="1"/>
  <c r="AJ30" i="17" a="1"/>
  <c r="AK30" i="17" a="1"/>
  <c r="AL30" i="17" a="1"/>
  <c r="AM30" i="17" a="1"/>
  <c r="AN30" i="17" a="1"/>
  <c r="AO30" i="17" a="1"/>
  <c r="AP30" i="17" a="1"/>
  <c r="AQ30" i="17" a="1"/>
  <c r="AR30" i="17" a="1"/>
  <c r="AS30" i="17" a="1"/>
  <c r="AT30" i="17" a="1"/>
  <c r="AU30" i="17" a="1"/>
  <c r="AV30" i="17" a="1"/>
  <c r="AW30" i="17" a="1"/>
  <c r="AX30" i="17" a="1"/>
  <c r="AY30" i="17" a="1"/>
  <c r="AZ30" i="17" a="1"/>
  <c r="BA30" i="17" a="1"/>
  <c r="BB30" i="17" a="1"/>
  <c r="BC30" i="17" a="1"/>
  <c r="BD30" i="17" a="1"/>
  <c r="BE30" i="17" a="1"/>
  <c r="BF30" i="17" a="1"/>
  <c r="BG30" i="17" a="1"/>
  <c r="BH30" i="17" a="1"/>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E31" i="17" a="1"/>
  <c r="E31" i="17"/>
  <c r="F31" i="17" a="1"/>
  <c r="F31" i="17"/>
  <c r="G31" i="17" a="1"/>
  <c r="H31" i="17" a="1"/>
  <c r="I31" i="17" a="1"/>
  <c r="J31" i="17" a="1"/>
  <c r="K31" i="17" a="1"/>
  <c r="L31" i="17" a="1"/>
  <c r="M31" i="17" a="1"/>
  <c r="N31" i="17" a="1"/>
  <c r="O31" i="17" a="1"/>
  <c r="P31" i="17" a="1"/>
  <c r="Q31" i="17" a="1"/>
  <c r="R31" i="17" a="1"/>
  <c r="S31" i="17" a="1"/>
  <c r="T31" i="17" a="1"/>
  <c r="U31" i="17" a="1"/>
  <c r="V31" i="17" a="1"/>
  <c r="W31" i="17" a="1"/>
  <c r="X31" i="17" a="1"/>
  <c r="Y31" i="17" a="1"/>
  <c r="Z31" i="17" a="1"/>
  <c r="AA31" i="17" a="1"/>
  <c r="AB31" i="17" a="1"/>
  <c r="AC31" i="17" a="1"/>
  <c r="AD31" i="17" a="1"/>
  <c r="AE31" i="17" a="1"/>
  <c r="AF31" i="17" a="1"/>
  <c r="AG31" i="17" a="1"/>
  <c r="AH31" i="17" a="1"/>
  <c r="AI31" i="17" a="1"/>
  <c r="AJ31" i="17" a="1"/>
  <c r="AK31" i="17" a="1"/>
  <c r="AL31" i="17" a="1"/>
  <c r="AM31" i="17" a="1"/>
  <c r="AN31" i="17" a="1"/>
  <c r="AO31" i="17" a="1"/>
  <c r="AP31" i="17" a="1"/>
  <c r="AQ31" i="17" a="1"/>
  <c r="AR31" i="17" a="1"/>
  <c r="AS31" i="17" a="1"/>
  <c r="AT31" i="17" a="1"/>
  <c r="AU31" i="17" a="1"/>
  <c r="AV31" i="17" a="1"/>
  <c r="AW31" i="17" a="1"/>
  <c r="AX31" i="17" a="1"/>
  <c r="AY31" i="17" a="1"/>
  <c r="AZ31" i="17" a="1"/>
  <c r="BA31" i="17" a="1"/>
  <c r="BB31" i="17" a="1"/>
  <c r="BC31" i="17" a="1"/>
  <c r="BD31" i="17" a="1"/>
  <c r="BE31" i="17" a="1"/>
  <c r="BF31" i="17" a="1"/>
  <c r="BG31" i="17" a="1"/>
  <c r="BH31" i="17" a="1"/>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E32" i="17" a="1"/>
  <c r="E32" i="17"/>
  <c r="F32" i="17" a="1"/>
  <c r="F32" i="17"/>
  <c r="G32" i="17" a="1"/>
  <c r="H32" i="17" a="1"/>
  <c r="I32" i="17" a="1"/>
  <c r="J32" i="17" a="1"/>
  <c r="K32" i="17" a="1"/>
  <c r="L32" i="17" a="1"/>
  <c r="M32" i="17" a="1"/>
  <c r="N32" i="17" a="1"/>
  <c r="O32" i="17" a="1"/>
  <c r="P32" i="17" a="1"/>
  <c r="Q32" i="17" a="1"/>
  <c r="R32" i="17" a="1"/>
  <c r="S32" i="17" a="1"/>
  <c r="T32" i="17" a="1"/>
  <c r="U32" i="17" a="1"/>
  <c r="V32" i="17" a="1"/>
  <c r="W32" i="17" a="1"/>
  <c r="X32" i="17" a="1"/>
  <c r="Y32" i="17" a="1"/>
  <c r="Z32" i="17" a="1"/>
  <c r="AA32" i="17" a="1"/>
  <c r="AB32" i="17" a="1"/>
  <c r="AC32" i="17" a="1"/>
  <c r="AD32" i="17" a="1"/>
  <c r="AE32" i="17" a="1"/>
  <c r="AF32" i="17" a="1"/>
  <c r="AG32" i="17" a="1"/>
  <c r="AH32" i="17" a="1"/>
  <c r="AI32" i="17" a="1"/>
  <c r="AJ32" i="17" a="1"/>
  <c r="AK32" i="17" a="1"/>
  <c r="AL32" i="17" a="1"/>
  <c r="AM32" i="17" a="1"/>
  <c r="AN32" i="17" a="1"/>
  <c r="AO32" i="17" a="1"/>
  <c r="AP32" i="17" a="1"/>
  <c r="AQ32" i="17" a="1"/>
  <c r="AR32" i="17" a="1"/>
  <c r="AS32" i="17" a="1"/>
  <c r="AT32" i="17" a="1"/>
  <c r="AU32" i="17" a="1"/>
  <c r="AV32" i="17" a="1"/>
  <c r="AW32" i="17" a="1"/>
  <c r="AX32" i="17" a="1"/>
  <c r="AY32" i="17" a="1"/>
  <c r="AZ32" i="17" a="1"/>
  <c r="BA32" i="17" a="1"/>
  <c r="BB32" i="17" a="1"/>
  <c r="BC32" i="17" a="1"/>
  <c r="BD32" i="17" a="1"/>
  <c r="BE32" i="17" a="1"/>
  <c r="BF32" i="17" a="1"/>
  <c r="BG32" i="17" a="1"/>
  <c r="BH32" i="17" a="1"/>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E33" i="17" a="1"/>
  <c r="E33" i="17"/>
  <c r="F33" i="17" a="1"/>
  <c r="F33" i="17"/>
  <c r="G33" i="17" a="1"/>
  <c r="H33" i="17" a="1"/>
  <c r="I33" i="17" a="1"/>
  <c r="J33" i="17" a="1"/>
  <c r="K33" i="17" a="1"/>
  <c r="L33" i="17" a="1"/>
  <c r="M33" i="17" a="1"/>
  <c r="N33" i="17" a="1"/>
  <c r="O33" i="17" a="1"/>
  <c r="P33" i="17" a="1"/>
  <c r="Q33" i="17" a="1"/>
  <c r="R33" i="17" a="1"/>
  <c r="S33" i="17" a="1"/>
  <c r="T33" i="17" a="1"/>
  <c r="U33" i="17" a="1"/>
  <c r="V33" i="17" a="1"/>
  <c r="W33" i="17" a="1"/>
  <c r="X33" i="17" a="1"/>
  <c r="Y33" i="17" a="1"/>
  <c r="Z33" i="17" a="1"/>
  <c r="AA33" i="17" a="1"/>
  <c r="AB33" i="17" a="1"/>
  <c r="AC33" i="17" a="1"/>
  <c r="AD33" i="17" a="1"/>
  <c r="AE33" i="17" a="1"/>
  <c r="AF33" i="17" a="1"/>
  <c r="AG33" i="17" a="1"/>
  <c r="AH33" i="17" a="1"/>
  <c r="AI33" i="17" a="1"/>
  <c r="AJ33" i="17" a="1"/>
  <c r="AK33" i="17" a="1"/>
  <c r="AL33" i="17" a="1"/>
  <c r="AM33" i="17" a="1"/>
  <c r="AN33" i="17" a="1"/>
  <c r="AO33" i="17" a="1"/>
  <c r="AP33" i="17" a="1"/>
  <c r="AQ33" i="17" a="1"/>
  <c r="AR33" i="17" a="1"/>
  <c r="AS33" i="17" a="1"/>
  <c r="AT33" i="17" a="1"/>
  <c r="AU33" i="17" a="1"/>
  <c r="AV33" i="17" a="1"/>
  <c r="AW33" i="17" a="1"/>
  <c r="AX33" i="17" a="1"/>
  <c r="AY33" i="17" a="1"/>
  <c r="AZ33" i="17" a="1"/>
  <c r="BA33" i="17" a="1"/>
  <c r="BB33" i="17" a="1"/>
  <c r="BC33" i="17" a="1"/>
  <c r="BD33" i="17" a="1"/>
  <c r="BE33" i="17" a="1"/>
  <c r="BF33" i="17" a="1"/>
  <c r="BG33" i="17" a="1"/>
  <c r="BH33" i="17" a="1"/>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C21" i="17"/>
  <c r="E34" i="17" a="1"/>
  <c r="E34" i="17"/>
  <c r="F34" i="17" a="1"/>
  <c r="F34" i="17"/>
  <c r="G34" i="17" a="1"/>
  <c r="H34" i="17" a="1"/>
  <c r="I34" i="17" a="1"/>
  <c r="J34" i="17" a="1"/>
  <c r="K34" i="17" a="1"/>
  <c r="L34" i="17" a="1"/>
  <c r="M34" i="17" a="1"/>
  <c r="N34" i="17" a="1"/>
  <c r="O34" i="17" a="1"/>
  <c r="P34" i="17" a="1"/>
  <c r="Q34" i="17" a="1"/>
  <c r="R34" i="17" a="1"/>
  <c r="S34" i="17" a="1"/>
  <c r="T34" i="17" a="1"/>
  <c r="U34" i="17" a="1"/>
  <c r="V34" i="17" a="1"/>
  <c r="W34" i="17" a="1"/>
  <c r="X34" i="17" a="1"/>
  <c r="Y34" i="17" a="1"/>
  <c r="Z34" i="17" a="1"/>
  <c r="AA34" i="17" a="1"/>
  <c r="AB34" i="17" a="1"/>
  <c r="AC34" i="17" a="1"/>
  <c r="AD34" i="17" a="1"/>
  <c r="AE34" i="17" a="1"/>
  <c r="AF34" i="17" a="1"/>
  <c r="AG34" i="17" a="1"/>
  <c r="AH34" i="17" a="1"/>
  <c r="AI34" i="17" a="1"/>
  <c r="AJ34" i="17" a="1"/>
  <c r="AK34" i="17" a="1"/>
  <c r="AL34" i="17" a="1"/>
  <c r="AM34" i="17" a="1"/>
  <c r="AN34" i="17" a="1"/>
  <c r="AO34" i="17" a="1"/>
  <c r="AP34" i="17" a="1"/>
  <c r="AQ34" i="17" a="1"/>
  <c r="AR34" i="17" a="1"/>
  <c r="AS34" i="17" a="1"/>
  <c r="AT34" i="17" a="1"/>
  <c r="AU34" i="17" a="1"/>
  <c r="AV34" i="17" a="1"/>
  <c r="AW34" i="17" a="1"/>
  <c r="AX34" i="17" a="1"/>
  <c r="AY34" i="17" a="1"/>
  <c r="AZ34" i="17" a="1"/>
  <c r="BA34" i="17" a="1"/>
  <c r="BB34" i="17" a="1"/>
  <c r="BC34" i="17" a="1"/>
  <c r="BD34" i="17" a="1"/>
  <c r="BE34" i="17" a="1"/>
  <c r="BF34" i="17" a="1"/>
  <c r="BG34" i="17" a="1"/>
  <c r="BH34" i="17" a="1"/>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E35" i="17" a="1"/>
  <c r="E35" i="17"/>
  <c r="F35" i="17" a="1"/>
  <c r="F35" i="17"/>
  <c r="G35" i="17" a="1"/>
  <c r="H35" i="17" a="1"/>
  <c r="I35" i="17" a="1"/>
  <c r="J35" i="17" a="1"/>
  <c r="K35" i="17" a="1"/>
  <c r="L35" i="17" a="1"/>
  <c r="M35" i="17" a="1"/>
  <c r="N35" i="17" a="1"/>
  <c r="O35" i="17" a="1"/>
  <c r="P35" i="17" a="1"/>
  <c r="Q35" i="17" a="1"/>
  <c r="R35" i="17" a="1"/>
  <c r="S35" i="17" a="1"/>
  <c r="T35" i="17" a="1"/>
  <c r="U35" i="17" a="1"/>
  <c r="V35" i="17" a="1"/>
  <c r="W35" i="17" a="1"/>
  <c r="X35" i="17" a="1"/>
  <c r="Y35" i="17" a="1"/>
  <c r="Z35" i="17" a="1"/>
  <c r="AA35" i="17" a="1"/>
  <c r="AB35" i="17" a="1"/>
  <c r="AC35" i="17" a="1"/>
  <c r="AD35" i="17" a="1"/>
  <c r="AE35" i="17" a="1"/>
  <c r="AF35" i="17" a="1"/>
  <c r="AG35" i="17" a="1"/>
  <c r="AH35" i="17" a="1"/>
  <c r="AI35" i="17" a="1"/>
  <c r="AJ35" i="17" a="1"/>
  <c r="AK35" i="17" a="1"/>
  <c r="AL35" i="17" a="1"/>
  <c r="AM35" i="17" a="1"/>
  <c r="AN35" i="17" a="1"/>
  <c r="AO35" i="17" a="1"/>
  <c r="AP35" i="17" a="1"/>
  <c r="AQ35" i="17" a="1"/>
  <c r="AR35" i="17" a="1"/>
  <c r="AS35" i="17" a="1"/>
  <c r="AT35" i="17" a="1"/>
  <c r="AU35" i="17" a="1"/>
  <c r="AV35" i="17" a="1"/>
  <c r="AW35" i="17" a="1"/>
  <c r="AX35" i="17" a="1"/>
  <c r="AY35" i="17" a="1"/>
  <c r="AZ35" i="17" a="1"/>
  <c r="BA35" i="17" a="1"/>
  <c r="BB35" i="17" a="1"/>
  <c r="BC35" i="17" a="1"/>
  <c r="BD35" i="17" a="1"/>
  <c r="BE35" i="17" a="1"/>
  <c r="BF35" i="17" a="1"/>
  <c r="BG35" i="17" a="1"/>
  <c r="BH35" i="17" a="1"/>
  <c r="BI35" i="17" a="1"/>
  <c r="BJ35" i="17" a="1"/>
  <c r="BK35" i="17" a="1"/>
  <c r="BL35" i="17" a="1"/>
  <c r="BM35" i="17" a="1"/>
  <c r="BN35" i="17" a="1"/>
  <c r="BO35" i="17" a="1"/>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AG25" i="17"/>
  <c r="AE17" i="17"/>
  <c r="AE18" i="17"/>
  <c r="AE19" i="17"/>
  <c r="AE20" i="17"/>
  <c r="AE21" i="17"/>
  <c r="AE22" i="17"/>
  <c r="AF25" i="17"/>
  <c r="Y25" i="17"/>
  <c r="AH25" i="17"/>
  <c r="AD17" i="17"/>
  <c r="AG17" i="17"/>
  <c r="AF17" i="17"/>
  <c r="Y17" i="17"/>
  <c r="AH17" i="17"/>
  <c r="AD18" i="17"/>
  <c r="AG18" i="17"/>
  <c r="AF18" i="17"/>
  <c r="Y18" i="17"/>
  <c r="AH18" i="17"/>
  <c r="AD19" i="17"/>
  <c r="AG19" i="17"/>
  <c r="AF19" i="17"/>
  <c r="Y19" i="17"/>
  <c r="AH19" i="17"/>
  <c r="AD20" i="17"/>
  <c r="AG20" i="17"/>
  <c r="AF20" i="17"/>
  <c r="Y20" i="17"/>
  <c r="AH20" i="17"/>
  <c r="AD21" i="17"/>
  <c r="AG21" i="17"/>
  <c r="AF21" i="17"/>
  <c r="Y21" i="17"/>
  <c r="AH21" i="17"/>
  <c r="AD22" i="17"/>
  <c r="AG22" i="17"/>
  <c r="AF22" i="17"/>
  <c r="Y22" i="17"/>
  <c r="AH22" i="17"/>
  <c r="AD23" i="17"/>
  <c r="AG23" i="17"/>
  <c r="AF23" i="17"/>
  <c r="Y23" i="17"/>
  <c r="AH23" i="17"/>
  <c r="AD24" i="17"/>
  <c r="AG24" i="17"/>
  <c r="AF24" i="17"/>
  <c r="Y24" i="17"/>
  <c r="AH24" i="17"/>
  <c r="X25" i="17"/>
  <c r="X17" i="17"/>
  <c r="X18" i="17"/>
  <c r="X19" i="17"/>
  <c r="X20" i="17"/>
  <c r="X21" i="17"/>
  <c r="X22" i="17"/>
  <c r="X23" i="17"/>
  <c r="X24" i="17"/>
  <c r="E12" i="17"/>
  <c r="E9" i="17"/>
  <c r="E11" i="17"/>
  <c r="AO12" i="17"/>
  <c r="AO4" i="17"/>
  <c r="AO5" i="17"/>
  <c r="AO6" i="17"/>
  <c r="AO7" i="17"/>
  <c r="AO8" i="17"/>
  <c r="AO9" i="17"/>
  <c r="AO10" i="17"/>
  <c r="AO11" i="17"/>
  <c r="AP12" i="17"/>
  <c r="AP4" i="17"/>
  <c r="AP5" i="17"/>
  <c r="AP6" i="17"/>
  <c r="AP7" i="17"/>
  <c r="AP8" i="17"/>
  <c r="AP9" i="17"/>
  <c r="AP10" i="17"/>
  <c r="AP11" i="17"/>
  <c r="AM12" i="17"/>
  <c r="Q4" i="17"/>
  <c r="AG3" i="17"/>
  <c r="AG12" i="17"/>
  <c r="Z25" i="17"/>
  <c r="AI12" i="17"/>
  <c r="AG4" i="17"/>
  <c r="Z17" i="17"/>
  <c r="AI4" i="17"/>
  <c r="AG5" i="17"/>
  <c r="AI5" i="17"/>
  <c r="AG6" i="17"/>
  <c r="Z19" i="17"/>
  <c r="AI6" i="17"/>
  <c r="AG7" i="17"/>
  <c r="Z20" i="17"/>
  <c r="AI7" i="17"/>
  <c r="AG8" i="17"/>
  <c r="Z21" i="17"/>
  <c r="AI8" i="17"/>
  <c r="AG9" i="17"/>
  <c r="Z22" i="17"/>
  <c r="AI9" i="17"/>
  <c r="AG10" i="17"/>
  <c r="AI10" i="17"/>
  <c r="AG11" i="17"/>
  <c r="AI11" i="17"/>
  <c r="AJ12" i="17"/>
  <c r="E4" i="17"/>
  <c r="AJ4" i="17"/>
  <c r="AJ5" i="17"/>
  <c r="E6" i="17"/>
  <c r="AJ6" i="17"/>
  <c r="E7" i="17"/>
  <c r="AJ7" i="17"/>
  <c r="E8" i="17"/>
  <c r="AJ8" i="17"/>
  <c r="AJ9" i="17"/>
  <c r="AJ10" i="17"/>
  <c r="AJ11" i="17"/>
  <c r="AK12" i="17"/>
  <c r="AK4" i="17"/>
  <c r="AK5" i="17"/>
  <c r="AK6" i="17"/>
  <c r="AK7" i="17"/>
  <c r="AK8" i="17"/>
  <c r="AK9" i="17"/>
  <c r="AK10" i="17"/>
  <c r="AK11" i="17"/>
  <c r="AH12" i="17"/>
  <c r="P4" i="17"/>
  <c r="AB3" i="17"/>
  <c r="AB12" i="17"/>
  <c r="AD12" i="17"/>
  <c r="AB4" i="17"/>
  <c r="AD4" i="17"/>
  <c r="AB5" i="17"/>
  <c r="Z18" i="17"/>
  <c r="AD5" i="17"/>
  <c r="AB6" i="17"/>
  <c r="AD6" i="17"/>
  <c r="AB7" i="17"/>
  <c r="AD7" i="17"/>
  <c r="AB8" i="17"/>
  <c r="AD8" i="17"/>
  <c r="AB9" i="17"/>
  <c r="AD9" i="17"/>
  <c r="AB10" i="17"/>
  <c r="Z23" i="17"/>
  <c r="AD10" i="17"/>
  <c r="AB11" i="17"/>
  <c r="Z24" i="17"/>
  <c r="AD11" i="17"/>
  <c r="AE12" i="17"/>
  <c r="AE4" i="17"/>
  <c r="E5" i="17"/>
  <c r="AE5" i="17"/>
  <c r="AE6" i="17"/>
  <c r="AE7" i="17"/>
  <c r="AE8" i="17"/>
  <c r="AE9" i="17"/>
  <c r="E10"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5" i="3"/>
  <c r="AN5" i="3"/>
  <c r="AL4" i="3"/>
  <c r="AN4" i="3"/>
  <c r="AL6" i="3"/>
  <c r="AN6" i="3"/>
  <c r="AL7" i="3"/>
  <c r="AN7" i="3"/>
  <c r="AL8" i="3"/>
  <c r="AN8" i="3"/>
  <c r="AL9" i="3"/>
  <c r="AN9" i="3"/>
  <c r="AL10" i="3"/>
  <c r="AN10" i="3"/>
  <c r="AL11" i="3"/>
  <c r="AN11" i="3"/>
  <c r="AL12" i="3"/>
  <c r="AN12" i="3"/>
  <c r="M49" i="3" a="1"/>
  <c r="M49" i="3"/>
  <c r="N49" i="3" a="1"/>
  <c r="N49" i="3"/>
  <c r="O49" i="3" a="1"/>
  <c r="P49" i="3" a="1"/>
  <c r="Q49" i="3" a="1"/>
  <c r="R49" i="3" a="1"/>
  <c r="S49" i="3" a="1"/>
  <c r="T49" i="3" a="1"/>
  <c r="O49" i="3"/>
  <c r="P49" i="3"/>
  <c r="Q49" i="3"/>
  <c r="R49" i="3"/>
  <c r="S49" i="3"/>
  <c r="T49" i="3"/>
  <c r="AB25" i="3"/>
  <c r="W25" i="3"/>
  <c r="E30" i="3" a="1"/>
  <c r="E30" i="3"/>
  <c r="F30" i="3" a="1"/>
  <c r="F30" i="3"/>
  <c r="G30" i="3" a="1"/>
  <c r="H30" i="3" a="1"/>
  <c r="I30" i="3" a="1"/>
  <c r="J30" i="3" a="1"/>
  <c r="K30" i="3" a="1"/>
  <c r="L30" i="3" a="1"/>
  <c r="M30" i="3" a="1"/>
  <c r="N30" i="3" a="1"/>
  <c r="O30" i="3" a="1"/>
  <c r="P30" i="3" a="1"/>
  <c r="Q30" i="3" a="1"/>
  <c r="R30" i="3" a="1"/>
  <c r="S30" i="3" a="1"/>
  <c r="T30" i="3" a="1"/>
  <c r="U30" i="3" a="1"/>
  <c r="V30" i="3" a="1"/>
  <c r="W30" i="3" a="1"/>
  <c r="X30" i="3" a="1"/>
  <c r="Y30" i="3" a="1"/>
  <c r="Z30" i="3" a="1"/>
  <c r="AA30" i="3" a="1"/>
  <c r="AB30" i="3" a="1"/>
  <c r="AC30" i="3" a="1"/>
  <c r="AD30" i="3" a="1"/>
  <c r="AE30" i="3" a="1"/>
  <c r="AF30" i="3" a="1"/>
  <c r="AG30" i="3" a="1"/>
  <c r="AH30" i="3" a="1"/>
  <c r="AI30" i="3" a="1"/>
  <c r="AJ30" i="3" a="1"/>
  <c r="AK30" i="3" a="1"/>
  <c r="AL30" i="3" a="1"/>
  <c r="AM30" i="3" a="1"/>
  <c r="AN30" i="3" a="1"/>
  <c r="AO30" i="3" a="1"/>
  <c r="AP30" i="3" a="1"/>
  <c r="AQ30" i="3" a="1"/>
  <c r="AR30" i="3" a="1"/>
  <c r="AS30" i="3" a="1"/>
  <c r="AT30" i="3" a="1"/>
  <c r="AU30" i="3" a="1"/>
  <c r="AV30" i="3" a="1"/>
  <c r="AW30" i="3" a="1"/>
  <c r="AX30" i="3" a="1"/>
  <c r="AY30" i="3" a="1"/>
  <c r="AZ30" i="3" a="1"/>
  <c r="BA30" i="3" a="1"/>
  <c r="BB30" i="3" a="1"/>
  <c r="BC30" i="3" a="1"/>
  <c r="BD30" i="3" a="1"/>
  <c r="BE30" i="3" a="1"/>
  <c r="BF30" i="3" a="1"/>
  <c r="BG30" i="3" a="1"/>
  <c r="BH30" i="3" a="1"/>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E31" i="3" a="1"/>
  <c r="E31" i="3"/>
  <c r="F31" i="3" a="1"/>
  <c r="F31" i="3"/>
  <c r="G31" i="3" a="1"/>
  <c r="H31" i="3" a="1"/>
  <c r="I31" i="3" a="1"/>
  <c r="J31" i="3" a="1"/>
  <c r="K31" i="3" a="1"/>
  <c r="L31" i="3" a="1"/>
  <c r="M31" i="3" a="1"/>
  <c r="N31" i="3" a="1"/>
  <c r="O31" i="3" a="1"/>
  <c r="P31" i="3" a="1"/>
  <c r="Q31" i="3" a="1"/>
  <c r="R31" i="3" a="1"/>
  <c r="S31" i="3" a="1"/>
  <c r="T31" i="3" a="1"/>
  <c r="U31" i="3" a="1"/>
  <c r="V31" i="3" a="1"/>
  <c r="W31" i="3" a="1"/>
  <c r="X31" i="3" a="1"/>
  <c r="Y31" i="3" a="1"/>
  <c r="Z31" i="3" a="1"/>
  <c r="AA31" i="3" a="1"/>
  <c r="AB31" i="3" a="1"/>
  <c r="AC31" i="3" a="1"/>
  <c r="AD31" i="3" a="1"/>
  <c r="AE31" i="3" a="1"/>
  <c r="AF31" i="3" a="1"/>
  <c r="AG31" i="3" a="1"/>
  <c r="AH31" i="3" a="1"/>
  <c r="AI31" i="3" a="1"/>
  <c r="AJ31" i="3" a="1"/>
  <c r="AK31" i="3" a="1"/>
  <c r="AL31" i="3" a="1"/>
  <c r="AM31" i="3" a="1"/>
  <c r="AN31" i="3" a="1"/>
  <c r="AO31" i="3" a="1"/>
  <c r="AP31" i="3" a="1"/>
  <c r="AQ31" i="3" a="1"/>
  <c r="AR31" i="3" a="1"/>
  <c r="AS31" i="3" a="1"/>
  <c r="AT31" i="3" a="1"/>
  <c r="AU31" i="3" a="1"/>
  <c r="AV31" i="3" a="1"/>
  <c r="AW31" i="3" a="1"/>
  <c r="AX31" i="3" a="1"/>
  <c r="AY31" i="3" a="1"/>
  <c r="AZ31" i="3" a="1"/>
  <c r="BA31" i="3" a="1"/>
  <c r="BB31" i="3" a="1"/>
  <c r="BC31" i="3" a="1"/>
  <c r="BD31" i="3" a="1"/>
  <c r="BE31" i="3" a="1"/>
  <c r="BF31" i="3" a="1"/>
  <c r="BG31" i="3" a="1"/>
  <c r="BH31" i="3" a="1"/>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E32" i="3" a="1"/>
  <c r="E32" i="3"/>
  <c r="F32" i="3" a="1"/>
  <c r="F32" i="3"/>
  <c r="G32" i="3" a="1"/>
  <c r="H32" i="3" a="1"/>
  <c r="I32" i="3" a="1"/>
  <c r="J32" i="3" a="1"/>
  <c r="K32" i="3" a="1"/>
  <c r="L32" i="3" a="1"/>
  <c r="M32" i="3" a="1"/>
  <c r="N32" i="3" a="1"/>
  <c r="O32" i="3" a="1"/>
  <c r="P32" i="3" a="1"/>
  <c r="Q32" i="3" a="1"/>
  <c r="R32" i="3" a="1"/>
  <c r="S32" i="3" a="1"/>
  <c r="T32" i="3" a="1"/>
  <c r="U32" i="3" a="1"/>
  <c r="V32" i="3" a="1"/>
  <c r="W32" i="3" a="1"/>
  <c r="X32" i="3" a="1"/>
  <c r="Y32" i="3" a="1"/>
  <c r="Z32" i="3" a="1"/>
  <c r="AA32" i="3" a="1"/>
  <c r="AB32" i="3" a="1"/>
  <c r="AC32" i="3" a="1"/>
  <c r="AD32" i="3" a="1"/>
  <c r="AE32" i="3" a="1"/>
  <c r="AF32" i="3" a="1"/>
  <c r="AG32" i="3" a="1"/>
  <c r="AH32" i="3" a="1"/>
  <c r="AI32" i="3" a="1"/>
  <c r="AJ32" i="3" a="1"/>
  <c r="AK32" i="3" a="1"/>
  <c r="AL32" i="3" a="1"/>
  <c r="AM32" i="3" a="1"/>
  <c r="AN32" i="3" a="1"/>
  <c r="AO32" i="3" a="1"/>
  <c r="AP32" i="3" a="1"/>
  <c r="AQ32" i="3" a="1"/>
  <c r="AR32" i="3" a="1"/>
  <c r="AS32" i="3" a="1"/>
  <c r="AT32" i="3" a="1"/>
  <c r="AU32" i="3" a="1"/>
  <c r="AV32" i="3" a="1"/>
  <c r="AW32" i="3" a="1"/>
  <c r="AX32" i="3" a="1"/>
  <c r="AY32" i="3" a="1"/>
  <c r="AZ32" i="3" a="1"/>
  <c r="BA32" i="3" a="1"/>
  <c r="BB32" i="3" a="1"/>
  <c r="BC32" i="3" a="1"/>
  <c r="BD32" i="3" a="1"/>
  <c r="BE32" i="3" a="1"/>
  <c r="BF32" i="3" a="1"/>
  <c r="BG32" i="3" a="1"/>
  <c r="BH32" i="3" a="1"/>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E33" i="3" a="1"/>
  <c r="E33" i="3"/>
  <c r="F33" i="3" a="1"/>
  <c r="F33" i="3"/>
  <c r="G33" i="3" a="1"/>
  <c r="H33" i="3" a="1"/>
  <c r="I33" i="3" a="1"/>
  <c r="J33" i="3" a="1"/>
  <c r="K33" i="3" a="1"/>
  <c r="L33" i="3" a="1"/>
  <c r="M33" i="3" a="1"/>
  <c r="N33" i="3" a="1"/>
  <c r="O33" i="3" a="1"/>
  <c r="P33" i="3" a="1"/>
  <c r="Q33" i="3" a="1"/>
  <c r="R33" i="3" a="1"/>
  <c r="S33" i="3" a="1"/>
  <c r="T33" i="3" a="1"/>
  <c r="U33" i="3" a="1"/>
  <c r="V33" i="3" a="1"/>
  <c r="W33" i="3" a="1"/>
  <c r="X33" i="3" a="1"/>
  <c r="Y33" i="3" a="1"/>
  <c r="Z33" i="3" a="1"/>
  <c r="AA33" i="3" a="1"/>
  <c r="AB33" i="3" a="1"/>
  <c r="AC33" i="3" a="1"/>
  <c r="AD33" i="3" a="1"/>
  <c r="AE33" i="3" a="1"/>
  <c r="AF33" i="3" a="1"/>
  <c r="AG33" i="3" a="1"/>
  <c r="AH33" i="3" a="1"/>
  <c r="AI33" i="3" a="1"/>
  <c r="AJ33" i="3" a="1"/>
  <c r="AK33" i="3" a="1"/>
  <c r="AL33" i="3" a="1"/>
  <c r="AM33" i="3" a="1"/>
  <c r="AN33" i="3" a="1"/>
  <c r="AO33" i="3" a="1"/>
  <c r="AP33" i="3" a="1"/>
  <c r="AQ33" i="3" a="1"/>
  <c r="AR33" i="3" a="1"/>
  <c r="AS33" i="3" a="1"/>
  <c r="AT33" i="3" a="1"/>
  <c r="AU33" i="3" a="1"/>
  <c r="AV33" i="3" a="1"/>
  <c r="AW33" i="3" a="1"/>
  <c r="AX33" i="3" a="1"/>
  <c r="AY33" i="3" a="1"/>
  <c r="AZ33" i="3" a="1"/>
  <c r="BA33" i="3" a="1"/>
  <c r="BB33" i="3" a="1"/>
  <c r="BC33" i="3" a="1"/>
  <c r="BD33" i="3" a="1"/>
  <c r="BE33" i="3" a="1"/>
  <c r="BF33" i="3" a="1"/>
  <c r="BG33" i="3" a="1"/>
  <c r="BH33" i="3" a="1"/>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E34" i="3" a="1"/>
  <c r="E34" i="3"/>
  <c r="F34" i="3" a="1"/>
  <c r="F34" i="3"/>
  <c r="G34" i="3" a="1"/>
  <c r="H34" i="3" a="1"/>
  <c r="I34" i="3" a="1"/>
  <c r="J34" i="3" a="1"/>
  <c r="K34" i="3" a="1"/>
  <c r="L34" i="3" a="1"/>
  <c r="M34" i="3" a="1"/>
  <c r="N34" i="3" a="1"/>
  <c r="O34" i="3" a="1"/>
  <c r="P34" i="3" a="1"/>
  <c r="Q34" i="3" a="1"/>
  <c r="R34" i="3" a="1"/>
  <c r="S34" i="3" a="1"/>
  <c r="T34" i="3" a="1"/>
  <c r="U34" i="3" a="1"/>
  <c r="V34" i="3" a="1"/>
  <c r="W34" i="3" a="1"/>
  <c r="X34" i="3" a="1"/>
  <c r="Y34" i="3" a="1"/>
  <c r="Z34" i="3" a="1"/>
  <c r="AA34" i="3" a="1"/>
  <c r="AB34" i="3" a="1"/>
  <c r="AC34" i="3" a="1"/>
  <c r="AD34" i="3" a="1"/>
  <c r="AE34" i="3" a="1"/>
  <c r="AF34" i="3" a="1"/>
  <c r="AG34" i="3" a="1"/>
  <c r="AH34" i="3" a="1"/>
  <c r="AI34" i="3" a="1"/>
  <c r="AJ34" i="3" a="1"/>
  <c r="AK34" i="3" a="1"/>
  <c r="AL34" i="3" a="1"/>
  <c r="AM34" i="3" a="1"/>
  <c r="AN34" i="3" a="1"/>
  <c r="AO34" i="3" a="1"/>
  <c r="AP34" i="3" a="1"/>
  <c r="AQ34" i="3" a="1"/>
  <c r="AR34" i="3" a="1"/>
  <c r="AS34" i="3" a="1"/>
  <c r="AT34" i="3" a="1"/>
  <c r="AU34" i="3" a="1"/>
  <c r="AV34" i="3" a="1"/>
  <c r="AW34" i="3" a="1"/>
  <c r="AX34" i="3" a="1"/>
  <c r="AY34" i="3" a="1"/>
  <c r="AZ34" i="3" a="1"/>
  <c r="BA34" i="3" a="1"/>
  <c r="BB34" i="3" a="1"/>
  <c r="BC34" i="3" a="1"/>
  <c r="BD34" i="3" a="1"/>
  <c r="BE34" i="3" a="1"/>
  <c r="BF34" i="3" a="1"/>
  <c r="BG34" i="3" a="1"/>
  <c r="BH34" i="3" a="1"/>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E35" i="3" a="1"/>
  <c r="E35" i="3"/>
  <c r="F35" i="3" a="1"/>
  <c r="F35" i="3"/>
  <c r="G35" i="3" a="1"/>
  <c r="H35" i="3" a="1"/>
  <c r="I35" i="3" a="1"/>
  <c r="J35" i="3" a="1"/>
  <c r="K35" i="3" a="1"/>
  <c r="L35" i="3" a="1"/>
  <c r="M35" i="3" a="1"/>
  <c r="N35" i="3" a="1"/>
  <c r="O35" i="3" a="1"/>
  <c r="P35" i="3" a="1"/>
  <c r="Q35" i="3" a="1"/>
  <c r="R35" i="3" a="1"/>
  <c r="S35" i="3" a="1"/>
  <c r="T35" i="3" a="1"/>
  <c r="U35" i="3" a="1"/>
  <c r="V35" i="3" a="1"/>
  <c r="W35" i="3" a="1"/>
  <c r="X35" i="3" a="1"/>
  <c r="Y35" i="3" a="1"/>
  <c r="Z35" i="3" a="1"/>
  <c r="AA35" i="3" a="1"/>
  <c r="AB35" i="3" a="1"/>
  <c r="AC35" i="3" a="1"/>
  <c r="AD35" i="3" a="1"/>
  <c r="AE35" i="3" a="1"/>
  <c r="AF35" i="3" a="1"/>
  <c r="AG35" i="3" a="1"/>
  <c r="AH35" i="3" a="1"/>
  <c r="AI35" i="3" a="1"/>
  <c r="AJ35" i="3" a="1"/>
  <c r="AK35" i="3" a="1"/>
  <c r="AL35" i="3" a="1"/>
  <c r="AM35" i="3" a="1"/>
  <c r="AN35" i="3" a="1"/>
  <c r="AO35" i="3" a="1"/>
  <c r="AP35" i="3" a="1"/>
  <c r="AQ35" i="3" a="1"/>
  <c r="AR35" i="3" a="1"/>
  <c r="AS35" i="3" a="1"/>
  <c r="AT35" i="3" a="1"/>
  <c r="AU35" i="3" a="1"/>
  <c r="AV35" i="3" a="1"/>
  <c r="AW35" i="3" a="1"/>
  <c r="AX35" i="3" a="1"/>
  <c r="AY35" i="3" a="1"/>
  <c r="AZ35" i="3" a="1"/>
  <c r="BA35" i="3" a="1"/>
  <c r="BB35" i="3" a="1"/>
  <c r="BC35" i="3" a="1"/>
  <c r="BD35" i="3" a="1"/>
  <c r="BE35" i="3" a="1"/>
  <c r="BF35" i="3" a="1"/>
  <c r="BG35" i="3" a="1"/>
  <c r="BH35" i="3" a="1"/>
  <c r="BI35" i="3" a="1"/>
  <c r="BJ35" i="3" a="1"/>
  <c r="BK35" i="3" a="1"/>
  <c r="BL35" i="3" a="1"/>
  <c r="BM35" i="3" a="1"/>
  <c r="BN35" i="3" a="1"/>
  <c r="BO35" i="3" a="1"/>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AK47" i="3" a="1"/>
  <c r="AK47" i="3"/>
  <c r="AL47" i="3" a="1"/>
  <c r="AL47" i="3"/>
  <c r="AM47" i="3" a="1"/>
  <c r="AN47" i="3" a="1"/>
  <c r="AO47" i="3" a="1"/>
  <c r="AP47" i="3" a="1"/>
  <c r="AQ47" i="3" a="1"/>
  <c r="AR47" i="3" a="1"/>
  <c r="AM47" i="3"/>
  <c r="AN47" i="3"/>
  <c r="AO47" i="3"/>
  <c r="AP47" i="3"/>
  <c r="AQ47" i="3"/>
  <c r="AR47" i="3"/>
  <c r="AB23" i="3"/>
  <c r="W23" i="3"/>
  <c r="AC48" i="3" a="1"/>
  <c r="AC48" i="3"/>
  <c r="AD48" i="3" a="1"/>
  <c r="AD48" i="3"/>
  <c r="AE48" i="3" a="1"/>
  <c r="AF48" i="3" a="1"/>
  <c r="AG48" i="3" a="1"/>
  <c r="AH48" i="3" a="1"/>
  <c r="AI48" i="3" a="1"/>
  <c r="AJ48" i="3" a="1"/>
  <c r="AE48" i="3"/>
  <c r="AF48" i="3"/>
  <c r="AG48" i="3"/>
  <c r="AH48" i="3"/>
  <c r="AI48" i="3"/>
  <c r="AJ48" i="3"/>
  <c r="AB24" i="3"/>
  <c r="W24" i="3"/>
  <c r="Y25" i="3"/>
  <c r="X25" i="3"/>
  <c r="Y17" i="3"/>
  <c r="X17" i="3"/>
  <c r="Y18" i="3"/>
  <c r="X18" i="3"/>
  <c r="Y19" i="3"/>
  <c r="X19" i="3"/>
  <c r="Y20" i="3"/>
  <c r="X20" i="3"/>
  <c r="Y21" i="3"/>
  <c r="X21" i="3"/>
  <c r="Y22" i="3"/>
  <c r="X22" i="3"/>
  <c r="Y23" i="3"/>
  <c r="X23" i="3"/>
  <c r="Y24" i="3"/>
  <c r="X24" i="3"/>
  <c r="AD25" i="3"/>
  <c r="AG25" i="3"/>
  <c r="AE17" i="3"/>
  <c r="AE18" i="3"/>
  <c r="AE19" i="3"/>
  <c r="AE20" i="3"/>
  <c r="AE21" i="3"/>
  <c r="AE22" i="3"/>
  <c r="AF25" i="3"/>
  <c r="AH25" i="3"/>
  <c r="AD17" i="3"/>
  <c r="AG17"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E12" i="3"/>
  <c r="E11" i="3"/>
  <c r="AO5" i="3"/>
  <c r="AO6" i="3"/>
  <c r="AO7" i="3"/>
  <c r="AO8" i="3"/>
  <c r="AO9" i="3"/>
  <c r="AO10" i="3"/>
  <c r="AO11" i="3"/>
  <c r="AO12" i="3"/>
  <c r="AO4" i="3"/>
  <c r="Q4" i="3"/>
  <c r="AG3" i="3"/>
  <c r="AG5" i="3"/>
  <c r="AI5" i="3"/>
  <c r="AG4" i="3"/>
  <c r="C17" i="3"/>
  <c r="C18" i="3"/>
  <c r="C20" i="3"/>
  <c r="AI4" i="3"/>
  <c r="AG6" i="3"/>
  <c r="AI6" i="3"/>
  <c r="AG7" i="3"/>
  <c r="AI7" i="3"/>
  <c r="AG8" i="3"/>
  <c r="AG9" i="3"/>
  <c r="AI9" i="3"/>
  <c r="AG10" i="3"/>
  <c r="AG11" i="3"/>
  <c r="AI11" i="3"/>
  <c r="AG12" i="3"/>
  <c r="AI12" i="3"/>
  <c r="P4" i="3"/>
  <c r="AB3" i="3"/>
  <c r="AB5" i="3"/>
  <c r="AD5" i="3"/>
  <c r="AB4" i="3"/>
  <c r="AD4" i="3"/>
  <c r="AB6" i="3"/>
  <c r="AB7" i="3"/>
  <c r="AD7" i="3"/>
  <c r="AB8" i="3"/>
  <c r="AD8" i="3"/>
  <c r="AB9" i="3"/>
  <c r="AD9" i="3"/>
  <c r="AB10" i="3"/>
  <c r="AD10" i="3"/>
  <c r="AB11" i="3"/>
  <c r="AB12" i="3"/>
  <c r="AD12" i="3"/>
  <c r="O4" i="3"/>
  <c r="W3" i="3"/>
  <c r="W5" i="3"/>
  <c r="Z18" i="3"/>
  <c r="Y5" i="3"/>
  <c r="W4" i="3"/>
  <c r="Z17" i="3"/>
  <c r="Y4" i="3"/>
  <c r="W6" i="3"/>
  <c r="Y6" i="3"/>
  <c r="W7" i="3"/>
  <c r="Y7" i="3"/>
  <c r="W8" i="3"/>
  <c r="Y8" i="3"/>
  <c r="W9" i="3"/>
  <c r="W10" i="3"/>
  <c r="Y10" i="3"/>
  <c r="W11" i="3"/>
  <c r="Y11" i="3"/>
  <c r="W12" i="3"/>
  <c r="Z94" i="17"/>
  <c r="AB94" i="17"/>
  <c r="Z95" i="17"/>
  <c r="AB95" i="17"/>
  <c r="Z96" i="17"/>
  <c r="AB96" i="17"/>
  <c r="Z97" i="17"/>
  <c r="AB97" i="17"/>
  <c r="Z98" i="17"/>
  <c r="AB98" i="17"/>
  <c r="Z99" i="17"/>
  <c r="AB99" i="17"/>
  <c r="Z100" i="17"/>
  <c r="AB100" i="17"/>
  <c r="Z101" i="17"/>
  <c r="AB101" i="17"/>
  <c r="Z102" i="17"/>
  <c r="AB102" i="17"/>
  <c r="Z103" i="17"/>
  <c r="AB103" i="17"/>
  <c r="Z104" i="17"/>
  <c r="AB104" i="17"/>
  <c r="Z105" i="17"/>
  <c r="AB105" i="17"/>
  <c r="Z106" i="17"/>
  <c r="AB106" i="17"/>
  <c r="Z107" i="17"/>
  <c r="AB107" i="17"/>
  <c r="Z108" i="17"/>
  <c r="AB108" i="17"/>
  <c r="Z109" i="17"/>
  <c r="AB109" i="17"/>
  <c r="Z110" i="17"/>
  <c r="AB110" i="17"/>
  <c r="Z111" i="17"/>
  <c r="AB111" i="17"/>
  <c r="Z112" i="17"/>
  <c r="AB112" i="17"/>
  <c r="Z113" i="17"/>
  <c r="AB113" i="17"/>
  <c r="Z114" i="17"/>
  <c r="AB114" i="17"/>
  <c r="Z115" i="17"/>
  <c r="AB115" i="17"/>
  <c r="Z116" i="17"/>
  <c r="AB116" i="17"/>
  <c r="Z117" i="17"/>
  <c r="AB117" i="17"/>
  <c r="Z118" i="17"/>
  <c r="AB118" i="17"/>
  <c r="Z119" i="17"/>
  <c r="AB119" i="17"/>
  <c r="Z120" i="17"/>
  <c r="AB120" i="17"/>
  <c r="Z121" i="17"/>
  <c r="AB121" i="17"/>
  <c r="Z122" i="17"/>
  <c r="AB122" i="17"/>
  <c r="Z123" i="17"/>
  <c r="AB123" i="17"/>
  <c r="Z124" i="17"/>
  <c r="AB124" i="17"/>
  <c r="Z125" i="17"/>
  <c r="AB125" i="17"/>
  <c r="Z126" i="17"/>
  <c r="AB126" i="17"/>
  <c r="Z127" i="17"/>
  <c r="AB127" i="17"/>
  <c r="Z128" i="17"/>
  <c r="AB128" i="17"/>
  <c r="Z129" i="17"/>
  <c r="AB129" i="17"/>
  <c r="Z130" i="17"/>
  <c r="AB130" i="17"/>
  <c r="Z131" i="17"/>
  <c r="AB131" i="17"/>
  <c r="Z132" i="17"/>
  <c r="AB132" i="17"/>
  <c r="Z133" i="17"/>
  <c r="AB133" i="17"/>
  <c r="Z134" i="17"/>
  <c r="AB134" i="17"/>
  <c r="Z135" i="17"/>
  <c r="AB135" i="17"/>
  <c r="Z135" i="3"/>
  <c r="AB135" i="3"/>
  <c r="Z94" i="3"/>
  <c r="AB94" i="3"/>
  <c r="Z95" i="3"/>
  <c r="AB95" i="3"/>
  <c r="Z96" i="3"/>
  <c r="AB96" i="3"/>
  <c r="Z97" i="3"/>
  <c r="AB97" i="3"/>
  <c r="Z98" i="3"/>
  <c r="AB98" i="3"/>
  <c r="Z99" i="3"/>
  <c r="AB99" i="3"/>
  <c r="Z100" i="3"/>
  <c r="AB100" i="3"/>
  <c r="Z101" i="3"/>
  <c r="AB101" i="3"/>
  <c r="Z102" i="3"/>
  <c r="AB102" i="3"/>
  <c r="Z103" i="3"/>
  <c r="AB103" i="3"/>
  <c r="Z104" i="3"/>
  <c r="AB104" i="3"/>
  <c r="Z105" i="3"/>
  <c r="AB105" i="3"/>
  <c r="Z106" i="3"/>
  <c r="AB106" i="3"/>
  <c r="Z107" i="3"/>
  <c r="AB107" i="3"/>
  <c r="Z108" i="3"/>
  <c r="AB108" i="3"/>
  <c r="Z109" i="3"/>
  <c r="AB109" i="3"/>
  <c r="Z110" i="3"/>
  <c r="AB110" i="3"/>
  <c r="Z111" i="3"/>
  <c r="AB111" i="3"/>
  <c r="Z112" i="3"/>
  <c r="AB112" i="3"/>
  <c r="Z113" i="3"/>
  <c r="AB113" i="3"/>
  <c r="Z114" i="3"/>
  <c r="AB114" i="3"/>
  <c r="Z115" i="3"/>
  <c r="AB115" i="3"/>
  <c r="Z116" i="3"/>
  <c r="AB116" i="3"/>
  <c r="Z117" i="3"/>
  <c r="AB117" i="3"/>
  <c r="Z118" i="3"/>
  <c r="AB118" i="3"/>
  <c r="Z119" i="3"/>
  <c r="AB119" i="3"/>
  <c r="Z120" i="3"/>
  <c r="AB120" i="3"/>
  <c r="Z121" i="3"/>
  <c r="AB121" i="3"/>
  <c r="Z122" i="3"/>
  <c r="AB122" i="3"/>
  <c r="Z123" i="3"/>
  <c r="AB123" i="3"/>
  <c r="Z124" i="3"/>
  <c r="AB124" i="3"/>
  <c r="Z125" i="3"/>
  <c r="AB125" i="3"/>
  <c r="Z126" i="3"/>
  <c r="AB126" i="3"/>
  <c r="Z127" i="3"/>
  <c r="AB127" i="3"/>
  <c r="Z128" i="3"/>
  <c r="AB128" i="3"/>
  <c r="Z129" i="3"/>
  <c r="AB129" i="3"/>
  <c r="Z130" i="3"/>
  <c r="AB130" i="3"/>
  <c r="Z131" i="3"/>
  <c r="AB131" i="3"/>
  <c r="Z132" i="3"/>
  <c r="AB132" i="3"/>
  <c r="Z133" i="3"/>
  <c r="AB133" i="3"/>
  <c r="Z134" i="3"/>
  <c r="AB134" i="3"/>
  <c r="K5" i="17"/>
  <c r="K6" i="17"/>
  <c r="K7" i="17"/>
  <c r="K8" i="17"/>
  <c r="K9" i="17"/>
  <c r="K10" i="17"/>
  <c r="K11" i="17"/>
  <c r="K12" i="17"/>
  <c r="D4" i="17"/>
  <c r="D5" i="17"/>
  <c r="D6" i="17"/>
  <c r="D7" i="17"/>
  <c r="D8" i="17"/>
  <c r="D9" i="17"/>
  <c r="D10" i="17"/>
  <c r="D11" i="17"/>
  <c r="D12" i="17"/>
  <c r="C4" i="17"/>
  <c r="C5" i="17"/>
  <c r="C6" i="17"/>
  <c r="L4" i="17"/>
  <c r="M4" i="17"/>
  <c r="N4" i="17"/>
  <c r="L5" i="17"/>
  <c r="M5" i="17"/>
  <c r="N5" i="17"/>
  <c r="L6" i="17"/>
  <c r="M6" i="17"/>
  <c r="N6" i="17"/>
  <c r="C7" i="17"/>
  <c r="L7" i="17"/>
  <c r="M7" i="17"/>
  <c r="N7" i="17"/>
  <c r="C8" i="17"/>
  <c r="L8" i="17"/>
  <c r="M8" i="17"/>
  <c r="N8" i="17"/>
  <c r="C9" i="17"/>
  <c r="L9" i="17"/>
  <c r="M9" i="17"/>
  <c r="N9" i="17"/>
  <c r="C10" i="17"/>
  <c r="L10" i="17"/>
  <c r="M10" i="17"/>
  <c r="N10" i="17"/>
  <c r="C11" i="17"/>
  <c r="L11" i="17"/>
  <c r="M11" i="17"/>
  <c r="N11" i="17"/>
  <c r="C12" i="17"/>
  <c r="L12" i="17"/>
  <c r="M12" i="17"/>
  <c r="N12" i="17"/>
  <c r="Z64" i="17"/>
  <c r="Z65" i="17"/>
  <c r="Z66" i="17"/>
  <c r="AB64" i="17"/>
  <c r="AB65"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Z166" i="17"/>
  <c r="Z167" i="17"/>
  <c r="Z168" i="17"/>
  <c r="Z169" i="17"/>
  <c r="AA166" i="17"/>
  <c r="AB166" i="17"/>
  <c r="AA167" i="17"/>
  <c r="AB167" i="17"/>
  <c r="AA168" i="17"/>
  <c r="AB168" i="17"/>
  <c r="AA169" i="17"/>
  <c r="AB169" i="17"/>
  <c r="Z170" i="17"/>
  <c r="AA170" i="17"/>
  <c r="AB170" i="17"/>
  <c r="Z171" i="17"/>
  <c r="AA171" i="17"/>
  <c r="AB171" i="17"/>
  <c r="Z172" i="17"/>
  <c r="AA172" i="17"/>
  <c r="AB172" i="17"/>
  <c r="Z173" i="17"/>
  <c r="AA173" i="17"/>
  <c r="AB173" i="17"/>
  <c r="Z174" i="17"/>
  <c r="AA174" i="17"/>
  <c r="AB174" i="17"/>
  <c r="Z175" i="17"/>
  <c r="AA175" i="17"/>
  <c r="AB175" i="17"/>
  <c r="Z176" i="17"/>
  <c r="AA176" i="17"/>
  <c r="AB176" i="17"/>
  <c r="Z177" i="17"/>
  <c r="AA177" i="17"/>
  <c r="AB177" i="17"/>
  <c r="Z178" i="17"/>
  <c r="AA178" i="17"/>
  <c r="AB178" i="17"/>
  <c r="Z179" i="17"/>
  <c r="AA179" i="17"/>
  <c r="AB179" i="17"/>
  <c r="Z180" i="17"/>
  <c r="AA180" i="17"/>
  <c r="AB180" i="17"/>
  <c r="Z181" i="17"/>
  <c r="AA181" i="17"/>
  <c r="AB181" i="17"/>
  <c r="Z182" i="17"/>
  <c r="AA182" i="17"/>
  <c r="AB182" i="17"/>
  <c r="Z183" i="17"/>
  <c r="AA183" i="17"/>
  <c r="AB183" i="17"/>
  <c r="Z184" i="17"/>
  <c r="AA184" i="17"/>
  <c r="AB184" i="17"/>
  <c r="Z185" i="17"/>
  <c r="AA185" i="17"/>
  <c r="AB185" i="17"/>
  <c r="Z186" i="17"/>
  <c r="AA186" i="17"/>
  <c r="AB186" i="17"/>
  <c r="Z187" i="17"/>
  <c r="AA187" i="17"/>
  <c r="AB187" i="17"/>
  <c r="Z188" i="17"/>
  <c r="AA188" i="17"/>
  <c r="AB188" i="17"/>
  <c r="Z189" i="17"/>
  <c r="AA189" i="17"/>
  <c r="AB189" i="17"/>
  <c r="Z190" i="17"/>
  <c r="AA190" i="17"/>
  <c r="AB190" i="17"/>
  <c r="Z191" i="17"/>
  <c r="AA191" i="17"/>
  <c r="AB191" i="17"/>
  <c r="Z192" i="17"/>
  <c r="AA192" i="17"/>
  <c r="AB192" i="17"/>
  <c r="Z193" i="17"/>
  <c r="AA193" i="17"/>
  <c r="AB193" i="17"/>
  <c r="Z194" i="17"/>
  <c r="AA194" i="17"/>
  <c r="AB194" i="17"/>
  <c r="Z195" i="17"/>
  <c r="AA195" i="17"/>
  <c r="AB195" i="17"/>
  <c r="Z196" i="17"/>
  <c r="AA196" i="17"/>
  <c r="AB196" i="17"/>
  <c r="Z197" i="17"/>
  <c r="AA197" i="17"/>
  <c r="AB197" i="17"/>
  <c r="Z198" i="17"/>
  <c r="AA198" i="17"/>
  <c r="AB198" i="17"/>
  <c r="Z199" i="17"/>
  <c r="AA199" i="17"/>
  <c r="AB199" i="17"/>
  <c r="Z200" i="17"/>
  <c r="AA200" i="17"/>
  <c r="AB200" i="17"/>
  <c r="Z201" i="17"/>
  <c r="AA201" i="17"/>
  <c r="AB201" i="17"/>
  <c r="Z202" i="17"/>
  <c r="AA202" i="17"/>
  <c r="AB202" i="17"/>
  <c r="Z203" i="17"/>
  <c r="AA203" i="17"/>
  <c r="AB203" i="17"/>
  <c r="Z204" i="17"/>
  <c r="AA204" i="17"/>
  <c r="AB204" i="17"/>
  <c r="Z205" i="17"/>
  <c r="AA205" i="17"/>
  <c r="AB205" i="17"/>
  <c r="Z206" i="17"/>
  <c r="AA206" i="17"/>
  <c r="AB206" i="17"/>
  <c r="Z207" i="17"/>
  <c r="AA207" i="17"/>
  <c r="AB207" i="17"/>
  <c r="T32" i="6"/>
  <c r="T31" i="6"/>
  <c r="T30" i="6"/>
  <c r="T33" i="6"/>
  <c r="K5" i="3"/>
  <c r="K6" i="3"/>
  <c r="K7" i="3"/>
  <c r="K8" i="3"/>
  <c r="K9" i="3"/>
  <c r="K10" i="3"/>
  <c r="K11" i="3"/>
  <c r="K12" i="3"/>
  <c r="L4" i="3"/>
  <c r="M4" i="3"/>
  <c r="N4" i="3"/>
  <c r="L5" i="3"/>
  <c r="M5" i="3"/>
  <c r="N5" i="3"/>
  <c r="L6" i="3"/>
  <c r="M6" i="3"/>
  <c r="N6" i="3"/>
  <c r="L7" i="3"/>
  <c r="M7" i="3"/>
  <c r="N7" i="3"/>
  <c r="L8" i="3"/>
  <c r="M8" i="3"/>
  <c r="N8" i="3"/>
  <c r="L9" i="3"/>
  <c r="M9" i="3"/>
  <c r="N9" i="3"/>
  <c r="L10" i="3"/>
  <c r="M10" i="3"/>
  <c r="N10" i="3"/>
  <c r="L11" i="3"/>
  <c r="M11" i="3"/>
  <c r="N11" i="3"/>
  <c r="L12" i="3"/>
  <c r="M12" i="3"/>
  <c r="N12" i="3"/>
  <c r="Z64" i="3"/>
  <c r="Z65" i="3"/>
  <c r="Z66" i="3"/>
  <c r="AB64" i="3"/>
  <c r="AB65"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Z166" i="3"/>
  <c r="Z167" i="3"/>
  <c r="Z168" i="3"/>
  <c r="Z169" i="3"/>
  <c r="AA166" i="3"/>
  <c r="AB166" i="3"/>
  <c r="AA167" i="3"/>
  <c r="AB167" i="3"/>
  <c r="AA168" i="3"/>
  <c r="AB168" i="3"/>
  <c r="AA169" i="3"/>
  <c r="AB169" i="3"/>
  <c r="Z170" i="3"/>
  <c r="AA170" i="3"/>
  <c r="AB170" i="3"/>
  <c r="Z171" i="3"/>
  <c r="AA171" i="3"/>
  <c r="AB171" i="3"/>
  <c r="Z172" i="3"/>
  <c r="AA172" i="3"/>
  <c r="AB172" i="3"/>
  <c r="Z173" i="3"/>
  <c r="AA173" i="3"/>
  <c r="AB173" i="3"/>
  <c r="Z174" i="3"/>
  <c r="AA174" i="3"/>
  <c r="AB174" i="3"/>
  <c r="Z175" i="3"/>
  <c r="AA175" i="3"/>
  <c r="AB175" i="3"/>
  <c r="Z176" i="3"/>
  <c r="AA176" i="3"/>
  <c r="AB176" i="3"/>
  <c r="Z177" i="3"/>
  <c r="AA177" i="3"/>
  <c r="AB177" i="3"/>
  <c r="Z178" i="3"/>
  <c r="AA178" i="3"/>
  <c r="AB178" i="3"/>
  <c r="Z179" i="3"/>
  <c r="AA179" i="3"/>
  <c r="AB179" i="3"/>
  <c r="Z180" i="3"/>
  <c r="AA180" i="3"/>
  <c r="AB180" i="3"/>
  <c r="Z181" i="3"/>
  <c r="AA181" i="3"/>
  <c r="AB181" i="3"/>
  <c r="Z182" i="3"/>
  <c r="AA182" i="3"/>
  <c r="AB182" i="3"/>
  <c r="Z183" i="3"/>
  <c r="AA183" i="3"/>
  <c r="AB183" i="3"/>
  <c r="Z184" i="3"/>
  <c r="AA184" i="3"/>
  <c r="AB184" i="3"/>
  <c r="Z185" i="3"/>
  <c r="AA185" i="3"/>
  <c r="AB185" i="3"/>
  <c r="Z186" i="3"/>
  <c r="AA186" i="3"/>
  <c r="AB186" i="3"/>
  <c r="Z187" i="3"/>
  <c r="AA187" i="3"/>
  <c r="AB187" i="3"/>
  <c r="Z188" i="3"/>
  <c r="AA188" i="3"/>
  <c r="AB188" i="3"/>
  <c r="Z189" i="3"/>
  <c r="AA189" i="3"/>
  <c r="AB189" i="3"/>
  <c r="Z190" i="3"/>
  <c r="AA190" i="3"/>
  <c r="AB190" i="3"/>
  <c r="Z191" i="3"/>
  <c r="AA191" i="3"/>
  <c r="AB191" i="3"/>
  <c r="Z192" i="3"/>
  <c r="AA192" i="3"/>
  <c r="AB192" i="3"/>
  <c r="Z193" i="3"/>
  <c r="AA193" i="3"/>
  <c r="AB193" i="3"/>
  <c r="Z194" i="3"/>
  <c r="AA194" i="3"/>
  <c r="AB194" i="3"/>
  <c r="Z195" i="3"/>
  <c r="AA195" i="3"/>
  <c r="AB195" i="3"/>
  <c r="Z196" i="3"/>
  <c r="AA196" i="3"/>
  <c r="AB196" i="3"/>
  <c r="Z197" i="3"/>
  <c r="AA197" i="3"/>
  <c r="AB197" i="3"/>
  <c r="Z198" i="3"/>
  <c r="AA198" i="3"/>
  <c r="AB198" i="3"/>
  <c r="Z199" i="3"/>
  <c r="AA199" i="3"/>
  <c r="AB199" i="3"/>
  <c r="Z200" i="3"/>
  <c r="AA200" i="3"/>
  <c r="AB200" i="3"/>
  <c r="Z201" i="3"/>
  <c r="AA201" i="3"/>
  <c r="AB201" i="3"/>
  <c r="Z202" i="3"/>
  <c r="AA202" i="3"/>
  <c r="AB202" i="3"/>
  <c r="Z203" i="3"/>
  <c r="AA203" i="3"/>
  <c r="AB203" i="3"/>
  <c r="Z204" i="3"/>
  <c r="AA204" i="3"/>
  <c r="AB204" i="3"/>
  <c r="Z205" i="3"/>
  <c r="AA205" i="3"/>
  <c r="AB205" i="3"/>
  <c r="Z206" i="3"/>
  <c r="AA206" i="3"/>
  <c r="AB206" i="3"/>
  <c r="Z207" i="3"/>
  <c r="AA207" i="3"/>
  <c r="AB207" i="3"/>
  <c r="T19" i="6"/>
  <c r="T18" i="6"/>
  <c r="T17" i="6"/>
  <c r="T20" i="6"/>
  <c r="AK33" i="6"/>
  <c r="AK32" i="6"/>
  <c r="AK31" i="6"/>
  <c r="AK30" i="6"/>
  <c r="AK20" i="6"/>
  <c r="AK19" i="6"/>
  <c r="AK18" i="6"/>
  <c r="AK17" i="6"/>
  <c r="BW40" i="3"/>
  <c r="BR45" i="3"/>
  <c r="BR41" i="3"/>
  <c r="BS40" i="3"/>
  <c r="BT40" i="3"/>
  <c r="BU40" i="3"/>
  <c r="BV40" i="3"/>
  <c r="BR42" i="3"/>
  <c r="BR43" i="3"/>
  <c r="BR44" i="3"/>
  <c r="AI15" i="30"/>
  <c r="AI15" i="29"/>
  <c r="AI15" i="28"/>
  <c r="AP12" i="3"/>
  <c r="AP4" i="3"/>
  <c r="AP5" i="3"/>
  <c r="AP6" i="3"/>
  <c r="AP7" i="3"/>
  <c r="AP8" i="3"/>
  <c r="AP9" i="3"/>
  <c r="AP10" i="3"/>
  <c r="AP11" i="3"/>
  <c r="AM12" i="3"/>
  <c r="AM11" i="3"/>
  <c r="AM10" i="3"/>
  <c r="AM9" i="3"/>
  <c r="AM8" i="3"/>
  <c r="AM7" i="3"/>
  <c r="AM6" i="3"/>
  <c r="AM5" i="3"/>
  <c r="AM4" i="3"/>
  <c r="AG7" i="6"/>
  <c r="E65" i="9"/>
  <c r="Q17" i="27"/>
  <c r="AD17" i="27"/>
  <c r="Q24" i="27"/>
  <c r="AD24" i="27"/>
  <c r="Y18" i="30"/>
  <c r="Y19" i="30"/>
  <c r="Y20" i="30"/>
  <c r="Y17" i="30"/>
  <c r="Y18" i="29"/>
  <c r="Y19" i="29"/>
  <c r="Y20" i="29"/>
  <c r="Y17" i="29"/>
  <c r="Y17" i="28"/>
  <c r="Y18" i="28"/>
  <c r="Y19" i="28"/>
  <c r="Y20" i="28"/>
  <c r="X29" i="27"/>
  <c r="X28" i="27"/>
  <c r="X27" i="27"/>
  <c r="X26" i="27"/>
  <c r="AF25" i="27"/>
  <c r="AE25" i="27"/>
  <c r="AA25" i="27"/>
  <c r="Z25" i="27"/>
  <c r="W25" i="27"/>
  <c r="V25" i="27"/>
  <c r="U25" i="27"/>
  <c r="T25" i="27"/>
  <c r="S25" i="27"/>
  <c r="X22" i="27"/>
  <c r="X21" i="27"/>
  <c r="X20" i="27"/>
  <c r="X19" i="27"/>
  <c r="AF18" i="27"/>
  <c r="AE18" i="27"/>
  <c r="AA18" i="27"/>
  <c r="Z18" i="27"/>
  <c r="W18" i="27"/>
  <c r="V18" i="27"/>
  <c r="U18" i="27"/>
  <c r="T18" i="27"/>
  <c r="S18" i="27"/>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Q72" i="30"/>
  <c r="Q71" i="30"/>
  <c r="Q70" i="30"/>
  <c r="Q69" i="30"/>
  <c r="Q68" i="30"/>
  <c r="F12" i="30"/>
  <c r="BR60" i="30"/>
  <c r="F11" i="30"/>
  <c r="BZ51" i="30"/>
  <c r="F10" i="30"/>
  <c r="BY51" i="30"/>
  <c r="F9" i="30"/>
  <c r="BX51" i="30"/>
  <c r="F8" i="30"/>
  <c r="BW51" i="30"/>
  <c r="C25" i="30"/>
  <c r="BR59" i="30"/>
  <c r="CA51" i="30"/>
  <c r="C24" i="30"/>
  <c r="BR58" i="30"/>
  <c r="C23" i="30"/>
  <c r="BR57" i="30"/>
  <c r="C22" i="30"/>
  <c r="BR56" i="30"/>
  <c r="C21" i="30"/>
  <c r="BW29" i="30"/>
  <c r="BX29" i="30"/>
  <c r="BY29" i="30"/>
  <c r="BZ29" i="30"/>
  <c r="CA29" i="30"/>
  <c r="BR34" i="30"/>
  <c r="BR35" i="30"/>
  <c r="BR36" i="30"/>
  <c r="BR37" i="30"/>
  <c r="BR38" i="30"/>
  <c r="BR49" i="30"/>
  <c r="BR48" i="30"/>
  <c r="BR47" i="30"/>
  <c r="BR46" i="30"/>
  <c r="BR45" i="30"/>
  <c r="BW40" i="30"/>
  <c r="BX40" i="30"/>
  <c r="BY40" i="30"/>
  <c r="BZ40" i="30"/>
  <c r="CA40" i="30"/>
  <c r="C38" i="30"/>
  <c r="C37" i="30"/>
  <c r="C36" i="30"/>
  <c r="C35" i="30"/>
  <c r="C34"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Q72" i="29"/>
  <c r="Q71" i="29"/>
  <c r="Q70" i="29"/>
  <c r="Q69" i="29"/>
  <c r="Q68" i="29"/>
  <c r="F12" i="29"/>
  <c r="BR60" i="29"/>
  <c r="F11" i="29"/>
  <c r="BZ51" i="29"/>
  <c r="F10" i="29"/>
  <c r="BY51" i="29"/>
  <c r="F9" i="29"/>
  <c r="BX51" i="29"/>
  <c r="F8" i="29"/>
  <c r="BW51" i="29"/>
  <c r="C25" i="29"/>
  <c r="BR59" i="29"/>
  <c r="CA51" i="29"/>
  <c r="C24" i="29"/>
  <c r="BR58" i="29"/>
  <c r="C23" i="29"/>
  <c r="BR57" i="29"/>
  <c r="C22" i="29"/>
  <c r="BR56" i="29"/>
  <c r="C21" i="29"/>
  <c r="BW29" i="29"/>
  <c r="BX29" i="29"/>
  <c r="BY29" i="29"/>
  <c r="BZ29" i="29"/>
  <c r="CA29" i="29"/>
  <c r="BR34" i="29"/>
  <c r="BR35" i="29"/>
  <c r="BR36" i="29"/>
  <c r="BR37" i="29"/>
  <c r="BR38" i="29"/>
  <c r="BR49" i="29"/>
  <c r="BR48" i="29"/>
  <c r="BR47" i="29"/>
  <c r="BR46" i="29"/>
  <c r="BR45" i="29"/>
  <c r="CA40" i="29"/>
  <c r="BZ40" i="29"/>
  <c r="BY40" i="29"/>
  <c r="BX40" i="29"/>
  <c r="BW40" i="29"/>
  <c r="C38" i="29"/>
  <c r="C37" i="29"/>
  <c r="C36" i="29"/>
  <c r="C35" i="29"/>
  <c r="C34" i="29"/>
  <c r="V89" i="28"/>
  <c r="W89" i="28"/>
  <c r="X89" i="28"/>
  <c r="Y89" i="28"/>
  <c r="V90" i="28"/>
  <c r="W90" i="28"/>
  <c r="X90" i="28"/>
  <c r="Y90" i="28"/>
  <c r="V91" i="28"/>
  <c r="W91" i="28"/>
  <c r="X91" i="28"/>
  <c r="Y91" i="28"/>
  <c r="V92" i="28"/>
  <c r="W92" i="28"/>
  <c r="X92" i="28"/>
  <c r="Y92" i="28"/>
  <c r="V93" i="28"/>
  <c r="W93" i="28"/>
  <c r="X93" i="28"/>
  <c r="Y93" i="28"/>
  <c r="V94" i="28"/>
  <c r="W94" i="28"/>
  <c r="X94" i="28"/>
  <c r="Y94" i="28"/>
  <c r="V95" i="28"/>
  <c r="W95" i="28"/>
  <c r="X95" i="28"/>
  <c r="Y95" i="28"/>
  <c r="V96" i="28"/>
  <c r="W96" i="28"/>
  <c r="X96" i="28"/>
  <c r="Y96" i="28"/>
  <c r="M17" i="27"/>
  <c r="M18" i="27"/>
  <c r="M19" i="27"/>
  <c r="M20" i="27"/>
  <c r="M21" i="27"/>
  <c r="M22" i="27"/>
  <c r="M23" i="27"/>
  <c r="M24" i="27"/>
  <c r="M25" i="27"/>
  <c r="M26" i="27"/>
  <c r="M27" i="27"/>
  <c r="M28" i="27"/>
  <c r="H40" i="27"/>
  <c r="Q68" i="28"/>
  <c r="Q69" i="28"/>
  <c r="E64" i="9"/>
  <c r="Q10" i="27"/>
  <c r="AD10" i="27"/>
  <c r="X13" i="27"/>
  <c r="X14" i="27"/>
  <c r="X15" i="27"/>
  <c r="X12" i="27"/>
  <c r="AF11" i="27"/>
  <c r="AE11" i="27"/>
  <c r="AA11" i="27"/>
  <c r="Z11" i="27"/>
  <c r="W11" i="27"/>
  <c r="V11" i="27"/>
  <c r="U11" i="27"/>
  <c r="T11" i="27"/>
  <c r="S11" i="27"/>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AA96" i="28"/>
  <c r="AA168" i="28"/>
  <c r="AB168" i="28"/>
  <c r="Z168" i="28"/>
  <c r="AA95" i="28"/>
  <c r="AA167" i="28"/>
  <c r="AB167" i="28"/>
  <c r="Z167" i="28"/>
  <c r="AA94" i="28"/>
  <c r="AA166" i="28"/>
  <c r="AB166" i="28"/>
  <c r="Z166" i="28"/>
  <c r="AA93" i="28"/>
  <c r="AA165" i="28"/>
  <c r="AB165" i="28"/>
  <c r="Z165" i="28"/>
  <c r="AA92" i="28"/>
  <c r="AA164" i="28"/>
  <c r="AB164" i="28"/>
  <c r="Z164" i="28"/>
  <c r="AA91" i="28"/>
  <c r="AA163" i="28"/>
  <c r="AB163" i="28"/>
  <c r="Z163" i="28"/>
  <c r="AA90" i="28"/>
  <c r="AA162" i="28"/>
  <c r="AB162" i="28"/>
  <c r="Z162" i="28"/>
  <c r="AA89" i="28"/>
  <c r="AA161" i="28"/>
  <c r="AB161" i="28"/>
  <c r="Z161"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Q72" i="28"/>
  <c r="Q71" i="28"/>
  <c r="Q70" i="28"/>
  <c r="F12" i="28"/>
  <c r="BR60" i="28"/>
  <c r="F11" i="28"/>
  <c r="BZ51" i="28"/>
  <c r="F10" i="28"/>
  <c r="BY51" i="28"/>
  <c r="F9" i="28"/>
  <c r="BX51" i="28"/>
  <c r="F8" i="28"/>
  <c r="BW51" i="28"/>
  <c r="C25" i="28"/>
  <c r="BR59" i="28"/>
  <c r="CA51" i="28"/>
  <c r="C24" i="28"/>
  <c r="BR58" i="28"/>
  <c r="C23" i="28"/>
  <c r="BR57" i="28"/>
  <c r="C22" i="28"/>
  <c r="BR56" i="28"/>
  <c r="C21" i="28"/>
  <c r="BW29" i="28"/>
  <c r="BX29" i="28"/>
  <c r="BR34" i="28"/>
  <c r="BR35" i="28"/>
  <c r="BR37" i="28"/>
  <c r="CA29" i="28"/>
  <c r="BR38" i="28"/>
  <c r="BZ29" i="28"/>
  <c r="BR36" i="28"/>
  <c r="BY29" i="28"/>
  <c r="BR49" i="28"/>
  <c r="BR48" i="28"/>
  <c r="BR47" i="28"/>
  <c r="BR46" i="28"/>
  <c r="BR45" i="28"/>
  <c r="BW40" i="28"/>
  <c r="BX40" i="28"/>
  <c r="CA40" i="28"/>
  <c r="BZ40" i="28"/>
  <c r="BY40" i="28"/>
  <c r="C38" i="28"/>
  <c r="C37" i="28"/>
  <c r="C36" i="28"/>
  <c r="C35" i="28"/>
  <c r="C34" i="28"/>
  <c r="I40" i="27"/>
  <c r="I38" i="27"/>
  <c r="M16" i="27"/>
  <c r="M15" i="27"/>
  <c r="M14" i="27"/>
  <c r="M13" i="27"/>
  <c r="M12" i="27"/>
  <c r="E12" i="27"/>
  <c r="L11" i="27"/>
  <c r="I11" i="27"/>
  <c r="E11" i="27"/>
  <c r="D11" i="27"/>
  <c r="C11" i="27"/>
  <c r="C10" i="27"/>
  <c r="O10" i="27"/>
  <c r="L7" i="27"/>
  <c r="I5" i="27"/>
  <c r="I4" i="27"/>
  <c r="I3" i="27"/>
  <c r="I2" i="27"/>
  <c r="E16" i="26"/>
  <c r="E15" i="26"/>
  <c r="C10" i="26"/>
  <c r="E13" i="26"/>
  <c r="E12" i="26"/>
  <c r="G21" i="26"/>
  <c r="F21" i="26"/>
  <c r="G18" i="26"/>
  <c r="N16" i="26"/>
  <c r="K16" i="26"/>
  <c r="F16" i="26"/>
  <c r="N15" i="26"/>
  <c r="K15" i="26"/>
  <c r="F15" i="26"/>
  <c r="C14" i="26"/>
  <c r="N13" i="26"/>
  <c r="K13" i="26"/>
  <c r="N12" i="26"/>
  <c r="K12" i="26"/>
  <c r="M11" i="26"/>
  <c r="J11" i="26"/>
  <c r="G11" i="26"/>
  <c r="E11" i="26"/>
  <c r="D11" i="26"/>
  <c r="C11" i="26"/>
  <c r="P9" i="26"/>
  <c r="G7" i="26"/>
  <c r="E5" i="26"/>
  <c r="E4" i="26"/>
  <c r="E3" i="26"/>
  <c r="E2" i="26"/>
  <c r="E6" i="22"/>
  <c r="G26" i="22"/>
  <c r="G27" i="22"/>
  <c r="G28" i="22"/>
  <c r="G29" i="22"/>
  <c r="G30" i="22"/>
  <c r="G31" i="22"/>
  <c r="G33" i="22"/>
  <c r="G34" i="22"/>
  <c r="G6" i="22"/>
  <c r="G7"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6" i="22"/>
  <c r="AK24" i="6"/>
  <c r="AK14" i="6"/>
  <c r="AK26" i="6"/>
  <c r="AK15" i="6"/>
  <c r="AK16" i="6"/>
  <c r="AK12" i="6"/>
  <c r="AK13" i="6"/>
  <c r="E12" i="21"/>
  <c r="B13" i="6"/>
  <c r="B12" i="6"/>
  <c r="E98" i="9"/>
  <c r="E99" i="9"/>
  <c r="E100" i="9"/>
  <c r="E101" i="9"/>
  <c r="S11" i="22"/>
  <c r="E72" i="9"/>
  <c r="AJ7" i="6"/>
  <c r="AJ24" i="6"/>
  <c r="AL24" i="6"/>
  <c r="AJ11" i="6"/>
  <c r="AK11" i="6"/>
  <c r="AL11" i="6"/>
  <c r="AK29" i="6"/>
  <c r="AK28" i="6"/>
  <c r="AK27" i="6"/>
  <c r="AK25" i="6"/>
  <c r="E16" i="9"/>
  <c r="AJ23" i="6"/>
  <c r="AJ10" i="6"/>
  <c r="E94" i="9"/>
  <c r="Q16" i="22"/>
  <c r="E93" i="9"/>
  <c r="Q15" i="22"/>
  <c r="E91" i="9"/>
  <c r="E92" i="9"/>
  <c r="Q22" i="22"/>
  <c r="E87" i="9"/>
  <c r="D17" i="14"/>
  <c r="C10" i="21"/>
  <c r="C11" i="21"/>
  <c r="B3" i="10"/>
  <c r="E40" i="9"/>
  <c r="M36" i="6"/>
  <c r="E41" i="9"/>
  <c r="Q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9" i="22"/>
  <c r="C27" i="22"/>
  <c r="Q13" i="22"/>
  <c r="E44" i="9"/>
  <c r="Q11" i="22"/>
  <c r="E43" i="9"/>
  <c r="Q9" i="22"/>
  <c r="E42" i="9"/>
  <c r="Q7" i="22"/>
  <c r="E45" i="9"/>
  <c r="S5" i="22"/>
  <c r="Q5" i="22"/>
  <c r="E31" i="9"/>
  <c r="L5" i="22"/>
  <c r="E34" i="9"/>
  <c r="I5" i="22"/>
  <c r="E17" i="9"/>
  <c r="H5" i="22"/>
  <c r="G5" i="22"/>
  <c r="F5" i="22"/>
  <c r="E33" i="9"/>
  <c r="E5" i="22"/>
  <c r="C5" i="22"/>
  <c r="O4" i="22"/>
  <c r="E32" i="9"/>
  <c r="E4" i="22"/>
  <c r="C4" i="22"/>
  <c r="E30" i="9"/>
  <c r="E2" i="22"/>
  <c r="G25" i="21"/>
  <c r="F25" i="21"/>
  <c r="G7" i="21"/>
  <c r="E5" i="21"/>
  <c r="E4" i="21"/>
  <c r="E3" i="21"/>
  <c r="E2" i="21"/>
  <c r="G22" i="21"/>
  <c r="M11" i="21"/>
  <c r="N16" i="21"/>
  <c r="N15" i="21"/>
  <c r="N14" i="21"/>
  <c r="N13" i="21"/>
  <c r="N12" i="21"/>
  <c r="P9" i="21"/>
  <c r="J11" i="21"/>
  <c r="K13" i="21"/>
  <c r="K14" i="21"/>
  <c r="K15" i="21"/>
  <c r="K16" i="21"/>
  <c r="G11" i="21"/>
  <c r="D11" i="21"/>
  <c r="E11" i="21"/>
  <c r="K12" i="21"/>
  <c r="E6" i="9"/>
  <c r="E11" i="6"/>
  <c r="E18" i="9"/>
  <c r="L7" i="6"/>
  <c r="T26" i="6"/>
  <c r="T27" i="6"/>
  <c r="T28" i="6"/>
  <c r="T29" i="6"/>
  <c r="M23" i="6"/>
  <c r="T25" i="6"/>
  <c r="W24" i="6"/>
  <c r="V24" i="6"/>
  <c r="S24" i="6"/>
  <c r="R24" i="6"/>
  <c r="Q24" i="6"/>
  <c r="P24" i="6"/>
  <c r="O24" i="6"/>
  <c r="M10" i="6"/>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E86" i="9"/>
  <c r="B17" i="14"/>
  <c r="E13" i="9"/>
  <c r="E74" i="9"/>
  <c r="E75" i="9"/>
  <c r="E12" i="9"/>
  <c r="E11" i="9"/>
  <c r="E8" i="9"/>
  <c r="E38" i="9"/>
  <c r="E77" i="9"/>
  <c r="E73" i="9"/>
  <c r="E79" i="9"/>
  <c r="E82" i="9"/>
  <c r="B15" i="14"/>
  <c r="B14" i="14"/>
  <c r="E81" i="9"/>
  <c r="B12" i="14"/>
  <c r="E84" i="9"/>
  <c r="B11" i="14"/>
  <c r="E83" i="9"/>
  <c r="B7" i="14"/>
  <c r="E103" i="9"/>
  <c r="E52" i="9"/>
  <c r="B4" i="14"/>
  <c r="E51" i="9"/>
  <c r="B1" i="14"/>
  <c r="E50" i="9"/>
  <c r="A1" i="13"/>
  <c r="D11" i="6"/>
  <c r="C11" i="6"/>
  <c r="E47" i="9"/>
  <c r="B4" i="10"/>
  <c r="G43" i="10"/>
  <c r="G19" i="10"/>
  <c r="G31" i="10"/>
  <c r="G7" i="10"/>
  <c r="B2" i="10"/>
  <c r="F43" i="10"/>
  <c r="E43" i="10"/>
  <c r="D43" i="10"/>
  <c r="C43" i="10"/>
  <c r="F31" i="10"/>
  <c r="E31" i="10"/>
  <c r="D31" i="10"/>
  <c r="C31" i="10"/>
  <c r="F19" i="10"/>
  <c r="E19" i="10"/>
  <c r="D19" i="10"/>
  <c r="C19" i="10"/>
  <c r="D7" i="10"/>
  <c r="E7" i="10"/>
  <c r="F7" i="10"/>
  <c r="C7" i="10"/>
  <c r="E76" i="9"/>
  <c r="L1" i="9"/>
  <c r="E35" i="9"/>
  <c r="E36" i="9"/>
  <c r="E37" i="9"/>
  <c r="F71" i="9"/>
  <c r="C5" i="9"/>
  <c r="F1" i="9"/>
  <c r="F5" i="9"/>
  <c r="T13" i="6"/>
  <c r="T14" i="6"/>
  <c r="T15" i="6"/>
  <c r="T16"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C40" i="6"/>
  <c r="C39" i="6"/>
  <c r="C37" i="6"/>
  <c r="C36" i="6"/>
  <c r="C35" i="6"/>
  <c r="C34" i="6"/>
  <c r="C32" i="6"/>
  <c r="D40" i="6"/>
  <c r="D39" i="6"/>
  <c r="D37" i="6"/>
  <c r="D36" i="6"/>
  <c r="D35" i="6"/>
  <c r="D34" i="6"/>
  <c r="D33" i="6"/>
  <c r="D32" i="6"/>
  <c r="C33" i="6"/>
  <c r="B40" i="6"/>
  <c r="B39" i="6"/>
  <c r="B37" i="6"/>
  <c r="B36" i="6"/>
  <c r="B35" i="6"/>
  <c r="B34" i="6"/>
  <c r="B33" i="6"/>
  <c r="B32" i="6"/>
  <c r="C20" i="6"/>
  <c r="C19" i="6"/>
  <c r="C18" i="6"/>
  <c r="C15" i="6"/>
  <c r="C16" i="6"/>
  <c r="C17" i="6"/>
  <c r="G11" i="22"/>
  <c r="D17" i="6"/>
  <c r="G10" i="22"/>
  <c r="D16" i="6"/>
  <c r="G9" i="22"/>
  <c r="D15" i="6"/>
  <c r="G14" i="22"/>
  <c r="D20" i="6"/>
  <c r="G13" i="22"/>
  <c r="D19" i="6"/>
  <c r="G12" i="22"/>
  <c r="D18" i="6"/>
  <c r="B20" i="6"/>
  <c r="B19" i="6"/>
  <c r="B18" i="6"/>
  <c r="B17" i="6"/>
  <c r="B16" i="6"/>
  <c r="B15" i="6"/>
  <c r="C23" i="6"/>
  <c r="C22" i="6"/>
  <c r="C21" i="6"/>
  <c r="G17" i="22"/>
  <c r="D23" i="6"/>
  <c r="G16" i="22"/>
  <c r="D22" i="6"/>
  <c r="G15" i="22"/>
  <c r="D21" i="6"/>
  <c r="B23" i="6"/>
  <c r="B22" i="6"/>
  <c r="B21" i="6"/>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G35" i="22"/>
  <c r="D41" i="6"/>
  <c r="C41" i="6"/>
  <c r="B41" i="6"/>
  <c r="G48" i="22"/>
  <c r="D54" i="6"/>
  <c r="C54" i="6"/>
  <c r="B54" i="6"/>
  <c r="B38" i="6"/>
  <c r="G32" i="22"/>
  <c r="D38" i="6"/>
  <c r="C38" i="6"/>
  <c r="B14" i="6"/>
  <c r="G8" i="22"/>
  <c r="D14" i="6"/>
  <c r="C14" i="6"/>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D63" i="25"/>
  <c r="D64" i="25"/>
  <c r="D65" i="25"/>
  <c r="D66" i="25"/>
  <c r="D67" i="25"/>
  <c r="D68" i="25"/>
  <c r="D69" i="25"/>
  <c r="D70" i="25"/>
  <c r="D71" i="25"/>
  <c r="D72" i="25"/>
  <c r="D73" i="25"/>
  <c r="D74" i="25"/>
  <c r="D75" i="25"/>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124" i="25"/>
  <c r="D125" i="25"/>
  <c r="D126" i="25"/>
  <c r="D127" i="25"/>
  <c r="D128" i="25"/>
  <c r="D129" i="25"/>
  <c r="D130" i="25"/>
  <c r="D131" i="25"/>
  <c r="D132" i="25"/>
  <c r="D133" i="25"/>
  <c r="D134" i="25"/>
  <c r="D135" i="25"/>
  <c r="D136" i="25"/>
  <c r="D137" i="25"/>
  <c r="D138" i="25"/>
  <c r="D139" i="25"/>
  <c r="D140" i="25"/>
  <c r="D141" i="25"/>
  <c r="D142" i="25"/>
  <c r="D143" i="25"/>
  <c r="D144" i="25"/>
  <c r="D145" i="25"/>
  <c r="D146" i="25"/>
  <c r="E7" i="25"/>
  <c r="E5" i="25" a="1"/>
  <c r="E5" i="25"/>
  <c r="E6" i="25"/>
  <c r="E8" i="25"/>
  <c r="E9" i="25" a="1"/>
  <c r="E9" i="25"/>
  <c r="F8" i="25"/>
  <c r="E3" i="25"/>
  <c r="R24" i="22" a="1"/>
  <c r="R24" i="22"/>
  <c r="F9" i="25"/>
  <c r="E4" i="25"/>
  <c r="S24" i="22" a="1"/>
  <c r="S24" i="22"/>
  <c r="F2" i="25" a="1"/>
  <c r="F2" i="25"/>
  <c r="G2" i="25"/>
  <c r="Q26" i="22"/>
  <c r="Q25" i="22"/>
  <c r="E4" i="3"/>
  <c r="D4" i="3"/>
  <c r="E5" i="3"/>
  <c r="D5" i="3"/>
  <c r="E6" i="3"/>
  <c r="D6" i="3"/>
  <c r="E7" i="3"/>
  <c r="D7" i="3"/>
  <c r="E8" i="3"/>
  <c r="D8" i="3"/>
  <c r="E9" i="3"/>
  <c r="D9" i="3"/>
  <c r="E10" i="3"/>
  <c r="D10" i="3"/>
  <c r="D11" i="3"/>
  <c r="D12" i="3"/>
  <c r="C4" i="3"/>
  <c r="C5" i="3"/>
  <c r="C6" i="3"/>
  <c r="C7" i="3"/>
  <c r="C8" i="3"/>
  <c r="C9" i="3"/>
  <c r="C10" i="3"/>
  <c r="C11" i="3"/>
  <c r="C12" i="3"/>
  <c r="Z21" i="3"/>
  <c r="AI8" i="3"/>
  <c r="Z23" i="3"/>
  <c r="AI10" i="3"/>
  <c r="AJ4" i="3"/>
  <c r="AJ5" i="3"/>
  <c r="AJ6" i="3"/>
  <c r="AJ7" i="3"/>
  <c r="AJ8" i="3"/>
  <c r="AJ9" i="3"/>
  <c r="AJ10" i="3"/>
  <c r="AJ11" i="3"/>
  <c r="AJ12" i="3"/>
  <c r="AK4" i="3"/>
  <c r="AK5" i="3"/>
  <c r="AK6" i="3"/>
  <c r="AK7" i="3"/>
  <c r="AK8" i="3"/>
  <c r="AK9" i="3"/>
  <c r="AH9" i="3"/>
  <c r="AK10" i="3"/>
  <c r="AH4" i="3"/>
  <c r="AH5" i="3"/>
  <c r="AH6" i="3"/>
  <c r="AH10" i="3"/>
  <c r="AK11" i="3"/>
  <c r="AH11" i="3"/>
  <c r="AK12" i="3"/>
  <c r="AH12" i="3"/>
  <c r="AH8" i="3"/>
  <c r="AH7" i="3"/>
  <c r="Z19" i="3"/>
  <c r="AD6" i="3"/>
  <c r="Z24" i="3"/>
  <c r="AD11" i="3"/>
  <c r="AE4" i="3"/>
  <c r="AE5" i="3"/>
  <c r="AE6" i="3"/>
  <c r="AE7" i="3"/>
  <c r="AE8" i="3"/>
  <c r="AE9" i="3"/>
  <c r="AE10" i="3"/>
  <c r="AE11" i="3"/>
  <c r="AE12" i="3"/>
  <c r="AF4" i="3"/>
  <c r="AF5" i="3"/>
  <c r="AF6" i="3"/>
  <c r="AF7" i="3"/>
  <c r="AF8" i="3"/>
  <c r="AF9" i="3"/>
  <c r="AF10" i="3"/>
  <c r="AF11" i="3"/>
  <c r="AF12" i="3"/>
  <c r="AC9" i="3"/>
  <c r="AC12" i="3"/>
  <c r="AC10" i="3"/>
  <c r="AC11" i="3"/>
  <c r="AC5" i="3"/>
  <c r="AC7" i="3"/>
  <c r="AC6" i="3"/>
  <c r="AC8" i="3"/>
  <c r="AC4" i="3"/>
  <c r="Z22" i="3"/>
  <c r="Y9" i="3"/>
  <c r="Z25" i="3"/>
  <c r="Y12" i="3"/>
  <c r="Z4" i="3"/>
  <c r="Z5" i="3"/>
  <c r="Z6" i="3"/>
  <c r="Z7" i="3"/>
  <c r="Z8" i="3"/>
  <c r="Z9" i="3"/>
  <c r="Z10" i="3"/>
  <c r="Z11" i="3"/>
  <c r="Z12" i="3"/>
  <c r="AA4" i="3"/>
  <c r="AA5" i="3"/>
  <c r="AA6" i="3"/>
  <c r="AA7" i="3"/>
  <c r="AA8" i="3"/>
  <c r="AA9" i="3"/>
  <c r="AA10" i="3"/>
  <c r="AA11" i="3"/>
  <c r="AA12" i="3"/>
  <c r="X12" i="3"/>
  <c r="X11" i="3"/>
  <c r="X5" i="3"/>
  <c r="X10" i="3"/>
  <c r="X9" i="3"/>
  <c r="X6" i="3"/>
  <c r="X7" i="3"/>
  <c r="X8" i="3"/>
  <c r="X4" i="3"/>
  <c r="Z20" i="3"/>
  <c r="C12" i="21" a="1"/>
  <c r="C12" i="21"/>
  <c r="C12" i="32" a="1"/>
  <c r="C12" i="32"/>
  <c r="C12" i="26" a="1"/>
  <c r="C12" i="26"/>
  <c r="C13" i="26"/>
  <c r="C15" i="26"/>
  <c r="C16" i="26"/>
  <c r="AA90" i="33"/>
  <c r="AE90" i="33"/>
  <c r="AA93" i="33"/>
  <c r="AE93" i="33"/>
  <c r="AA94" i="33"/>
  <c r="AE94" i="33"/>
  <c r="AA95" i="33"/>
  <c r="AE95" i="33"/>
  <c r="AA96" i="33"/>
  <c r="AE96" i="33"/>
  <c r="AA97" i="33"/>
  <c r="AE97" i="33"/>
  <c r="AA98" i="33"/>
  <c r="AE98" i="33"/>
  <c r="AA99" i="33"/>
  <c r="AE99" i="33"/>
  <c r="AF90" i="33"/>
  <c r="AF93" i="33"/>
  <c r="AF94" i="33"/>
  <c r="AF95" i="33"/>
  <c r="AF96" i="33"/>
  <c r="AF97" i="33"/>
  <c r="AF98" i="33"/>
  <c r="AF99" i="33"/>
  <c r="Z90" i="33"/>
  <c r="AB90" i="33"/>
  <c r="Z93" i="33"/>
  <c r="AB93" i="33"/>
  <c r="Z162" i="33"/>
  <c r="AA162" i="33"/>
  <c r="AB162" i="33"/>
  <c r="Z165" i="33"/>
  <c r="AA165" i="33"/>
  <c r="AB165" i="33"/>
  <c r="Z166" i="33"/>
  <c r="AA166" i="33"/>
  <c r="AB166" i="33"/>
  <c r="Z167" i="33"/>
  <c r="AA167" i="33"/>
  <c r="AB167" i="33"/>
  <c r="Z168" i="33"/>
  <c r="AA168" i="33"/>
  <c r="AB168" i="33"/>
  <c r="Z169" i="33"/>
  <c r="AA169" i="33"/>
  <c r="AB169" i="33"/>
  <c r="Z170" i="33"/>
  <c r="AA170" i="33"/>
  <c r="AB170" i="33"/>
  <c r="Z171" i="33"/>
  <c r="AA171" i="33"/>
  <c r="AB171" i="33"/>
  <c r="C32" i="34"/>
  <c r="F6" i="34"/>
  <c r="C19" i="34"/>
  <c r="BU51" i="34"/>
  <c r="BR54" i="34"/>
  <c r="BU40" i="34"/>
  <c r="BU29" i="34"/>
  <c r="BR32" i="34"/>
  <c r="BR43" i="34"/>
  <c r="F7" i="34"/>
  <c r="BV51" i="34"/>
  <c r="BR55" i="34"/>
  <c r="C20" i="34"/>
  <c r="BV40" i="34"/>
  <c r="BV29" i="34"/>
  <c r="BR33" i="34"/>
  <c r="BR44" i="34"/>
  <c r="C33" i="34"/>
  <c r="C12" i="27" a="1"/>
  <c r="C12" i="27"/>
  <c r="L12" i="35"/>
  <c r="R13" i="22" a="1"/>
  <c r="R13" i="22"/>
  <c r="D12" i="27"/>
  <c r="C12" i="36" a="1"/>
  <c r="C12" i="36"/>
  <c r="D12" i="26"/>
  <c r="D13" i="26"/>
  <c r="D15" i="26"/>
  <c r="D16" i="26"/>
  <c r="I18" i="26"/>
  <c r="R18" i="22"/>
  <c r="D12" i="36"/>
  <c r="D12" i="21"/>
  <c r="D12" i="32"/>
  <c r="W36" i="6"/>
  <c r="K4" i="17"/>
  <c r="K13" i="17"/>
  <c r="N33" i="6"/>
  <c r="I12" i="36"/>
  <c r="N32" i="6"/>
  <c r="I13" i="36"/>
  <c r="N31" i="6"/>
  <c r="I14" i="36"/>
  <c r="N30" i="6"/>
  <c r="I15" i="36"/>
  <c r="N29" i="6"/>
  <c r="I16" i="36"/>
  <c r="AE41" i="27"/>
  <c r="K12" i="27"/>
  <c r="AE36" i="27"/>
  <c r="K13" i="27"/>
  <c r="AE29" i="27"/>
  <c r="K14" i="27"/>
  <c r="N28" i="6"/>
  <c r="AE22" i="27"/>
  <c r="K15" i="27"/>
  <c r="N26" i="6"/>
  <c r="AE15" i="27"/>
  <c r="K16" i="27"/>
  <c r="AE34" i="27"/>
  <c r="I17" i="27"/>
  <c r="AE27" i="27"/>
  <c r="I18" i="27"/>
  <c r="N27" i="6"/>
  <c r="AE20" i="27"/>
  <c r="I19" i="27"/>
  <c r="N25" i="6"/>
  <c r="AE13" i="27"/>
  <c r="I20" i="27"/>
  <c r="I25" i="27"/>
  <c r="K25" i="27"/>
  <c r="BS25" i="35"/>
  <c r="I26" i="27"/>
  <c r="K26" i="27"/>
  <c r="BS26" i="35"/>
  <c r="BQ26" i="35"/>
  <c r="BP26" i="35"/>
  <c r="I27" i="27"/>
  <c r="K27" i="27"/>
  <c r="BS27" i="35"/>
  <c r="BQ27" i="35"/>
  <c r="BP27" i="35"/>
  <c r="I28" i="27"/>
  <c r="K28" i="27"/>
  <c r="BS28" i="35"/>
  <c r="BQ28" i="35"/>
  <c r="BP28" i="35"/>
  <c r="K29" i="27"/>
  <c r="K30" i="27"/>
  <c r="K31" i="27"/>
  <c r="K32" i="27"/>
  <c r="K33" i="27"/>
  <c r="K34" i="27"/>
  <c r="K35" i="27"/>
  <c r="K36" i="27"/>
  <c r="BX25" i="35"/>
  <c r="BV25" i="35"/>
  <c r="BU25" i="35"/>
  <c r="BX26" i="35"/>
  <c r="BV26" i="35"/>
  <c r="BU26" i="35"/>
  <c r="BX27" i="35"/>
  <c r="BV27" i="35"/>
  <c r="BU27" i="35"/>
  <c r="BX28" i="35"/>
  <c r="CH25" i="35"/>
  <c r="CF25" i="35"/>
  <c r="CE25" i="35"/>
  <c r="CH26" i="35"/>
  <c r="CF26" i="35"/>
  <c r="CE26" i="35"/>
  <c r="CH27" i="35"/>
  <c r="CH28" i="35"/>
  <c r="K4" i="3"/>
  <c r="K13" i="3"/>
  <c r="N20" i="6"/>
  <c r="AE40" i="27"/>
  <c r="I12" i="27"/>
  <c r="N18" i="6"/>
  <c r="AE33" i="27"/>
  <c r="I13" i="27"/>
  <c r="N16" i="6"/>
  <c r="AE26" i="27"/>
  <c r="I14" i="27"/>
  <c r="N14" i="6"/>
  <c r="AE19" i="27"/>
  <c r="I15" i="27"/>
  <c r="N12" i="6"/>
  <c r="AE12" i="27"/>
  <c r="I16" i="27"/>
  <c r="I21" i="27"/>
  <c r="I22" i="27"/>
  <c r="I23" i="27"/>
  <c r="I24" i="27"/>
  <c r="N19" i="6"/>
  <c r="AE35" i="27"/>
  <c r="K17" i="27"/>
  <c r="N17" i="6"/>
  <c r="AE28" i="27"/>
  <c r="K18" i="27"/>
  <c r="N15" i="6"/>
  <c r="AE21" i="27"/>
  <c r="K19" i="27"/>
  <c r="N13" i="6"/>
  <c r="AE14" i="27"/>
  <c r="K20" i="27"/>
  <c r="K21" i="27"/>
  <c r="K22" i="27"/>
  <c r="K23" i="27"/>
  <c r="K24" i="27"/>
  <c r="C28" i="27" a="1"/>
  <c r="C28" i="27"/>
  <c r="D28" i="27" a="1"/>
  <c r="D28" i="27"/>
  <c r="CF28" i="35"/>
  <c r="CE28" i="35"/>
  <c r="CR25" i="35"/>
  <c r="CP25" i="35"/>
  <c r="CO25" i="35"/>
  <c r="CR26" i="35"/>
  <c r="C26" i="27" a="1"/>
  <c r="C26" i="27"/>
  <c r="D26" i="27" a="1"/>
  <c r="D26" i="27"/>
  <c r="CP26" i="35"/>
  <c r="CO26" i="35"/>
  <c r="CR27" i="35"/>
  <c r="CR28" i="35"/>
  <c r="CP28" i="35"/>
  <c r="CO28" i="35"/>
  <c r="BN25" i="35"/>
  <c r="BL25" i="35"/>
  <c r="BK25" i="35"/>
  <c r="BN26" i="35"/>
  <c r="BL26" i="35"/>
  <c r="BK26" i="35"/>
  <c r="BN27" i="35"/>
  <c r="C27" i="27" a="1"/>
  <c r="C27" i="27"/>
  <c r="D27" i="27" a="1"/>
  <c r="D27" i="27"/>
  <c r="BL27" i="35"/>
  <c r="BK27" i="35"/>
  <c r="BN28" i="35"/>
  <c r="BI25" i="35"/>
  <c r="BG25" i="35"/>
  <c r="BF25" i="35"/>
  <c r="BI26" i="35"/>
  <c r="BI27" i="35"/>
  <c r="BG27" i="35"/>
  <c r="BF27" i="35"/>
  <c r="BI28" i="35"/>
  <c r="BG28" i="35"/>
  <c r="BF28" i="35"/>
  <c r="AY25" i="35"/>
  <c r="AW25" i="35"/>
  <c r="AV25" i="35"/>
  <c r="AY26" i="35"/>
  <c r="AW26" i="35"/>
  <c r="AV26" i="35"/>
  <c r="AY27" i="35"/>
  <c r="AW27" i="35"/>
  <c r="AV27" i="35"/>
  <c r="AY28" i="35"/>
  <c r="AW28" i="35"/>
  <c r="AV28" i="35"/>
  <c r="AT25" i="35"/>
  <c r="AR25" i="35"/>
  <c r="AQ25" i="35"/>
  <c r="AT26" i="35"/>
  <c r="AR26" i="35"/>
  <c r="AQ26" i="35"/>
  <c r="AT27" i="35"/>
  <c r="AR27" i="35"/>
  <c r="AQ27" i="35"/>
  <c r="AT28" i="35"/>
  <c r="AR28" i="35"/>
  <c r="AQ28" i="35"/>
  <c r="AO25" i="35"/>
  <c r="AM25" i="35"/>
  <c r="AL25" i="35"/>
  <c r="AO26" i="35"/>
  <c r="AM26" i="35"/>
  <c r="AL26" i="35"/>
  <c r="AO27" i="35"/>
  <c r="AM27" i="35"/>
  <c r="AL27" i="35"/>
  <c r="AO28" i="35"/>
  <c r="AM28" i="35"/>
  <c r="AL28" i="35"/>
  <c r="AJ25" i="35"/>
  <c r="AH25" i="35"/>
  <c r="AG25" i="35"/>
  <c r="AJ26" i="35"/>
  <c r="AH26" i="35"/>
  <c r="AG26" i="35"/>
  <c r="AJ27" i="35"/>
  <c r="AH27" i="35"/>
  <c r="AG27" i="35"/>
  <c r="AJ28" i="35"/>
  <c r="AH28" i="35"/>
  <c r="AG28" i="35"/>
  <c r="AE25" i="35"/>
  <c r="AC25" i="35"/>
  <c r="AB25" i="35"/>
  <c r="AE26" i="35"/>
  <c r="AC26" i="35"/>
  <c r="AB26" i="35"/>
  <c r="AE27" i="35"/>
  <c r="AC27" i="35"/>
  <c r="AB27" i="35"/>
  <c r="AE28" i="35"/>
  <c r="AC28" i="35"/>
  <c r="AB28" i="35"/>
  <c r="Z25" i="35"/>
  <c r="X25" i="35"/>
  <c r="W25" i="35"/>
  <c r="Z26" i="35"/>
  <c r="X26" i="35"/>
  <c r="W26" i="35"/>
  <c r="Z27" i="35"/>
  <c r="X27" i="35"/>
  <c r="W27" i="35"/>
  <c r="Z28" i="35"/>
  <c r="X28" i="35"/>
  <c r="W28" i="35"/>
  <c r="U25" i="35"/>
  <c r="S25" i="35"/>
  <c r="R25" i="35"/>
  <c r="U26" i="35"/>
  <c r="S26" i="35"/>
  <c r="R26" i="35"/>
  <c r="U27" i="35"/>
  <c r="S27" i="35"/>
  <c r="R27" i="35"/>
  <c r="U28" i="35"/>
  <c r="S28" i="35"/>
  <c r="R28" i="35"/>
  <c r="P25" i="35"/>
  <c r="N25" i="35"/>
  <c r="M25" i="35"/>
  <c r="P26" i="35"/>
  <c r="N26" i="35"/>
  <c r="M26" i="35"/>
  <c r="P27" i="35"/>
  <c r="N27" i="35"/>
  <c r="M27" i="35"/>
  <c r="P28" i="35"/>
  <c r="N28" i="35"/>
  <c r="M28" i="35"/>
  <c r="I12" i="32"/>
  <c r="I12" i="21"/>
  <c r="I13" i="32"/>
  <c r="I14" i="32"/>
  <c r="I15" i="32"/>
  <c r="I16" i="32"/>
  <c r="I17" i="32"/>
  <c r="I18" i="32"/>
  <c r="CM25" i="35"/>
  <c r="CM26" i="35"/>
  <c r="CK26" i="35"/>
  <c r="CJ26" i="35"/>
  <c r="CM27" i="35"/>
  <c r="CK27" i="35"/>
  <c r="CJ27" i="35"/>
  <c r="CM28" i="35"/>
  <c r="CK28" i="35"/>
  <c r="CJ28" i="35"/>
  <c r="I13" i="21"/>
  <c r="I14" i="21"/>
  <c r="I15" i="21"/>
  <c r="I16" i="21"/>
  <c r="I17" i="21"/>
  <c r="I18" i="21"/>
  <c r="I19" i="21"/>
  <c r="CC25" i="35"/>
  <c r="CA25" i="35"/>
  <c r="BZ25" i="35"/>
  <c r="CC26" i="35"/>
  <c r="CA26" i="35"/>
  <c r="BZ26" i="35"/>
  <c r="CC27" i="35"/>
  <c r="CA27" i="35"/>
  <c r="BZ27" i="35"/>
  <c r="CC28" i="35"/>
  <c r="CA28" i="35"/>
  <c r="BZ28" i="35"/>
  <c r="CW25" i="35"/>
  <c r="CU25" i="35"/>
  <c r="CT25" i="35"/>
  <c r="CW26" i="35"/>
  <c r="CW27" i="35"/>
  <c r="CU27" i="35"/>
  <c r="CT27" i="35"/>
  <c r="CW28" i="35"/>
  <c r="CU28" i="35"/>
  <c r="CT28" i="35"/>
  <c r="BD25" i="35"/>
  <c r="BB25" i="35"/>
  <c r="BA25" i="35"/>
  <c r="BD26" i="35"/>
  <c r="BB26" i="35"/>
  <c r="BA26" i="35"/>
  <c r="BD27" i="35"/>
  <c r="BB27" i="35"/>
  <c r="BA27" i="35"/>
  <c r="BD28" i="35"/>
  <c r="BB28" i="35"/>
  <c r="BA28" i="35"/>
  <c r="G19" i="36"/>
  <c r="I18" i="36"/>
  <c r="I12" i="26"/>
  <c r="G13" i="26"/>
  <c r="I20" i="32"/>
  <c r="G21" i="32"/>
  <c r="I20" i="21"/>
  <c r="W64" i="34"/>
  <c r="W65" i="34"/>
  <c r="W66" i="34"/>
  <c r="W67" i="34"/>
  <c r="V69" i="34"/>
  <c r="V70" i="34"/>
  <c r="V71" i="34"/>
  <c r="V72" i="34"/>
  <c r="V77" i="34"/>
  <c r="V78" i="34"/>
  <c r="V79" i="34"/>
  <c r="V80" i="34"/>
  <c r="W68" i="34"/>
  <c r="W77" i="34"/>
  <c r="X77" i="34"/>
  <c r="W78" i="34"/>
  <c r="X78" i="34"/>
  <c r="W79" i="34"/>
  <c r="X79" i="34"/>
  <c r="W80" i="34"/>
  <c r="X80" i="34"/>
  <c r="W81" i="34"/>
  <c r="W82" i="34"/>
  <c r="W83" i="34"/>
  <c r="W84" i="34"/>
  <c r="W85" i="34"/>
  <c r="W86" i="34"/>
  <c r="W87" i="34"/>
  <c r="W88" i="34"/>
  <c r="Y77" i="34"/>
  <c r="Y78" i="34"/>
  <c r="Y79" i="34"/>
  <c r="Y80" i="34"/>
  <c r="Q65" i="34"/>
  <c r="F5" i="34"/>
  <c r="W64" i="33"/>
  <c r="W65" i="33"/>
  <c r="W66" i="33"/>
  <c r="W67" i="33"/>
  <c r="V69" i="33"/>
  <c r="V70" i="33"/>
  <c r="V71" i="33"/>
  <c r="V72" i="33"/>
  <c r="V77" i="33"/>
  <c r="V78" i="33"/>
  <c r="V79" i="33"/>
  <c r="V80" i="33"/>
  <c r="W68" i="33"/>
  <c r="W77" i="33"/>
  <c r="X77" i="33"/>
  <c r="W78" i="33"/>
  <c r="X78" i="33"/>
  <c r="W79" i="33"/>
  <c r="X79" i="33"/>
  <c r="W80" i="33"/>
  <c r="X80" i="33"/>
  <c r="W81" i="33"/>
  <c r="W82" i="33"/>
  <c r="W83" i="33"/>
  <c r="W84" i="33"/>
  <c r="W85" i="33"/>
  <c r="W86" i="33"/>
  <c r="W87" i="33"/>
  <c r="W88" i="33"/>
  <c r="Y77" i="33"/>
  <c r="Y78" i="33"/>
  <c r="Y79" i="33"/>
  <c r="Y80" i="33"/>
  <c r="Q65" i="33"/>
  <c r="F5" i="33"/>
  <c r="Q67" i="33"/>
  <c r="F7" i="33"/>
  <c r="AA77" i="33"/>
  <c r="AE77" i="33"/>
  <c r="AF77" i="33"/>
  <c r="C18" i="33"/>
  <c r="C20" i="33"/>
  <c r="W64" i="30"/>
  <c r="W65" i="30"/>
  <c r="W67" i="30"/>
  <c r="W68" i="30"/>
  <c r="V69" i="30"/>
  <c r="V71" i="30"/>
  <c r="V72" i="30"/>
  <c r="W81" i="30"/>
  <c r="W83" i="30"/>
  <c r="W84" i="30"/>
  <c r="W85" i="30"/>
  <c r="W87" i="30"/>
  <c r="W88" i="30"/>
  <c r="V70" i="30"/>
  <c r="V77" i="30"/>
  <c r="V78" i="30"/>
  <c r="V79" i="30"/>
  <c r="V80" i="30"/>
  <c r="W66" i="30"/>
  <c r="W77" i="30"/>
  <c r="X77" i="30"/>
  <c r="Y77" i="30"/>
  <c r="AA77" i="30"/>
  <c r="AE77" i="30"/>
  <c r="W78" i="30"/>
  <c r="X78" i="30"/>
  <c r="Y78" i="30"/>
  <c r="AA78" i="30"/>
  <c r="AE78" i="30"/>
  <c r="W79" i="30"/>
  <c r="X79" i="30"/>
  <c r="Y79" i="30"/>
  <c r="AA79" i="30"/>
  <c r="AE79" i="30"/>
  <c r="W80" i="30"/>
  <c r="X80" i="30"/>
  <c r="Y80" i="30"/>
  <c r="AA80" i="30"/>
  <c r="AE80" i="30"/>
  <c r="W82" i="30"/>
  <c r="W86" i="30"/>
  <c r="Q65" i="30"/>
  <c r="F5" i="30"/>
  <c r="Q67" i="30"/>
  <c r="F7" i="30"/>
  <c r="AF78" i="30"/>
  <c r="C18" i="30"/>
  <c r="C20" i="30"/>
  <c r="W88" i="28"/>
  <c r="W87" i="28"/>
  <c r="W86" i="28"/>
  <c r="W85" i="28"/>
  <c r="W84" i="28"/>
  <c r="W83" i="28"/>
  <c r="W82" i="28"/>
  <c r="W81" i="28"/>
  <c r="V72" i="28"/>
  <c r="V71" i="28"/>
  <c r="V70" i="28"/>
  <c r="V69" i="28"/>
  <c r="W68" i="28"/>
  <c r="W67" i="28"/>
  <c r="W66" i="28"/>
  <c r="W65" i="28"/>
  <c r="W64" i="28"/>
  <c r="BT51" i="34"/>
  <c r="BR53" i="34"/>
  <c r="C18" i="34"/>
  <c r="BT40" i="34"/>
  <c r="BT29" i="34"/>
  <c r="BR31" i="34"/>
  <c r="BR42" i="34"/>
  <c r="BT29" i="30"/>
  <c r="BV29" i="30"/>
  <c r="BR31" i="30"/>
  <c r="BR33" i="30"/>
  <c r="BT40" i="30"/>
  <c r="BV40" i="30"/>
  <c r="BR42" i="30"/>
  <c r="BR44" i="30"/>
  <c r="W65" i="29"/>
  <c r="W66" i="29"/>
  <c r="W68" i="29"/>
  <c r="V69" i="29"/>
  <c r="V70" i="29"/>
  <c r="V72" i="29"/>
  <c r="W81" i="29"/>
  <c r="W82" i="29"/>
  <c r="W84" i="29"/>
  <c r="W85" i="29"/>
  <c r="W86" i="29"/>
  <c r="W88" i="29"/>
  <c r="W64" i="29"/>
  <c r="V71" i="29"/>
  <c r="V77" i="29"/>
  <c r="V78" i="29"/>
  <c r="V79" i="29"/>
  <c r="V80" i="29"/>
  <c r="W67" i="29"/>
  <c r="W77" i="29"/>
  <c r="X77" i="29"/>
  <c r="Y77" i="29"/>
  <c r="AA77" i="29"/>
  <c r="AE77" i="29"/>
  <c r="W78" i="29"/>
  <c r="X78" i="29"/>
  <c r="Y78" i="29"/>
  <c r="AA78" i="29"/>
  <c r="AE78" i="29"/>
  <c r="W79" i="29"/>
  <c r="X79" i="29"/>
  <c r="Y79" i="29"/>
  <c r="AA79" i="29"/>
  <c r="AE79" i="29"/>
  <c r="W80" i="29"/>
  <c r="X80" i="29"/>
  <c r="Y80" i="29"/>
  <c r="AA80" i="29"/>
  <c r="AE80" i="29"/>
  <c r="W83" i="29"/>
  <c r="W87" i="29"/>
  <c r="Q65" i="29"/>
  <c r="F5" i="29"/>
  <c r="Q67" i="29"/>
  <c r="F7" i="29"/>
  <c r="AF79" i="29"/>
  <c r="BT29" i="29"/>
  <c r="BV29" i="29"/>
  <c r="BR31" i="29"/>
  <c r="BR33" i="29"/>
  <c r="BT40" i="29"/>
  <c r="BV40" i="29"/>
  <c r="BR42" i="29"/>
  <c r="BR44" i="29"/>
  <c r="C18" i="29"/>
  <c r="C20" i="29"/>
  <c r="V77" i="28"/>
  <c r="V78" i="28"/>
  <c r="V79" i="28"/>
  <c r="V80" i="28"/>
  <c r="W77" i="28"/>
  <c r="W78" i="28"/>
  <c r="W79" i="28"/>
  <c r="W80" i="28"/>
  <c r="X77" i="28"/>
  <c r="Y77" i="28"/>
  <c r="AA77" i="28"/>
  <c r="AF77" i="28"/>
  <c r="X78" i="28"/>
  <c r="Y78" i="28"/>
  <c r="AA78" i="28"/>
  <c r="AF78" i="28"/>
  <c r="X79" i="28"/>
  <c r="Y79" i="28"/>
  <c r="AA79" i="28"/>
  <c r="AF79" i="28"/>
  <c r="X80" i="28"/>
  <c r="Y80" i="28"/>
  <c r="AA80" i="28"/>
  <c r="AF80" i="28"/>
  <c r="Q65" i="28"/>
  <c r="F5" i="28"/>
  <c r="AE80" i="28"/>
  <c r="Q67" i="28"/>
  <c r="F7" i="28"/>
  <c r="BT29" i="28"/>
  <c r="BV29" i="28"/>
  <c r="BR31" i="28"/>
  <c r="BR33" i="28"/>
  <c r="BT40" i="28"/>
  <c r="BV40" i="28"/>
  <c r="BR42" i="28"/>
  <c r="BR44" i="28"/>
  <c r="C18" i="28"/>
  <c r="C20" i="28"/>
  <c r="BT51" i="28"/>
  <c r="BV51" i="28"/>
  <c r="BR53" i="28"/>
  <c r="BR55" i="28"/>
  <c r="BT51" i="29"/>
  <c r="BV51" i="29"/>
  <c r="BR53" i="29"/>
  <c r="BR55" i="29"/>
  <c r="BT51" i="30"/>
  <c r="BV51" i="30"/>
  <c r="BR53" i="30"/>
  <c r="BR55" i="30"/>
  <c r="BT51" i="33"/>
  <c r="BV51" i="33"/>
  <c r="BR53" i="33"/>
  <c r="BR55" i="33"/>
  <c r="BT40" i="33"/>
  <c r="BT29" i="33"/>
  <c r="BR31" i="33"/>
  <c r="BV40" i="33"/>
  <c r="BV29" i="33"/>
  <c r="BR33" i="33"/>
  <c r="BR42" i="33"/>
  <c r="BR44" i="33"/>
  <c r="I21" i="36"/>
  <c r="G22" i="36"/>
  <c r="AA77" i="34"/>
  <c r="AE77" i="34"/>
  <c r="AA78" i="34"/>
  <c r="AE78" i="34"/>
  <c r="AA79" i="34"/>
  <c r="AE79" i="34"/>
  <c r="AA80" i="34"/>
  <c r="AE80" i="34"/>
  <c r="AA78" i="33"/>
  <c r="AE78" i="33"/>
  <c r="AA79" i="33"/>
  <c r="AE79" i="33"/>
  <c r="AA80" i="33"/>
  <c r="AE80" i="33"/>
  <c r="AE77" i="28"/>
  <c r="AE78" i="28"/>
  <c r="AE79" i="28"/>
  <c r="AF77" i="29"/>
  <c r="AF78" i="29"/>
  <c r="AF80" i="29"/>
  <c r="CB25" i="35"/>
  <c r="BC28" i="35"/>
  <c r="BC27" i="35"/>
  <c r="BC26" i="35"/>
  <c r="BC25" i="35"/>
  <c r="E26" i="27"/>
  <c r="CQ26" i="35"/>
  <c r="E28" i="27"/>
  <c r="CG28" i="35"/>
  <c r="E27" i="27"/>
  <c r="BH27" i="35"/>
  <c r="BM27" i="35"/>
  <c r="CB26" i="35"/>
  <c r="CQ28" i="35"/>
  <c r="CQ25" i="35"/>
  <c r="CG26" i="35"/>
  <c r="CG25" i="35"/>
  <c r="BW27" i="35"/>
  <c r="BW26" i="35"/>
  <c r="BW25" i="35"/>
  <c r="BM26" i="35"/>
  <c r="BM25" i="35"/>
  <c r="AX28" i="35"/>
  <c r="AX27" i="35"/>
  <c r="AX26" i="35"/>
  <c r="AX25" i="35"/>
  <c r="AF77" i="30"/>
  <c r="AF79" i="30"/>
  <c r="AF80" i="30"/>
  <c r="AN28" i="35"/>
  <c r="AI28" i="35"/>
  <c r="AD28" i="35"/>
  <c r="Y28" i="35"/>
  <c r="T28" i="35"/>
  <c r="O28" i="35"/>
  <c r="AN27" i="35"/>
  <c r="AI27" i="35"/>
  <c r="AD27" i="35"/>
  <c r="Y27" i="35"/>
  <c r="T27" i="35"/>
  <c r="O27" i="35"/>
  <c r="AN26" i="35"/>
  <c r="AI26" i="35"/>
  <c r="AD26" i="35"/>
  <c r="Y26" i="35"/>
  <c r="T26" i="35"/>
  <c r="O26" i="35"/>
  <c r="AN25" i="35"/>
  <c r="AI25" i="35"/>
  <c r="AD25" i="35"/>
  <c r="Y25" i="35"/>
  <c r="T25" i="35"/>
  <c r="O25" i="35"/>
  <c r="AB80" i="28"/>
  <c r="Z80" i="28"/>
  <c r="AB79" i="28"/>
  <c r="Z79" i="28"/>
  <c r="AB78" i="28"/>
  <c r="Z78" i="28"/>
  <c r="AB77" i="28"/>
  <c r="Z77" i="28"/>
  <c r="AB80" i="30"/>
  <c r="Z80" i="30"/>
  <c r="AB79" i="30"/>
  <c r="Z79" i="30"/>
  <c r="AB78" i="30"/>
  <c r="Z78" i="30"/>
  <c r="AB77" i="30"/>
  <c r="Z77" i="30"/>
  <c r="C31" i="34"/>
  <c r="C52" i="31"/>
  <c r="Q52" i="31"/>
  <c r="G52" i="31"/>
  <c r="C51" i="31"/>
  <c r="Q51" i="31"/>
  <c r="G51" i="31"/>
  <c r="C50" i="31"/>
  <c r="Q50" i="31"/>
  <c r="G50" i="31"/>
  <c r="C49" i="31"/>
  <c r="Q49" i="31"/>
  <c r="G49" i="31"/>
  <c r="C48" i="31"/>
  <c r="Q48" i="31"/>
  <c r="G48" i="31"/>
  <c r="C47" i="31"/>
  <c r="Q47" i="31"/>
  <c r="G47" i="31"/>
  <c r="C46" i="31"/>
  <c r="Q46" i="31"/>
  <c r="G46" i="31"/>
  <c r="C45" i="31"/>
  <c r="Q45" i="31"/>
  <c r="G45" i="31"/>
  <c r="C44" i="31"/>
  <c r="Q44" i="31"/>
  <c r="G44" i="31"/>
  <c r="P43" i="31"/>
  <c r="P42" i="31"/>
  <c r="O43" i="31"/>
  <c r="O42" i="31"/>
  <c r="N43" i="31"/>
  <c r="N42" i="31"/>
  <c r="M43" i="31"/>
  <c r="M42" i="31"/>
  <c r="L43" i="31"/>
  <c r="L42" i="31"/>
  <c r="K43" i="31"/>
  <c r="K42" i="31"/>
  <c r="J43" i="31"/>
  <c r="J42" i="31"/>
  <c r="I43" i="31"/>
  <c r="I42" i="31"/>
  <c r="H43" i="31"/>
  <c r="H42" i="31"/>
  <c r="C40" i="31"/>
  <c r="Q40" i="31"/>
  <c r="G40" i="31"/>
  <c r="C39" i="31"/>
  <c r="Q39" i="31"/>
  <c r="G39" i="31"/>
  <c r="C38" i="31"/>
  <c r="Q38" i="31"/>
  <c r="G38" i="31"/>
  <c r="C37" i="31"/>
  <c r="Q37" i="31"/>
  <c r="G37" i="31"/>
  <c r="C36" i="31"/>
  <c r="Q36" i="31"/>
  <c r="G36" i="31"/>
  <c r="C35" i="31"/>
  <c r="Q35" i="31"/>
  <c r="G35" i="31"/>
  <c r="C34" i="31"/>
  <c r="Q34" i="31"/>
  <c r="G34" i="31"/>
  <c r="C33" i="31"/>
  <c r="Q33" i="31"/>
  <c r="G33" i="31"/>
  <c r="C32" i="31"/>
  <c r="Q32" i="31"/>
  <c r="G32" i="31"/>
  <c r="P31" i="31"/>
  <c r="P30" i="31"/>
  <c r="O31" i="31"/>
  <c r="O30" i="31"/>
  <c r="N31" i="31"/>
  <c r="N30" i="31"/>
  <c r="M31" i="31"/>
  <c r="M30" i="31"/>
  <c r="L31" i="31"/>
  <c r="L30" i="31"/>
  <c r="K31" i="31"/>
  <c r="K30" i="31"/>
  <c r="J31" i="31"/>
  <c r="J30" i="31"/>
  <c r="I31" i="31"/>
  <c r="I30" i="31"/>
  <c r="H31" i="31"/>
  <c r="H30" i="31"/>
  <c r="C28" i="31"/>
  <c r="Q28" i="31"/>
  <c r="G28" i="31"/>
  <c r="C27" i="31"/>
  <c r="Q27" i="31"/>
  <c r="G27" i="31"/>
  <c r="C26" i="31"/>
  <c r="Q26" i="31"/>
  <c r="G26" i="31"/>
  <c r="C25" i="31"/>
  <c r="Q25" i="31"/>
  <c r="G25" i="31"/>
  <c r="C24" i="31"/>
  <c r="Q24" i="31"/>
  <c r="G24" i="31"/>
  <c r="C23" i="31"/>
  <c r="Q23" i="31"/>
  <c r="G23" i="31"/>
  <c r="C22" i="31"/>
  <c r="Q22" i="31"/>
  <c r="G22" i="31"/>
  <c r="C21" i="31"/>
  <c r="Q21" i="31"/>
  <c r="G21" i="31"/>
  <c r="C20" i="31"/>
  <c r="Q20" i="31"/>
  <c r="G20" i="31"/>
  <c r="P19" i="31"/>
  <c r="P18" i="31"/>
  <c r="O19" i="31"/>
  <c r="O18" i="31"/>
  <c r="N19" i="31"/>
  <c r="N18" i="31"/>
  <c r="M19" i="31"/>
  <c r="M18" i="31"/>
  <c r="L19" i="31"/>
  <c r="L18" i="31"/>
  <c r="K19" i="31"/>
  <c r="K18" i="31"/>
  <c r="J19" i="31"/>
  <c r="J18" i="31"/>
  <c r="I19" i="31"/>
  <c r="I18" i="31"/>
  <c r="H19" i="31"/>
  <c r="H18" i="31"/>
  <c r="C16" i="31"/>
  <c r="Q16" i="31"/>
  <c r="G16" i="31"/>
  <c r="C15" i="31"/>
  <c r="Q15" i="31"/>
  <c r="G15" i="31"/>
  <c r="C14" i="31"/>
  <c r="Q14" i="31"/>
  <c r="G14" i="31"/>
  <c r="C13" i="31"/>
  <c r="Q13" i="31"/>
  <c r="G13" i="31"/>
  <c r="C12" i="31"/>
  <c r="Q12" i="31"/>
  <c r="G12" i="31"/>
  <c r="C11" i="31"/>
  <c r="Q11" i="31"/>
  <c r="G11" i="31"/>
  <c r="C10" i="31"/>
  <c r="Q10" i="31"/>
  <c r="G10" i="31"/>
  <c r="C9" i="31"/>
  <c r="Q9" i="31"/>
  <c r="G9" i="31"/>
  <c r="C8" i="31"/>
  <c r="Q8" i="31"/>
  <c r="G8" i="31"/>
  <c r="P7" i="31"/>
  <c r="P6" i="31"/>
  <c r="O7" i="31"/>
  <c r="O6" i="31"/>
  <c r="N7" i="31"/>
  <c r="N6" i="31"/>
  <c r="M7" i="31"/>
  <c r="M6" i="31"/>
  <c r="L7" i="31"/>
  <c r="L6" i="31"/>
  <c r="K7" i="31"/>
  <c r="K6" i="31"/>
  <c r="J7" i="31"/>
  <c r="J6" i="31"/>
  <c r="I7" i="31"/>
  <c r="I6" i="31"/>
  <c r="H7" i="31"/>
  <c r="H6" i="31"/>
  <c r="AB24" i="6"/>
  <c r="AB33" i="6"/>
  <c r="AB32" i="6"/>
  <c r="AB31" i="6"/>
  <c r="AB30" i="6"/>
  <c r="AE24" i="6"/>
  <c r="AE25" i="6"/>
  <c r="AC24" i="6"/>
  <c r="AC25" i="6"/>
  <c r="AE23" i="6"/>
  <c r="AC23" i="6"/>
  <c r="AG32" i="6"/>
  <c r="AF24" i="6"/>
  <c r="AF32" i="6"/>
  <c r="AA24" i="6"/>
  <c r="AA32" i="6"/>
  <c r="Z24" i="6"/>
  <c r="Z32" i="6"/>
  <c r="Y24" i="6"/>
  <c r="Y32" i="6"/>
  <c r="X24" i="6"/>
  <c r="X32" i="6"/>
  <c r="W32" i="6"/>
  <c r="V32" i="6"/>
  <c r="U32" i="6"/>
  <c r="S32" i="6"/>
  <c r="R32" i="6"/>
  <c r="Q32" i="6"/>
  <c r="P32" i="6"/>
  <c r="O32" i="6"/>
  <c r="AG31" i="6"/>
  <c r="AF31" i="6"/>
  <c r="AA31" i="6"/>
  <c r="Z31" i="6"/>
  <c r="Y31" i="6"/>
  <c r="X31" i="6"/>
  <c r="W31" i="6"/>
  <c r="V31" i="6"/>
  <c r="U31" i="6"/>
  <c r="S31" i="6"/>
  <c r="R31" i="6"/>
  <c r="Q31" i="6"/>
  <c r="P31" i="6"/>
  <c r="O31" i="6"/>
  <c r="AG30" i="6"/>
  <c r="AF30" i="6"/>
  <c r="AA30" i="6"/>
  <c r="Z30" i="6"/>
  <c r="Y30" i="6"/>
  <c r="X30" i="6"/>
  <c r="W30" i="6"/>
  <c r="V30" i="6"/>
  <c r="U30" i="6"/>
  <c r="S30" i="6"/>
  <c r="R30" i="6"/>
  <c r="Q30" i="6"/>
  <c r="P30" i="6"/>
  <c r="O30" i="6"/>
  <c r="AG33" i="6"/>
  <c r="AA33" i="6"/>
  <c r="Z33" i="6"/>
  <c r="Y33" i="6"/>
  <c r="X33" i="6"/>
  <c r="W33" i="6"/>
  <c r="V33" i="6"/>
  <c r="U33" i="6"/>
  <c r="S33" i="6"/>
  <c r="R33" i="6"/>
  <c r="Q33" i="6"/>
  <c r="P33" i="6"/>
  <c r="O33" i="6"/>
  <c r="M25" i="6"/>
  <c r="M26" i="6"/>
  <c r="M27" i="6"/>
  <c r="M28" i="6"/>
  <c r="M29" i="6"/>
  <c r="M30" i="6"/>
  <c r="M31" i="6"/>
  <c r="M32" i="6"/>
  <c r="M33" i="6"/>
  <c r="C33" i="30"/>
  <c r="C31" i="30"/>
  <c r="C33" i="29"/>
  <c r="C31" i="29"/>
  <c r="C33" i="28"/>
  <c r="C31" i="28"/>
  <c r="AF29" i="6"/>
  <c r="AA29" i="6"/>
  <c r="Z29" i="6"/>
  <c r="Y29" i="6"/>
  <c r="X29" i="6"/>
  <c r="AF28" i="6"/>
  <c r="AB28" i="6"/>
  <c r="Z28" i="6"/>
  <c r="Y28" i="6"/>
  <c r="X28" i="6"/>
  <c r="AF27" i="6"/>
  <c r="AB27" i="6"/>
  <c r="AA27" i="6"/>
  <c r="Y27" i="6"/>
  <c r="X27" i="6"/>
  <c r="AF26" i="6"/>
  <c r="AB26" i="6"/>
  <c r="AA26" i="6"/>
  <c r="Z26" i="6"/>
  <c r="X26" i="6"/>
  <c r="AF25" i="6"/>
  <c r="AB25" i="6"/>
  <c r="AA25" i="6"/>
  <c r="Z25" i="6"/>
  <c r="Y25" i="6"/>
  <c r="W29" i="6"/>
  <c r="V29" i="6"/>
  <c r="U29" i="6"/>
  <c r="S29" i="6"/>
  <c r="R29" i="6"/>
  <c r="Q29" i="6"/>
  <c r="P29" i="6"/>
  <c r="O29" i="6"/>
  <c r="W28" i="6"/>
  <c r="V28" i="6"/>
  <c r="U28" i="6"/>
  <c r="S28" i="6"/>
  <c r="R28" i="6"/>
  <c r="Q28" i="6"/>
  <c r="P28" i="6"/>
  <c r="O28" i="6"/>
  <c r="W27" i="6"/>
  <c r="V27" i="6"/>
  <c r="U27" i="6"/>
  <c r="S27" i="6"/>
  <c r="R27" i="6"/>
  <c r="Q27" i="6"/>
  <c r="P27" i="6"/>
  <c r="O27" i="6"/>
  <c r="W26" i="6"/>
  <c r="V26" i="6"/>
  <c r="U26" i="6"/>
  <c r="S26" i="6"/>
  <c r="R26" i="6"/>
  <c r="Q26" i="6"/>
  <c r="P26" i="6"/>
  <c r="O26" i="6"/>
  <c r="W25" i="6"/>
  <c r="V25" i="6"/>
  <c r="U25" i="6"/>
  <c r="S25" i="6"/>
  <c r="R25" i="6"/>
  <c r="Q25" i="6"/>
  <c r="P25" i="6"/>
  <c r="O25" i="6"/>
  <c r="AG29" i="6"/>
  <c r="AG28" i="6"/>
  <c r="AG27" i="6"/>
  <c r="AG26" i="6"/>
  <c r="AG25" i="6"/>
  <c r="AB23" i="6"/>
  <c r="AA23" i="6"/>
  <c r="Z23" i="6"/>
  <c r="Y23" i="6"/>
  <c r="X23" i="6"/>
  <c r="D17" i="17"/>
  <c r="AD23" i="6"/>
  <c r="AF23" i="6"/>
  <c r="AD24" i="6"/>
  <c r="AD25" i="6"/>
  <c r="AC26" i="6"/>
  <c r="AD26" i="6"/>
  <c r="AE26" i="6"/>
  <c r="AC27" i="6"/>
  <c r="AD27" i="6"/>
  <c r="AE27" i="6"/>
  <c r="AC28" i="6"/>
  <c r="AD28" i="6"/>
  <c r="AE28" i="6"/>
  <c r="AC29" i="6"/>
  <c r="AD29" i="6"/>
  <c r="AE29" i="6"/>
  <c r="AD30" i="6"/>
  <c r="AE30" i="6"/>
  <c r="AC31" i="6"/>
  <c r="AE31" i="6"/>
  <c r="AC32" i="6"/>
  <c r="AD32" i="6"/>
  <c r="AC33" i="6"/>
  <c r="AD33" i="6"/>
  <c r="AE33" i="6"/>
  <c r="B8" i="31"/>
  <c r="D8" i="31"/>
  <c r="E8" i="31"/>
  <c r="F8" i="31"/>
  <c r="I8" i="31"/>
  <c r="J8" i="31"/>
  <c r="K8" i="31"/>
  <c r="L8" i="31"/>
  <c r="M8" i="31"/>
  <c r="N8" i="31"/>
  <c r="O8" i="31"/>
  <c r="P8" i="31"/>
  <c r="B9" i="31"/>
  <c r="D9" i="31"/>
  <c r="E9" i="31"/>
  <c r="F9" i="31"/>
  <c r="H9" i="31"/>
  <c r="J9" i="31"/>
  <c r="K9" i="31"/>
  <c r="L9" i="31"/>
  <c r="M9" i="31"/>
  <c r="N9" i="31"/>
  <c r="O9" i="31"/>
  <c r="P9" i="31"/>
  <c r="B10" i="31"/>
  <c r="D10" i="31"/>
  <c r="E10" i="31"/>
  <c r="F10" i="31"/>
  <c r="H10" i="31"/>
  <c r="I10" i="31"/>
  <c r="K10" i="31"/>
  <c r="L10" i="31"/>
  <c r="M10" i="31"/>
  <c r="N10" i="31"/>
  <c r="O10" i="31"/>
  <c r="P10" i="31"/>
  <c r="B11" i="31"/>
  <c r="D11" i="31"/>
  <c r="E11" i="31"/>
  <c r="F11" i="31"/>
  <c r="H11" i="31"/>
  <c r="I11" i="31"/>
  <c r="J11" i="31"/>
  <c r="L11" i="31"/>
  <c r="M11" i="31"/>
  <c r="N11" i="31"/>
  <c r="O11" i="31"/>
  <c r="P11" i="31"/>
  <c r="B12" i="31"/>
  <c r="D12" i="31"/>
  <c r="E12" i="31"/>
  <c r="F12" i="31"/>
  <c r="H12" i="31"/>
  <c r="I12" i="31"/>
  <c r="J12" i="31"/>
  <c r="K12" i="31"/>
  <c r="M12" i="31"/>
  <c r="N12" i="31"/>
  <c r="O12" i="31"/>
  <c r="P12" i="31"/>
  <c r="B13" i="31"/>
  <c r="D13" i="31"/>
  <c r="E13" i="31"/>
  <c r="F13" i="31"/>
  <c r="H13" i="31"/>
  <c r="I13" i="31"/>
  <c r="J13" i="31"/>
  <c r="K13" i="31"/>
  <c r="L13" i="31"/>
  <c r="N13" i="31"/>
  <c r="O13" i="31"/>
  <c r="P13" i="31"/>
  <c r="B14" i="31"/>
  <c r="D14" i="31"/>
  <c r="E14" i="31"/>
  <c r="F14" i="31"/>
  <c r="H14" i="31"/>
  <c r="I14" i="31"/>
  <c r="J14" i="31"/>
  <c r="K14" i="31"/>
  <c r="L14" i="31"/>
  <c r="M14" i="31"/>
  <c r="O14" i="31"/>
  <c r="P14" i="31"/>
  <c r="B15" i="31"/>
  <c r="D15" i="31"/>
  <c r="E15" i="31"/>
  <c r="F15" i="31"/>
  <c r="H15" i="31"/>
  <c r="I15" i="31"/>
  <c r="J15" i="31"/>
  <c r="K15" i="31"/>
  <c r="L15" i="31"/>
  <c r="M15" i="31"/>
  <c r="N15" i="31"/>
  <c r="P15" i="31"/>
  <c r="B16" i="31"/>
  <c r="D16" i="31"/>
  <c r="E16" i="31"/>
  <c r="F16" i="31"/>
  <c r="H16" i="31"/>
  <c r="I16" i="31"/>
  <c r="J16" i="31"/>
  <c r="K16" i="31"/>
  <c r="L16" i="31"/>
  <c r="M16" i="31"/>
  <c r="N16" i="31"/>
  <c r="O16" i="31"/>
  <c r="B20" i="31"/>
  <c r="D20" i="31"/>
  <c r="E20" i="31"/>
  <c r="F20" i="31"/>
  <c r="I20" i="31"/>
  <c r="J20" i="31"/>
  <c r="K20" i="31"/>
  <c r="L20" i="31"/>
  <c r="M20" i="31"/>
  <c r="N20" i="31"/>
  <c r="O20" i="31"/>
  <c r="P20" i="31"/>
  <c r="B21" i="31"/>
  <c r="D21" i="31"/>
  <c r="E21" i="31"/>
  <c r="F21" i="31"/>
  <c r="H21" i="31"/>
  <c r="J21" i="31"/>
  <c r="K21" i="31"/>
  <c r="L21" i="31"/>
  <c r="M21" i="31"/>
  <c r="N21" i="31"/>
  <c r="O21" i="31"/>
  <c r="P21" i="31"/>
  <c r="B22" i="31"/>
  <c r="D22" i="31"/>
  <c r="E22" i="31"/>
  <c r="F22" i="31"/>
  <c r="H22" i="31"/>
  <c r="I22" i="31"/>
  <c r="K22" i="31"/>
  <c r="L22" i="31"/>
  <c r="M22" i="31"/>
  <c r="N22" i="31"/>
  <c r="O22" i="31"/>
  <c r="P22" i="31"/>
  <c r="B23" i="31"/>
  <c r="D23" i="31"/>
  <c r="E23" i="31"/>
  <c r="F23" i="31"/>
  <c r="H23" i="31"/>
  <c r="I23" i="31"/>
  <c r="J23" i="31"/>
  <c r="L23" i="31"/>
  <c r="M23" i="31"/>
  <c r="N23" i="31"/>
  <c r="O23" i="31"/>
  <c r="P23" i="31"/>
  <c r="B24" i="31"/>
  <c r="D24" i="31"/>
  <c r="E24" i="31"/>
  <c r="F24" i="31"/>
  <c r="H24" i="31"/>
  <c r="I24" i="31"/>
  <c r="J24" i="31"/>
  <c r="K24" i="31"/>
  <c r="M24" i="31"/>
  <c r="N24" i="31"/>
  <c r="O24" i="31"/>
  <c r="P24" i="31"/>
  <c r="B25" i="31"/>
  <c r="D25" i="31"/>
  <c r="E25" i="31"/>
  <c r="F25" i="31"/>
  <c r="H25" i="31"/>
  <c r="I25" i="31"/>
  <c r="J25" i="31"/>
  <c r="K25" i="31"/>
  <c r="L25" i="31"/>
  <c r="N25" i="31"/>
  <c r="O25" i="31"/>
  <c r="P25" i="31"/>
  <c r="B26" i="31"/>
  <c r="D26" i="31"/>
  <c r="E26" i="31"/>
  <c r="F26" i="31"/>
  <c r="H26" i="31"/>
  <c r="I26" i="31"/>
  <c r="J26" i="31"/>
  <c r="K26" i="31"/>
  <c r="L26" i="31"/>
  <c r="M26" i="31"/>
  <c r="O26" i="31"/>
  <c r="P26" i="31"/>
  <c r="B27" i="31"/>
  <c r="D27" i="31"/>
  <c r="E27" i="31"/>
  <c r="F27" i="31"/>
  <c r="H27" i="31"/>
  <c r="I27" i="31"/>
  <c r="J27" i="31"/>
  <c r="K27" i="31"/>
  <c r="L27" i="31"/>
  <c r="M27" i="31"/>
  <c r="N27" i="31"/>
  <c r="P27" i="31"/>
  <c r="B28" i="31"/>
  <c r="D28" i="31"/>
  <c r="E28" i="31"/>
  <c r="F28" i="31"/>
  <c r="H28" i="31"/>
  <c r="I28" i="31"/>
  <c r="J28" i="31"/>
  <c r="K28" i="31"/>
  <c r="L28" i="31"/>
  <c r="M28" i="31"/>
  <c r="N28" i="31"/>
  <c r="O28" i="31"/>
  <c r="B32" i="31"/>
  <c r="D32" i="31"/>
  <c r="E32" i="31"/>
  <c r="F32" i="31"/>
  <c r="I32" i="31"/>
  <c r="J32" i="31"/>
  <c r="K32" i="31"/>
  <c r="L32" i="31"/>
  <c r="M32" i="31"/>
  <c r="N32" i="31"/>
  <c r="O32" i="31"/>
  <c r="P32" i="31"/>
  <c r="B33" i="31"/>
  <c r="D33" i="31"/>
  <c r="E33" i="31"/>
  <c r="F33" i="31"/>
  <c r="H33" i="31"/>
  <c r="J33" i="31"/>
  <c r="K33" i="31"/>
  <c r="L33" i="31"/>
  <c r="M33" i="31"/>
  <c r="N33" i="31"/>
  <c r="O33" i="31"/>
  <c r="P33" i="31"/>
  <c r="B34" i="31"/>
  <c r="D34" i="31"/>
  <c r="E34" i="31"/>
  <c r="F34" i="31"/>
  <c r="H34" i="31"/>
  <c r="I34" i="31"/>
  <c r="K34" i="31"/>
  <c r="L34" i="31"/>
  <c r="M34" i="31"/>
  <c r="N34" i="31"/>
  <c r="O34" i="31"/>
  <c r="P34" i="31"/>
  <c r="B35" i="31"/>
  <c r="D35" i="31"/>
  <c r="E35" i="31"/>
  <c r="F35" i="31"/>
  <c r="H35" i="31"/>
  <c r="I35" i="31"/>
  <c r="J35" i="31"/>
  <c r="L35" i="31"/>
  <c r="M35" i="31"/>
  <c r="N35" i="31"/>
  <c r="O35" i="31"/>
  <c r="P35" i="31"/>
  <c r="B36" i="31"/>
  <c r="D36" i="31"/>
  <c r="E36" i="31"/>
  <c r="F36" i="31"/>
  <c r="H36" i="31"/>
  <c r="I36" i="31"/>
  <c r="J36" i="31"/>
  <c r="K36" i="31"/>
  <c r="M36" i="31"/>
  <c r="N36" i="31"/>
  <c r="O36" i="31"/>
  <c r="P36" i="31"/>
  <c r="B37" i="31"/>
  <c r="D37" i="31"/>
  <c r="E37" i="31"/>
  <c r="F37" i="31"/>
  <c r="H37" i="31"/>
  <c r="I37" i="31"/>
  <c r="J37" i="31"/>
  <c r="K37" i="31"/>
  <c r="L37" i="31"/>
  <c r="N37" i="31"/>
  <c r="O37" i="31"/>
  <c r="P37" i="31"/>
  <c r="B38" i="31"/>
  <c r="D38" i="31"/>
  <c r="E38" i="31"/>
  <c r="F38" i="31"/>
  <c r="H38" i="31"/>
  <c r="I38" i="31"/>
  <c r="J38" i="31"/>
  <c r="K38" i="31"/>
  <c r="L38" i="31"/>
  <c r="M38" i="31"/>
  <c r="O38" i="31"/>
  <c r="P38" i="31"/>
  <c r="B39" i="31"/>
  <c r="D39" i="31"/>
  <c r="E39" i="31"/>
  <c r="F39" i="31"/>
  <c r="H39" i="31"/>
  <c r="I39" i="31"/>
  <c r="J39" i="31"/>
  <c r="K39" i="31"/>
  <c r="L39" i="31"/>
  <c r="M39" i="31"/>
  <c r="N39" i="31"/>
  <c r="P39" i="31"/>
  <c r="B40" i="31"/>
  <c r="D40" i="31"/>
  <c r="E40" i="31"/>
  <c r="F40" i="31"/>
  <c r="H40" i="31"/>
  <c r="I40" i="31"/>
  <c r="J40" i="31"/>
  <c r="K40" i="31"/>
  <c r="L40" i="31"/>
  <c r="M40" i="31"/>
  <c r="N40" i="31"/>
  <c r="O40" i="31"/>
  <c r="B44" i="31"/>
  <c r="D44" i="31"/>
  <c r="E44" i="31"/>
  <c r="F44" i="31"/>
  <c r="I44" i="31"/>
  <c r="J44" i="31"/>
  <c r="K44" i="31"/>
  <c r="L44" i="31"/>
  <c r="M44" i="31"/>
  <c r="N44" i="31"/>
  <c r="O44" i="31"/>
  <c r="P44" i="31"/>
  <c r="B45" i="31"/>
  <c r="D45" i="31"/>
  <c r="E45" i="31"/>
  <c r="F45" i="31"/>
  <c r="H45" i="31"/>
  <c r="J45" i="31"/>
  <c r="K45" i="31"/>
  <c r="L45" i="31"/>
  <c r="M45" i="31"/>
  <c r="N45" i="31"/>
  <c r="O45" i="31"/>
  <c r="P45" i="31"/>
  <c r="B46" i="31"/>
  <c r="D46" i="31"/>
  <c r="E46" i="31"/>
  <c r="F46" i="31"/>
  <c r="H46" i="31"/>
  <c r="I46" i="31"/>
  <c r="K46" i="31"/>
  <c r="L46" i="31"/>
  <c r="M46" i="31"/>
  <c r="N46" i="31"/>
  <c r="O46" i="31"/>
  <c r="P46" i="31"/>
  <c r="B47" i="31"/>
  <c r="D47" i="31"/>
  <c r="E47" i="31"/>
  <c r="F47" i="31"/>
  <c r="H47" i="31"/>
  <c r="I47" i="31"/>
  <c r="J47" i="31"/>
  <c r="L47" i="31"/>
  <c r="M47" i="31"/>
  <c r="N47" i="31"/>
  <c r="O47" i="31"/>
  <c r="P47" i="31"/>
  <c r="B48" i="31"/>
  <c r="D48" i="31"/>
  <c r="E48" i="31"/>
  <c r="F48" i="31"/>
  <c r="H48" i="31"/>
  <c r="I48" i="31"/>
  <c r="J48" i="31"/>
  <c r="K48" i="31"/>
  <c r="M48" i="31"/>
  <c r="N48" i="31"/>
  <c r="O48" i="31"/>
  <c r="P48" i="31"/>
  <c r="B49" i="31"/>
  <c r="D49" i="31"/>
  <c r="E49" i="31"/>
  <c r="F49" i="31"/>
  <c r="H49" i="31"/>
  <c r="I49" i="31"/>
  <c r="J49" i="31"/>
  <c r="K49" i="31"/>
  <c r="L49" i="31"/>
  <c r="N49" i="31"/>
  <c r="O49" i="31"/>
  <c r="P49" i="31"/>
  <c r="B50" i="31"/>
  <c r="D50" i="31"/>
  <c r="E50" i="31"/>
  <c r="F50" i="31"/>
  <c r="H50" i="31"/>
  <c r="I50" i="31"/>
  <c r="J50" i="31"/>
  <c r="K50" i="31"/>
  <c r="L50" i="31"/>
  <c r="M50" i="31"/>
  <c r="O50" i="31"/>
  <c r="P50" i="31"/>
  <c r="B51" i="31"/>
  <c r="D51" i="31"/>
  <c r="E51" i="31"/>
  <c r="F51" i="31"/>
  <c r="H51" i="31"/>
  <c r="I51" i="31"/>
  <c r="J51" i="31"/>
  <c r="K51" i="31"/>
  <c r="L51" i="31"/>
  <c r="M51" i="31"/>
  <c r="N51" i="31"/>
  <c r="P51" i="31"/>
  <c r="B52" i="31"/>
  <c r="D52" i="31"/>
  <c r="E52" i="31"/>
  <c r="F52" i="31"/>
  <c r="H52" i="31"/>
  <c r="I52" i="31"/>
  <c r="J52" i="31"/>
  <c r="K52" i="31"/>
  <c r="L52" i="31"/>
  <c r="M52" i="31"/>
  <c r="N52" i="31"/>
  <c r="O52" i="31"/>
  <c r="C31" i="33"/>
  <c r="C33" i="33"/>
  <c r="AA152" i="34"/>
  <c r="AB152" i="34"/>
  <c r="Z152" i="34"/>
  <c r="AA151" i="34"/>
  <c r="AB151" i="34"/>
  <c r="Z151" i="34"/>
  <c r="AA150" i="34"/>
  <c r="AB150" i="34"/>
  <c r="Z150" i="34"/>
  <c r="AA149" i="34"/>
  <c r="AB149" i="34"/>
  <c r="Z149" i="34"/>
  <c r="Z149" i="28"/>
  <c r="AA149" i="28"/>
  <c r="AB149" i="28"/>
  <c r="Z150" i="28"/>
  <c r="AA150" i="28"/>
  <c r="AB150" i="28"/>
  <c r="Z151" i="28"/>
  <c r="AA151" i="28"/>
  <c r="AB151" i="28"/>
  <c r="Z152" i="28"/>
  <c r="AA152" i="28"/>
  <c r="AB152" i="28"/>
  <c r="Z149" i="29"/>
  <c r="AA149" i="29"/>
  <c r="AB149" i="29"/>
  <c r="Z150" i="29"/>
  <c r="AA150" i="29"/>
  <c r="AB150" i="29"/>
  <c r="Z151" i="29"/>
  <c r="AA151" i="29"/>
  <c r="AB151" i="29"/>
  <c r="Z152" i="29"/>
  <c r="AA152" i="29"/>
  <c r="AB152" i="29"/>
  <c r="Z149" i="30"/>
  <c r="AA149" i="30"/>
  <c r="AB149" i="30"/>
  <c r="Z150" i="30"/>
  <c r="AA150" i="30"/>
  <c r="AB150" i="30"/>
  <c r="Z151" i="30"/>
  <c r="AA151" i="30"/>
  <c r="AB151" i="30"/>
  <c r="Z152" i="30"/>
  <c r="AA152" i="30"/>
  <c r="AB152" i="30"/>
  <c r="Z77" i="33"/>
  <c r="AB77" i="33"/>
  <c r="Z78" i="33"/>
  <c r="AB78" i="33"/>
  <c r="Z79" i="33"/>
  <c r="AB79" i="33"/>
  <c r="Z80" i="33"/>
  <c r="AB80" i="33"/>
  <c r="Z149" i="33"/>
  <c r="AA149" i="33"/>
  <c r="AB149" i="33"/>
  <c r="Z150" i="33"/>
  <c r="AA150" i="33"/>
  <c r="AB150" i="33"/>
  <c r="Z151" i="33"/>
  <c r="AA151" i="33"/>
  <c r="AB151" i="33"/>
  <c r="Z152" i="33"/>
  <c r="AA152" i="33"/>
  <c r="AB152" i="33"/>
  <c r="Z77" i="34"/>
  <c r="AB77" i="34"/>
  <c r="Z78" i="34"/>
  <c r="AB78" i="34"/>
  <c r="Z79" i="34"/>
  <c r="AB79" i="34"/>
  <c r="Z80" i="34"/>
  <c r="AB80" i="34"/>
  <c r="Z77" i="29"/>
  <c r="AB77" i="29"/>
  <c r="Z78" i="29"/>
  <c r="AB78" i="29"/>
  <c r="Z79" i="29"/>
  <c r="AB79" i="29"/>
  <c r="Z80" i="29"/>
  <c r="AB80" i="29"/>
  <c r="AF80" i="33"/>
  <c r="AF79" i="33"/>
  <c r="AF78" i="33"/>
  <c r="AS25" i="35"/>
  <c r="AS26" i="35"/>
  <c r="AS27" i="35"/>
  <c r="AS28" i="35"/>
  <c r="BH25" i="35"/>
  <c r="BH28" i="35"/>
  <c r="BR26" i="35"/>
  <c r="BR27" i="35"/>
  <c r="BR28" i="35"/>
  <c r="AF80" i="34"/>
  <c r="AF79" i="34"/>
  <c r="AF78" i="34"/>
  <c r="AF77" i="34"/>
  <c r="CB27" i="35"/>
  <c r="CB28" i="35"/>
  <c r="CL26" i="35"/>
  <c r="CL27" i="35"/>
  <c r="CL28" i="35"/>
  <c r="CV28" i="35"/>
  <c r="CV27" i="35"/>
  <c r="CV25" i="35"/>
  <c r="G18" i="36"/>
  <c r="S18" i="36"/>
  <c r="U18" i="36"/>
  <c r="G24" i="36"/>
  <c r="I19" i="36"/>
  <c r="S19" i="36"/>
  <c r="U19" i="36"/>
  <c r="I24" i="36"/>
  <c r="S24" i="36"/>
  <c r="U24" i="36"/>
  <c r="G41" i="36"/>
  <c r="T18" i="36"/>
  <c r="G25" i="36"/>
  <c r="T19" i="36"/>
  <c r="I25" i="36"/>
  <c r="S25" i="36"/>
  <c r="U25" i="36"/>
  <c r="G39" i="36"/>
  <c r="T25" i="36"/>
  <c r="G38" i="36"/>
  <c r="CW21" i="35"/>
  <c r="CV21" i="35"/>
  <c r="CW22" i="35"/>
  <c r="CV22" i="35"/>
  <c r="CW23" i="35"/>
  <c r="CV23" i="35"/>
  <c r="CW24" i="35"/>
  <c r="CV24" i="35"/>
  <c r="CM21" i="35"/>
  <c r="CL21" i="35"/>
  <c r="CM22" i="35"/>
  <c r="CL22" i="35"/>
  <c r="CM23" i="35"/>
  <c r="CL23" i="35"/>
  <c r="CM24" i="35"/>
  <c r="CL24" i="35"/>
  <c r="BX21" i="35"/>
  <c r="BW21" i="35"/>
  <c r="CC21" i="35"/>
  <c r="CB21" i="35"/>
  <c r="CH21" i="35"/>
  <c r="CG21" i="35"/>
  <c r="BX22" i="35"/>
  <c r="BW22" i="35"/>
  <c r="CC22" i="35"/>
  <c r="CB22" i="35"/>
  <c r="CH22" i="35"/>
  <c r="CG22" i="35"/>
  <c r="BX23" i="35"/>
  <c r="BW23" i="35"/>
  <c r="CC23" i="35"/>
  <c r="CB23" i="35"/>
  <c r="CH23" i="35"/>
  <c r="CG23" i="35"/>
  <c r="BX24" i="35"/>
  <c r="BW24" i="35"/>
  <c r="CC24" i="35"/>
  <c r="CB24" i="35"/>
  <c r="CH24" i="35"/>
  <c r="CG24" i="35"/>
  <c r="AY22" i="35"/>
  <c r="C22" i="27" a="1"/>
  <c r="C22" i="27"/>
  <c r="E22" i="27"/>
  <c r="AX22" i="35"/>
  <c r="AT23" i="35"/>
  <c r="C23" i="27" a="1"/>
  <c r="C23" i="27"/>
  <c r="E23" i="27"/>
  <c r="AS23" i="35"/>
  <c r="AO23" i="35"/>
  <c r="AN23" i="35"/>
  <c r="AJ21" i="35"/>
  <c r="C21" i="27" a="1"/>
  <c r="C21" i="27"/>
  <c r="E21" i="27"/>
  <c r="AI21" i="35"/>
  <c r="AE22" i="35"/>
  <c r="AD22" i="35"/>
  <c r="Z24" i="35"/>
  <c r="C24" i="27" a="1"/>
  <c r="C24" i="27"/>
  <c r="E24" i="27"/>
  <c r="Y24" i="35"/>
  <c r="BI24" i="35"/>
  <c r="BH24" i="35"/>
  <c r="BI23" i="35"/>
  <c r="BH23" i="35"/>
  <c r="BI22" i="35"/>
  <c r="BH22" i="35"/>
  <c r="BI21" i="35"/>
  <c r="BH21" i="35"/>
  <c r="AT24" i="35"/>
  <c r="AS24" i="35"/>
  <c r="AT21" i="35"/>
  <c r="AS21" i="35"/>
  <c r="V76" i="28"/>
  <c r="W76" i="28"/>
  <c r="X76" i="28"/>
  <c r="Y76" i="28"/>
  <c r="AA76" i="28"/>
  <c r="AB76" i="28"/>
  <c r="Z76" i="28"/>
  <c r="V75" i="28"/>
  <c r="W75" i="28"/>
  <c r="X75" i="28"/>
  <c r="Y75" i="28"/>
  <c r="AA75" i="28"/>
  <c r="AB75" i="28"/>
  <c r="Z75" i="28"/>
  <c r="V74" i="28"/>
  <c r="W74" i="28"/>
  <c r="X74" i="28"/>
  <c r="Y74" i="28"/>
  <c r="AA74" i="28"/>
  <c r="AB74" i="28"/>
  <c r="Z74" i="28"/>
  <c r="V73" i="28"/>
  <c r="W73" i="28"/>
  <c r="X73" i="28"/>
  <c r="Y73" i="28"/>
  <c r="AA73" i="28"/>
  <c r="AB73" i="28"/>
  <c r="Z73" i="28"/>
  <c r="V76" i="30"/>
  <c r="W76" i="30"/>
  <c r="X76" i="30"/>
  <c r="Y76" i="30"/>
  <c r="AA76" i="30"/>
  <c r="AB76" i="30"/>
  <c r="Z76" i="30"/>
  <c r="V75" i="30"/>
  <c r="W75" i="30"/>
  <c r="X75" i="30"/>
  <c r="Y75" i="30"/>
  <c r="AA75" i="30"/>
  <c r="AB75" i="30"/>
  <c r="Z75" i="30"/>
  <c r="V74" i="30"/>
  <c r="W74" i="30"/>
  <c r="X74" i="30"/>
  <c r="Y74" i="30"/>
  <c r="AA74" i="30"/>
  <c r="AB74" i="30"/>
  <c r="Z74" i="30"/>
  <c r="V73" i="30"/>
  <c r="W73" i="30"/>
  <c r="X73" i="30"/>
  <c r="Y73" i="30"/>
  <c r="AA73" i="30"/>
  <c r="AB73" i="30"/>
  <c r="Z73" i="30"/>
  <c r="V74" i="33"/>
  <c r="W74" i="33"/>
  <c r="X74" i="33"/>
  <c r="Y74" i="33"/>
  <c r="AA74" i="33"/>
  <c r="AF74" i="33"/>
  <c r="V75" i="33"/>
  <c r="W75" i="33"/>
  <c r="X75" i="33"/>
  <c r="Y75" i="33"/>
  <c r="AA75" i="33"/>
  <c r="AF75" i="33"/>
  <c r="V76" i="33"/>
  <c r="W76" i="33"/>
  <c r="X76" i="33"/>
  <c r="Y76" i="33"/>
  <c r="AA76" i="33"/>
  <c r="AF76" i="33"/>
  <c r="Q64" i="34"/>
  <c r="C30" i="34"/>
  <c r="C49" i="10"/>
  <c r="C44" i="10"/>
  <c r="H43" i="10"/>
  <c r="H49" i="10"/>
  <c r="C45" i="10"/>
  <c r="I43" i="10"/>
  <c r="I49" i="10"/>
  <c r="C46" i="10"/>
  <c r="J43" i="10"/>
  <c r="J49" i="10"/>
  <c r="C47" i="10"/>
  <c r="K43" i="10"/>
  <c r="K49" i="10"/>
  <c r="C50" i="10"/>
  <c r="H50" i="10"/>
  <c r="I50" i="10"/>
  <c r="J50" i="10"/>
  <c r="K50" i="10"/>
  <c r="C51" i="10"/>
  <c r="H51" i="10"/>
  <c r="I51" i="10"/>
  <c r="J51" i="10"/>
  <c r="K51" i="10"/>
  <c r="C52" i="10"/>
  <c r="H52" i="10"/>
  <c r="I52" i="10"/>
  <c r="J52" i="10"/>
  <c r="K52" i="10"/>
  <c r="M43" i="10"/>
  <c r="M52" i="10"/>
  <c r="M51" i="10"/>
  <c r="M50" i="10"/>
  <c r="O43" i="10"/>
  <c r="O52" i="10"/>
  <c r="O46" i="10"/>
  <c r="O47" i="10"/>
  <c r="C48" i="10"/>
  <c r="O48" i="10"/>
  <c r="O49" i="10"/>
  <c r="O50" i="10"/>
  <c r="M46" i="10"/>
  <c r="M47" i="10"/>
  <c r="M48" i="10"/>
  <c r="O45" i="10"/>
  <c r="N43" i="10"/>
  <c r="N45" i="10"/>
  <c r="M45" i="10"/>
  <c r="N44" i="10"/>
  <c r="Q49" i="10"/>
  <c r="Q50" i="10"/>
  <c r="Q51" i="10"/>
  <c r="D17" i="3"/>
  <c r="Q52" i="10"/>
  <c r="Q48" i="10"/>
  <c r="Q47" i="10"/>
  <c r="Q46" i="10"/>
  <c r="Q45" i="10"/>
  <c r="Q44" i="10"/>
  <c r="B45" i="10"/>
  <c r="B46" i="10"/>
  <c r="B47" i="10"/>
  <c r="B48" i="10"/>
  <c r="B44" i="10"/>
  <c r="D44" i="10"/>
  <c r="E44" i="10"/>
  <c r="F44" i="10"/>
  <c r="D45" i="10"/>
  <c r="E45" i="10"/>
  <c r="F45" i="10"/>
  <c r="D46" i="10"/>
  <c r="E46" i="10"/>
  <c r="F46" i="10"/>
  <c r="D47" i="10"/>
  <c r="E47" i="10"/>
  <c r="F47" i="10"/>
  <c r="D48" i="10"/>
  <c r="E48" i="10"/>
  <c r="F48" i="10"/>
  <c r="H42" i="10"/>
  <c r="I42" i="10"/>
  <c r="J42" i="10"/>
  <c r="K42" i="10"/>
  <c r="L43" i="10"/>
  <c r="L42" i="10"/>
  <c r="P43" i="10"/>
  <c r="P42" i="10"/>
  <c r="I44" i="10"/>
  <c r="J44" i="10"/>
  <c r="K44" i="10"/>
  <c r="L44" i="10"/>
  <c r="P44" i="10"/>
  <c r="H45" i="10"/>
  <c r="J45" i="10"/>
  <c r="K45" i="10"/>
  <c r="L45" i="10"/>
  <c r="P45" i="10"/>
  <c r="H46" i="10"/>
  <c r="I46" i="10"/>
  <c r="K46" i="10"/>
  <c r="L46" i="10"/>
  <c r="H47" i="10"/>
  <c r="I47" i="10"/>
  <c r="J47" i="10"/>
  <c r="L47" i="10"/>
  <c r="H48" i="10"/>
  <c r="I48" i="10"/>
  <c r="J48" i="10"/>
  <c r="K48" i="10"/>
  <c r="G44" i="10"/>
  <c r="G45" i="10"/>
  <c r="G46" i="10"/>
  <c r="G47" i="10"/>
  <c r="G48" i="10"/>
  <c r="G52" i="10"/>
  <c r="F52" i="10"/>
  <c r="E52" i="10"/>
  <c r="D52" i="10"/>
  <c r="B52" i="10"/>
  <c r="G51" i="10"/>
  <c r="F51" i="10"/>
  <c r="E51" i="10"/>
  <c r="D51" i="10"/>
  <c r="B51" i="10"/>
  <c r="G50" i="10"/>
  <c r="F50" i="10"/>
  <c r="E50" i="10"/>
  <c r="D50" i="10"/>
  <c r="B50" i="10"/>
  <c r="G49" i="10"/>
  <c r="F49" i="10"/>
  <c r="E49" i="10"/>
  <c r="D49" i="10"/>
  <c r="B49" i="10"/>
  <c r="M42" i="10"/>
  <c r="N42" i="10"/>
  <c r="O42" i="10"/>
  <c r="M44" i="10"/>
  <c r="O44" i="10"/>
  <c r="N49" i="10"/>
  <c r="N48" i="10"/>
  <c r="N47" i="10"/>
  <c r="N46" i="10"/>
  <c r="P51" i="10"/>
  <c r="P50" i="10"/>
  <c r="P49" i="10"/>
  <c r="P48" i="10"/>
  <c r="P47" i="10"/>
  <c r="P46" i="10"/>
  <c r="N51" i="10"/>
  <c r="N52" i="10"/>
  <c r="L49" i="10"/>
  <c r="L50" i="10"/>
  <c r="L51" i="10"/>
  <c r="L52" i="10"/>
  <c r="C37" i="10"/>
  <c r="C32" i="10"/>
  <c r="H31" i="10"/>
  <c r="H37" i="10"/>
  <c r="C33" i="10"/>
  <c r="I31" i="10"/>
  <c r="I37" i="10"/>
  <c r="C34" i="10"/>
  <c r="J31" i="10"/>
  <c r="J37" i="10"/>
  <c r="C38" i="10"/>
  <c r="H38" i="10"/>
  <c r="I38" i="10"/>
  <c r="J38" i="10"/>
  <c r="C39" i="10"/>
  <c r="H39" i="10"/>
  <c r="I39" i="10"/>
  <c r="J39" i="10"/>
  <c r="C40" i="10"/>
  <c r="H40" i="10"/>
  <c r="I40" i="10"/>
  <c r="J40" i="10"/>
  <c r="C36" i="10"/>
  <c r="L31" i="10"/>
  <c r="L40" i="10"/>
  <c r="L39" i="10"/>
  <c r="L38" i="10"/>
  <c r="L37" i="10"/>
  <c r="N31" i="10"/>
  <c r="N40" i="10"/>
  <c r="N39" i="10"/>
  <c r="P31" i="10"/>
  <c r="P37" i="10"/>
  <c r="P38" i="10"/>
  <c r="P39" i="10"/>
  <c r="N34" i="10"/>
  <c r="C35" i="10"/>
  <c r="N35" i="10"/>
  <c r="N36" i="10"/>
  <c r="N37" i="10"/>
  <c r="O31" i="10"/>
  <c r="O33" i="10"/>
  <c r="N33" i="10"/>
  <c r="M31" i="10"/>
  <c r="M33" i="10"/>
  <c r="N32" i="10"/>
  <c r="C25" i="10"/>
  <c r="C28" i="10"/>
  <c r="P19" i="10"/>
  <c r="P25" i="10"/>
  <c r="C26" i="10"/>
  <c r="P26" i="10"/>
  <c r="C27" i="10"/>
  <c r="P27" i="10"/>
  <c r="N19" i="10"/>
  <c r="N28" i="10"/>
  <c r="N27" i="10"/>
  <c r="C21" i="10"/>
  <c r="I19" i="10"/>
  <c r="I25" i="10"/>
  <c r="I26" i="10"/>
  <c r="I27" i="10"/>
  <c r="I28" i="10"/>
  <c r="C23" i="10"/>
  <c r="K19" i="10"/>
  <c r="K25" i="10"/>
  <c r="K26" i="10"/>
  <c r="K27" i="10"/>
  <c r="K28" i="10"/>
  <c r="M19" i="10"/>
  <c r="M28" i="10"/>
  <c r="C22" i="10"/>
  <c r="O19" i="10"/>
  <c r="O22" i="10"/>
  <c r="O23" i="10"/>
  <c r="C24" i="10"/>
  <c r="O24" i="10"/>
  <c r="O25" i="10"/>
  <c r="O26" i="10"/>
  <c r="M22" i="10"/>
  <c r="M23" i="10"/>
  <c r="M24" i="10"/>
  <c r="C20" i="10"/>
  <c r="O20" i="10"/>
  <c r="M20" i="10"/>
  <c r="C16" i="10"/>
  <c r="C15" i="10"/>
  <c r="O7" i="10"/>
  <c r="O16" i="10"/>
  <c r="C9" i="10"/>
  <c r="O9" i="10"/>
  <c r="C14" i="10"/>
  <c r="N7" i="10"/>
  <c r="N15" i="10"/>
  <c r="N9" i="10"/>
  <c r="C13" i="10"/>
  <c r="M7" i="10"/>
  <c r="M15" i="10"/>
  <c r="M14" i="10"/>
  <c r="M9" i="10"/>
  <c r="C10" i="10"/>
  <c r="M10" i="10"/>
  <c r="C11" i="10"/>
  <c r="M11" i="10"/>
  <c r="C12" i="10"/>
  <c r="M12" i="10"/>
  <c r="C8" i="10"/>
  <c r="H7" i="10"/>
  <c r="H13" i="10"/>
  <c r="I7" i="10"/>
  <c r="I13" i="10"/>
  <c r="J7" i="10"/>
  <c r="J13" i="10"/>
  <c r="K7" i="10"/>
  <c r="K13" i="10"/>
  <c r="H14" i="10"/>
  <c r="I14" i="10"/>
  <c r="J14" i="10"/>
  <c r="K14" i="10"/>
  <c r="H15" i="10"/>
  <c r="I15" i="10"/>
  <c r="J15" i="10"/>
  <c r="K15" i="10"/>
  <c r="H16" i="10"/>
  <c r="I16" i="10"/>
  <c r="J16" i="10"/>
  <c r="K16" i="10"/>
  <c r="N8" i="10"/>
  <c r="O18" i="10"/>
  <c r="N18" i="10"/>
  <c r="M18" i="10"/>
  <c r="B37" i="10"/>
  <c r="D37" i="10"/>
  <c r="E37" i="10"/>
  <c r="F37" i="10"/>
  <c r="G37" i="10"/>
  <c r="B38" i="10"/>
  <c r="D38" i="10"/>
  <c r="E38" i="10"/>
  <c r="F38" i="10"/>
  <c r="G38" i="10"/>
  <c r="B39" i="10"/>
  <c r="D39" i="10"/>
  <c r="E39" i="10"/>
  <c r="F39" i="10"/>
  <c r="G39" i="10"/>
  <c r="B40" i="10"/>
  <c r="D40" i="10"/>
  <c r="E40" i="10"/>
  <c r="F40" i="10"/>
  <c r="G40" i="10"/>
  <c r="Q13" i="10"/>
  <c r="Q14" i="10"/>
  <c r="Q15" i="10"/>
  <c r="G36" i="10"/>
  <c r="G35" i="10"/>
  <c r="G34" i="10"/>
  <c r="G33" i="10"/>
  <c r="G32" i="10"/>
  <c r="G28" i="10"/>
  <c r="G24" i="10"/>
  <c r="G23" i="10"/>
  <c r="G22" i="10"/>
  <c r="G21" i="10"/>
  <c r="G20" i="10"/>
  <c r="G12" i="10"/>
  <c r="G11" i="10"/>
  <c r="G10" i="10"/>
  <c r="G9" i="10"/>
  <c r="G8" i="10"/>
  <c r="AB11" i="6"/>
  <c r="AB18" i="6"/>
  <c r="AE11" i="6"/>
  <c r="AE20" i="6"/>
  <c r="AD11" i="6"/>
  <c r="AD20" i="6"/>
  <c r="AC11" i="6"/>
  <c r="AC20" i="6"/>
  <c r="AF11" i="6"/>
  <c r="AF19" i="6"/>
  <c r="AD19" i="6"/>
  <c r="AC19" i="6"/>
  <c r="AF18" i="6"/>
  <c r="AE18" i="6"/>
  <c r="AC18" i="6"/>
  <c r="AF17" i="6"/>
  <c r="AE17" i="6"/>
  <c r="AD17" i="6"/>
  <c r="AF16" i="6"/>
  <c r="AE16" i="6"/>
  <c r="AD16" i="6"/>
  <c r="AC16" i="6"/>
  <c r="AF15" i="6"/>
  <c r="AE15" i="6"/>
  <c r="AD15" i="6"/>
  <c r="AC15" i="6"/>
  <c r="AF14" i="6"/>
  <c r="AE14" i="6"/>
  <c r="AD14" i="6"/>
  <c r="AC14" i="6"/>
  <c r="AF13" i="6"/>
  <c r="AE13" i="6"/>
  <c r="AD13" i="6"/>
  <c r="AC13" i="6"/>
  <c r="AE12" i="6"/>
  <c r="AC12" i="6"/>
  <c r="AE10" i="6"/>
  <c r="AC10" i="6"/>
  <c r="AG19" i="6"/>
  <c r="AA11" i="6"/>
  <c r="AA19" i="6"/>
  <c r="Z11" i="6"/>
  <c r="Z19" i="6"/>
  <c r="Y11" i="6"/>
  <c r="Y19" i="6"/>
  <c r="X11" i="6"/>
  <c r="X19" i="6"/>
  <c r="W19" i="6"/>
  <c r="V19" i="6"/>
  <c r="U19" i="6"/>
  <c r="S19" i="6"/>
  <c r="R19" i="6"/>
  <c r="Q19" i="6"/>
  <c r="P19" i="6"/>
  <c r="O19" i="6"/>
  <c r="AG18" i="6"/>
  <c r="AA18" i="6"/>
  <c r="Z18" i="6"/>
  <c r="Y18" i="6"/>
  <c r="X18" i="6"/>
  <c r="W18" i="6"/>
  <c r="V18" i="6"/>
  <c r="U18" i="6"/>
  <c r="S18" i="6"/>
  <c r="R18" i="6"/>
  <c r="Q18" i="6"/>
  <c r="P18" i="6"/>
  <c r="O18" i="6"/>
  <c r="AG17" i="6"/>
  <c r="AA17" i="6"/>
  <c r="Z17" i="6"/>
  <c r="Y17" i="6"/>
  <c r="X17" i="6"/>
  <c r="W17" i="6"/>
  <c r="V17" i="6"/>
  <c r="U17" i="6"/>
  <c r="S17" i="6"/>
  <c r="R17" i="6"/>
  <c r="Q17" i="6"/>
  <c r="P17" i="6"/>
  <c r="O17" i="6"/>
  <c r="AG20" i="6"/>
  <c r="AB20" i="6"/>
  <c r="AA20" i="6"/>
  <c r="Z20" i="6"/>
  <c r="Y20" i="6"/>
  <c r="X20" i="6"/>
  <c r="W20" i="6"/>
  <c r="V20" i="6"/>
  <c r="U20" i="6"/>
  <c r="S20" i="6"/>
  <c r="R20" i="6"/>
  <c r="Q20" i="6"/>
  <c r="P20" i="6"/>
  <c r="O20" i="6"/>
  <c r="M12" i="6"/>
  <c r="M13" i="6"/>
  <c r="M14" i="6"/>
  <c r="M15" i="6"/>
  <c r="M16" i="6"/>
  <c r="M17" i="6"/>
  <c r="M18" i="6"/>
  <c r="M19" i="6"/>
  <c r="M20" i="6"/>
  <c r="Q66" i="30"/>
  <c r="C32" i="30"/>
  <c r="Q64" i="30"/>
  <c r="C30" i="30"/>
  <c r="Q66" i="29"/>
  <c r="C32" i="29"/>
  <c r="Q64" i="29"/>
  <c r="C30" i="29"/>
  <c r="Q66" i="28"/>
  <c r="C32" i="28"/>
  <c r="Q64" i="28"/>
  <c r="C30" i="28"/>
  <c r="P36" i="10"/>
  <c r="K31" i="10"/>
  <c r="K36" i="10"/>
  <c r="J36" i="10"/>
  <c r="I36" i="10"/>
  <c r="H36" i="10"/>
  <c r="P35" i="10"/>
  <c r="L35" i="10"/>
  <c r="J35" i="10"/>
  <c r="I35" i="10"/>
  <c r="H35" i="10"/>
  <c r="P34" i="10"/>
  <c r="L34" i="10"/>
  <c r="K34" i="10"/>
  <c r="I34" i="10"/>
  <c r="H34" i="10"/>
  <c r="P33" i="10"/>
  <c r="L33" i="10"/>
  <c r="K33" i="10"/>
  <c r="J33" i="10"/>
  <c r="H33" i="10"/>
  <c r="P32" i="10"/>
  <c r="L32" i="10"/>
  <c r="K32" i="10"/>
  <c r="J32" i="10"/>
  <c r="I32" i="10"/>
  <c r="L7" i="10"/>
  <c r="L16" i="10"/>
  <c r="P7" i="10"/>
  <c r="P12" i="10"/>
  <c r="K12" i="10"/>
  <c r="J12" i="10"/>
  <c r="I12" i="10"/>
  <c r="H12" i="10"/>
  <c r="P11" i="10"/>
  <c r="L11" i="10"/>
  <c r="J11" i="10"/>
  <c r="I11" i="10"/>
  <c r="H11" i="10"/>
  <c r="P10" i="10"/>
  <c r="L10" i="10"/>
  <c r="K10" i="10"/>
  <c r="I10" i="10"/>
  <c r="H10" i="10"/>
  <c r="P9" i="10"/>
  <c r="L9" i="10"/>
  <c r="K9" i="10"/>
  <c r="J9" i="10"/>
  <c r="H9" i="10"/>
  <c r="P8" i="10"/>
  <c r="L8" i="10"/>
  <c r="K8" i="10"/>
  <c r="J8" i="10"/>
  <c r="I8" i="10"/>
  <c r="AA16" i="6"/>
  <c r="Z16" i="6"/>
  <c r="Y16" i="6"/>
  <c r="X16" i="6"/>
  <c r="AB15" i="6"/>
  <c r="Z15" i="6"/>
  <c r="Y15" i="6"/>
  <c r="X15" i="6"/>
  <c r="AB14" i="6"/>
  <c r="AA14" i="6"/>
  <c r="Y14" i="6"/>
  <c r="X14" i="6"/>
  <c r="AB13" i="6"/>
  <c r="AA13" i="6"/>
  <c r="Z13" i="6"/>
  <c r="X13" i="6"/>
  <c r="AF12" i="6"/>
  <c r="AB12" i="6"/>
  <c r="AA12" i="6"/>
  <c r="Z12" i="6"/>
  <c r="Y12" i="6"/>
  <c r="R16" i="6"/>
  <c r="R12" i="6"/>
  <c r="P30" i="10"/>
  <c r="L30" i="10"/>
  <c r="K30" i="10"/>
  <c r="J30" i="10"/>
  <c r="I30" i="10"/>
  <c r="H30" i="10"/>
  <c r="P18" i="10"/>
  <c r="L19" i="10"/>
  <c r="L18" i="10"/>
  <c r="K18" i="10"/>
  <c r="J19" i="10"/>
  <c r="J18" i="10"/>
  <c r="I18" i="10"/>
  <c r="H19" i="10"/>
  <c r="H18" i="10"/>
  <c r="P6" i="10"/>
  <c r="L6" i="10"/>
  <c r="K6" i="10"/>
  <c r="J6" i="10"/>
  <c r="I6" i="10"/>
  <c r="AG13" i="6"/>
  <c r="AG14" i="6"/>
  <c r="AG15" i="6"/>
  <c r="AG16" i="6"/>
  <c r="AG12" i="6"/>
  <c r="Y10" i="6"/>
  <c r="Z10" i="6"/>
  <c r="AA10" i="6"/>
  <c r="AB10" i="6"/>
  <c r="X10"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8" i="10"/>
  <c r="E9" i="10"/>
  <c r="E10" i="10"/>
  <c r="E11" i="10"/>
  <c r="E12" i="10"/>
  <c r="E8" i="10"/>
  <c r="D9" i="10"/>
  <c r="D10" i="10"/>
  <c r="D11" i="10"/>
  <c r="D12" i="10"/>
  <c r="D8" i="10"/>
  <c r="B8" i="10"/>
  <c r="B12" i="10"/>
  <c r="B11" i="10"/>
  <c r="B10" i="10"/>
  <c r="B9" i="10"/>
  <c r="F28" i="10"/>
  <c r="E28" i="10"/>
  <c r="D28" i="10"/>
  <c r="F24" i="10"/>
  <c r="E24" i="10"/>
  <c r="D24" i="10"/>
  <c r="F23" i="10"/>
  <c r="E23" i="10"/>
  <c r="D23" i="10"/>
  <c r="F22" i="10"/>
  <c r="E22" i="10"/>
  <c r="D22" i="10"/>
  <c r="F21" i="10"/>
  <c r="E21" i="10"/>
  <c r="D21" i="10"/>
  <c r="F20" i="10"/>
  <c r="E20" i="10"/>
  <c r="D20" i="10"/>
  <c r="D32" i="10"/>
  <c r="F36" i="10"/>
  <c r="E36" i="10"/>
  <c r="D36" i="10"/>
  <c r="F35" i="10"/>
  <c r="E35" i="10"/>
  <c r="D35" i="10"/>
  <c r="F34" i="10"/>
  <c r="E34" i="10"/>
  <c r="D34" i="10"/>
  <c r="F33" i="10"/>
  <c r="E33" i="10"/>
  <c r="D33" i="10"/>
  <c r="F32" i="10"/>
  <c r="E32" i="10"/>
  <c r="B20" i="10"/>
  <c r="B28" i="10"/>
  <c r="B24" i="10"/>
  <c r="B23" i="10"/>
  <c r="B22" i="10"/>
  <c r="B21" i="10"/>
  <c r="B32" i="10"/>
  <c r="B36" i="10"/>
  <c r="B35" i="10"/>
  <c r="B34" i="10"/>
  <c r="B33" i="10"/>
  <c r="Q8" i="10"/>
  <c r="Q16" i="10"/>
  <c r="Q12" i="10"/>
  <c r="Q11" i="10"/>
  <c r="Q10" i="10"/>
  <c r="Q9" i="10"/>
  <c r="Q20" i="10"/>
  <c r="Q21" i="10"/>
  <c r="Q22" i="10"/>
  <c r="Q23" i="10"/>
  <c r="Q24" i="10"/>
  <c r="Q28" i="10"/>
  <c r="Q32" i="10"/>
  <c r="Q33" i="10"/>
  <c r="Q34" i="10"/>
  <c r="Q35" i="10"/>
  <c r="Q36" i="10"/>
  <c r="Q40" i="10"/>
  <c r="H6" i="10"/>
  <c r="AD10" i="6"/>
  <c r="AF10" i="6"/>
  <c r="AD12" i="6"/>
  <c r="AB17" i="6"/>
  <c r="AB19" i="6"/>
  <c r="N6" i="10"/>
  <c r="O6" i="10"/>
  <c r="M6" i="10"/>
  <c r="G16" i="10"/>
  <c r="F16" i="10"/>
  <c r="E16" i="10"/>
  <c r="D16" i="10"/>
  <c r="B16" i="10"/>
  <c r="G15" i="10"/>
  <c r="F15" i="10"/>
  <c r="E15" i="10"/>
  <c r="D15" i="10"/>
  <c r="B15" i="10"/>
  <c r="G14" i="10"/>
  <c r="F14" i="10"/>
  <c r="E14" i="10"/>
  <c r="D14" i="10"/>
  <c r="B14" i="10"/>
  <c r="G13" i="10"/>
  <c r="F13" i="10"/>
  <c r="E13" i="10"/>
  <c r="D13" i="10"/>
  <c r="B13" i="10"/>
  <c r="G27" i="10"/>
  <c r="F27" i="10"/>
  <c r="E27" i="10"/>
  <c r="D27" i="10"/>
  <c r="B27" i="10"/>
  <c r="G26" i="10"/>
  <c r="F26" i="10"/>
  <c r="E26" i="10"/>
  <c r="D26" i="10"/>
  <c r="B26" i="10"/>
  <c r="G25" i="10"/>
  <c r="F25" i="10"/>
  <c r="E25" i="10"/>
  <c r="D25" i="10"/>
  <c r="B25" i="10"/>
  <c r="Q27" i="10"/>
  <c r="Q26" i="10"/>
  <c r="Q25" i="10"/>
  <c r="Q39" i="10"/>
  <c r="Q38" i="10"/>
  <c r="Q37" i="10"/>
  <c r="M30" i="10"/>
  <c r="N30" i="10"/>
  <c r="O30" i="10"/>
  <c r="M8" i="10"/>
  <c r="O8" i="10"/>
  <c r="L13" i="10"/>
  <c r="L14" i="10"/>
  <c r="L15" i="10"/>
  <c r="M16" i="10"/>
  <c r="N13" i="10"/>
  <c r="N12" i="10"/>
  <c r="N11" i="10"/>
  <c r="N10" i="10"/>
  <c r="N16" i="10"/>
  <c r="O10" i="10"/>
  <c r="O11" i="10"/>
  <c r="O12" i="10"/>
  <c r="O13" i="10"/>
  <c r="O14" i="10"/>
  <c r="P15" i="10"/>
  <c r="P14" i="10"/>
  <c r="P13" i="10"/>
  <c r="P24" i="10"/>
  <c r="K24" i="10"/>
  <c r="J24" i="10"/>
  <c r="I24" i="10"/>
  <c r="H24" i="10"/>
  <c r="P23" i="10"/>
  <c r="L23" i="10"/>
  <c r="J23" i="10"/>
  <c r="I23" i="10"/>
  <c r="H23" i="10"/>
  <c r="P22" i="10"/>
  <c r="L22" i="10"/>
  <c r="K22" i="10"/>
  <c r="I22" i="10"/>
  <c r="H22" i="10"/>
  <c r="P21" i="10"/>
  <c r="L21" i="10"/>
  <c r="K21" i="10"/>
  <c r="J21" i="10"/>
  <c r="H21" i="10"/>
  <c r="P20" i="10"/>
  <c r="L20" i="10"/>
  <c r="K20" i="10"/>
  <c r="J20" i="10"/>
  <c r="I20" i="10"/>
  <c r="N20" i="10"/>
  <c r="M21" i="10"/>
  <c r="N21" i="10"/>
  <c r="O21" i="10"/>
  <c r="N25" i="10"/>
  <c r="N24" i="10"/>
  <c r="N23" i="10"/>
  <c r="N22" i="10"/>
  <c r="M26" i="10"/>
  <c r="M27" i="10"/>
  <c r="L25" i="10"/>
  <c r="L26" i="10"/>
  <c r="L27" i="10"/>
  <c r="L28" i="10"/>
  <c r="J28" i="10"/>
  <c r="J27" i="10"/>
  <c r="J26" i="10"/>
  <c r="J25" i="10"/>
  <c r="H28" i="10"/>
  <c r="H27" i="10"/>
  <c r="H26" i="10"/>
  <c r="H25" i="10"/>
  <c r="O28" i="10"/>
  <c r="M32" i="10"/>
  <c r="O32" i="10"/>
  <c r="M36" i="10"/>
  <c r="M35" i="10"/>
  <c r="M34" i="10"/>
  <c r="O38" i="10"/>
  <c r="O37" i="10"/>
  <c r="O36" i="10"/>
  <c r="O35" i="10"/>
  <c r="O34" i="10"/>
  <c r="O40" i="10"/>
  <c r="M38" i="10"/>
  <c r="M39" i="10"/>
  <c r="M40" i="10"/>
  <c r="K40" i="10"/>
  <c r="K39" i="10"/>
  <c r="K38" i="10"/>
  <c r="K37" i="10"/>
  <c r="Q64" i="33"/>
  <c r="C30" i="33"/>
  <c r="Q66" i="33"/>
  <c r="C32" i="33"/>
  <c r="AA148" i="33"/>
  <c r="AB148" i="33"/>
  <c r="Z148" i="33"/>
  <c r="AB76" i="33"/>
  <c r="Z76" i="33"/>
  <c r="AA148" i="30"/>
  <c r="AB148" i="30"/>
  <c r="Z148" i="30"/>
  <c r="V76" i="29"/>
  <c r="W76" i="29"/>
  <c r="X76" i="29"/>
  <c r="Y76" i="29"/>
  <c r="AA76" i="29"/>
  <c r="AA148" i="29"/>
  <c r="AB148" i="29"/>
  <c r="Z148" i="29"/>
  <c r="AA148" i="28"/>
  <c r="AB148" i="28"/>
  <c r="Z148" i="28"/>
  <c r="V76" i="34"/>
  <c r="W76" i="34"/>
  <c r="Z76" i="34"/>
  <c r="X76" i="34"/>
  <c r="Y76" i="34"/>
  <c r="AA76" i="34"/>
  <c r="AB76" i="34"/>
  <c r="Z148" i="34"/>
  <c r="AA148" i="34"/>
  <c r="AB148" i="34"/>
  <c r="AA147" i="33"/>
  <c r="AB147" i="33"/>
  <c r="Z147" i="33"/>
  <c r="AA146" i="33"/>
  <c r="AB146" i="33"/>
  <c r="Z146" i="33"/>
  <c r="V73" i="33"/>
  <c r="W73" i="33"/>
  <c r="X73" i="33"/>
  <c r="Y73" i="33"/>
  <c r="AA73" i="33"/>
  <c r="AA145" i="33"/>
  <c r="AB145" i="33"/>
  <c r="Z145" i="33"/>
  <c r="AB75" i="33"/>
  <c r="Z75" i="33"/>
  <c r="AB74" i="33"/>
  <c r="Z74" i="33"/>
  <c r="AB73" i="33"/>
  <c r="Z73" i="33"/>
  <c r="Z145" i="28"/>
  <c r="AA145" i="28"/>
  <c r="AB145" i="28"/>
  <c r="Z146" i="28"/>
  <c r="AA146" i="28"/>
  <c r="AB146" i="28"/>
  <c r="Z147" i="28"/>
  <c r="AA147" i="28"/>
  <c r="AB147" i="28"/>
  <c r="W73" i="29"/>
  <c r="V73" i="29"/>
  <c r="Z145" i="29"/>
  <c r="X73" i="29"/>
  <c r="Y73" i="29"/>
  <c r="AA73" i="29"/>
  <c r="AA145" i="29"/>
  <c r="AB145" i="29"/>
  <c r="W74" i="29"/>
  <c r="V74" i="29"/>
  <c r="Z146" i="29"/>
  <c r="X74" i="29"/>
  <c r="Y74" i="29"/>
  <c r="AA74" i="29"/>
  <c r="AA146" i="29"/>
  <c r="AB146" i="29"/>
  <c r="W75" i="29"/>
  <c r="V75" i="29"/>
  <c r="Z147" i="29"/>
  <c r="X75" i="29"/>
  <c r="Y75" i="29"/>
  <c r="AA75" i="29"/>
  <c r="AA147" i="29"/>
  <c r="AB147" i="29"/>
  <c r="Z145" i="30"/>
  <c r="AA145" i="30"/>
  <c r="AB145" i="30"/>
  <c r="Z146" i="30"/>
  <c r="AA146" i="30"/>
  <c r="AB146" i="30"/>
  <c r="Z147" i="30"/>
  <c r="AA147" i="30"/>
  <c r="AB147" i="30"/>
  <c r="V73" i="34"/>
  <c r="W73" i="34"/>
  <c r="Z73" i="34"/>
  <c r="X73" i="34"/>
  <c r="Y73" i="34"/>
  <c r="AA73" i="34"/>
  <c r="AB73" i="34"/>
  <c r="V74" i="34"/>
  <c r="W74" i="34"/>
  <c r="Z74" i="34"/>
  <c r="X74" i="34"/>
  <c r="Y74" i="34"/>
  <c r="AA74" i="34"/>
  <c r="AB74" i="34"/>
  <c r="V75" i="34"/>
  <c r="W75" i="34"/>
  <c r="Z75" i="34"/>
  <c r="X75" i="34"/>
  <c r="Y75" i="34"/>
  <c r="AA75" i="34"/>
  <c r="AB75" i="34"/>
  <c r="Z145" i="34"/>
  <c r="AA145" i="34"/>
  <c r="AB145" i="34"/>
  <c r="Z146" i="34"/>
  <c r="AA146" i="34"/>
  <c r="AB146" i="34"/>
  <c r="Z147" i="34"/>
  <c r="AA147" i="34"/>
  <c r="AB147" i="34"/>
  <c r="Z73" i="29"/>
  <c r="AB73" i="29"/>
  <c r="Z74" i="29"/>
  <c r="AB74" i="29"/>
  <c r="Z75" i="29"/>
  <c r="AB75" i="29"/>
  <c r="Z76" i="29"/>
  <c r="AB76" i="29"/>
  <c r="AF76" i="34"/>
  <c r="AF75" i="34"/>
  <c r="AF74" i="34"/>
  <c r="AF73" i="34"/>
  <c r="AF76" i="30"/>
  <c r="AF75" i="30"/>
  <c r="AF73" i="30"/>
  <c r="U21" i="35"/>
  <c r="T21" i="35"/>
  <c r="Z21" i="35"/>
  <c r="Y21" i="35"/>
  <c r="AO21" i="35"/>
  <c r="AN21" i="35"/>
  <c r="P22" i="35"/>
  <c r="O22" i="35"/>
  <c r="U22" i="35"/>
  <c r="T22" i="35"/>
  <c r="Z22" i="35"/>
  <c r="Y22" i="35"/>
  <c r="AJ22" i="35"/>
  <c r="AI22" i="35"/>
  <c r="P23" i="35"/>
  <c r="O23" i="35"/>
  <c r="U23" i="35"/>
  <c r="T23" i="35"/>
  <c r="Z23" i="35"/>
  <c r="Y23" i="35"/>
  <c r="AE23" i="35"/>
  <c r="AD23" i="35"/>
  <c r="P24" i="35"/>
  <c r="O24" i="35"/>
  <c r="AE24" i="35"/>
  <c r="AD24" i="35"/>
  <c r="AJ24" i="35"/>
  <c r="AI24" i="35"/>
  <c r="AO24" i="35"/>
  <c r="AN24" i="35"/>
  <c r="AY21" i="35"/>
  <c r="AX21" i="35"/>
  <c r="AY23" i="35"/>
  <c r="AX23" i="35"/>
  <c r="BN21" i="35"/>
  <c r="BM21" i="35"/>
  <c r="BN22" i="35"/>
  <c r="BM22" i="35"/>
  <c r="BN23" i="35"/>
  <c r="BM23" i="35"/>
  <c r="BN24" i="35"/>
  <c r="BM24" i="35"/>
  <c r="CR21" i="35"/>
  <c r="CQ21" i="35"/>
  <c r="CR22" i="35"/>
  <c r="CQ22" i="35"/>
  <c r="CR23" i="35"/>
  <c r="CQ23" i="35"/>
  <c r="CR24" i="35"/>
  <c r="CQ24" i="35"/>
  <c r="BS24" i="35"/>
  <c r="BR24" i="35"/>
  <c r="BS23" i="35"/>
  <c r="BR23" i="35"/>
  <c r="BS22" i="35"/>
  <c r="BR22" i="35"/>
  <c r="BS21" i="35"/>
  <c r="BR21" i="35"/>
  <c r="BD21" i="35"/>
  <c r="BC21" i="35"/>
  <c r="BD22" i="35"/>
  <c r="BC22" i="35"/>
  <c r="BD24" i="35"/>
  <c r="BC24" i="35"/>
  <c r="AF75" i="28"/>
  <c r="AF74" i="28"/>
  <c r="AF73" i="28"/>
  <c r="AE76" i="29"/>
  <c r="AE74" i="29"/>
  <c r="AE73" i="29"/>
  <c r="G12" i="36"/>
  <c r="G13" i="36"/>
  <c r="G14" i="36"/>
  <c r="G15" i="36"/>
  <c r="G16" i="36"/>
  <c r="C18" i="36" a="1"/>
  <c r="C18" i="36"/>
  <c r="C22" i="36"/>
  <c r="D22" i="36"/>
  <c r="D24" i="36"/>
  <c r="D27" i="36"/>
  <c r="D28" i="36"/>
  <c r="I30" i="36"/>
  <c r="R17" i="22"/>
  <c r="C19" i="36"/>
  <c r="D19" i="36"/>
  <c r="C16" i="36" a="1"/>
  <c r="C16" i="36"/>
  <c r="D16" i="36"/>
  <c r="C14" i="36" a="1"/>
  <c r="C14" i="36"/>
  <c r="D14" i="36"/>
  <c r="BS12" i="35"/>
  <c r="BQ12" i="35"/>
  <c r="BP12" i="35"/>
  <c r="BS13" i="35"/>
  <c r="C13" i="27" a="1"/>
  <c r="C13" i="27"/>
  <c r="D13" i="27" a="1"/>
  <c r="D13" i="27"/>
  <c r="BQ13" i="35"/>
  <c r="BP13" i="35"/>
  <c r="BS14" i="35"/>
  <c r="BQ14" i="35"/>
  <c r="BP14" i="35"/>
  <c r="BS15" i="35"/>
  <c r="BQ15" i="35"/>
  <c r="BP15" i="35"/>
  <c r="BS16" i="35"/>
  <c r="BQ16" i="35"/>
  <c r="BP16" i="35"/>
  <c r="BS17" i="35"/>
  <c r="BQ17" i="35"/>
  <c r="BP17" i="35"/>
  <c r="BS18" i="35"/>
  <c r="BQ18" i="35"/>
  <c r="BP18" i="35"/>
  <c r="BS19" i="35"/>
  <c r="BQ19" i="35"/>
  <c r="BP19" i="35"/>
  <c r="BS20" i="35"/>
  <c r="BQ20" i="35"/>
  <c r="BP20" i="35"/>
  <c r="BQ21" i="35"/>
  <c r="BP21" i="35"/>
  <c r="BQ22" i="35"/>
  <c r="BP22" i="35"/>
  <c r="BQ23" i="35"/>
  <c r="BP23" i="35"/>
  <c r="BQ24" i="35"/>
  <c r="BP24" i="35"/>
  <c r="C25" i="27" a="1"/>
  <c r="C25" i="27"/>
  <c r="D25" i="27" a="1"/>
  <c r="D25" i="27"/>
  <c r="BQ25" i="35"/>
  <c r="BP25" i="35"/>
  <c r="I29" i="27"/>
  <c r="BS29" i="35"/>
  <c r="C29" i="27" a="1"/>
  <c r="C29" i="27"/>
  <c r="D29" i="27" a="1"/>
  <c r="D29" i="27"/>
  <c r="BQ29" i="35"/>
  <c r="BP29" i="35"/>
  <c r="I30" i="27"/>
  <c r="BS30" i="35"/>
  <c r="BQ30" i="35"/>
  <c r="BP30" i="35"/>
  <c r="I31" i="27"/>
  <c r="BS31" i="35"/>
  <c r="BQ31" i="35"/>
  <c r="BP31" i="35"/>
  <c r="I32" i="27"/>
  <c r="BS32" i="35"/>
  <c r="BQ32" i="35"/>
  <c r="BP32" i="35"/>
  <c r="I33" i="27"/>
  <c r="BS33" i="35"/>
  <c r="BQ33" i="35"/>
  <c r="BP33" i="35"/>
  <c r="I34" i="27"/>
  <c r="BS34" i="35"/>
  <c r="BQ34" i="35"/>
  <c r="BP34" i="35"/>
  <c r="I35" i="27"/>
  <c r="BS35" i="35"/>
  <c r="BQ35" i="35"/>
  <c r="BP35" i="35"/>
  <c r="I36" i="27"/>
  <c r="BS36" i="35"/>
  <c r="BQ36" i="35"/>
  <c r="BP36" i="35"/>
  <c r="BT15" i="35"/>
  <c r="BX12" i="35"/>
  <c r="BV12" i="35"/>
  <c r="BU12" i="35"/>
  <c r="BX13" i="35"/>
  <c r="BV13" i="35"/>
  <c r="BU13" i="35"/>
  <c r="BX14" i="35"/>
  <c r="BV14" i="35"/>
  <c r="BU14" i="35"/>
  <c r="BX15" i="35"/>
  <c r="BV15" i="35"/>
  <c r="BU15" i="35"/>
  <c r="BX16" i="35"/>
  <c r="C16" i="27" a="1"/>
  <c r="C16" i="27"/>
  <c r="D16" i="27" a="1"/>
  <c r="D16" i="27"/>
  <c r="BV16" i="35"/>
  <c r="BU16" i="35"/>
  <c r="BX17" i="35"/>
  <c r="BV17" i="35"/>
  <c r="BU17" i="35"/>
  <c r="BX18" i="35"/>
  <c r="BV18" i="35"/>
  <c r="BU18" i="35"/>
  <c r="BX19" i="35"/>
  <c r="BV19" i="35"/>
  <c r="BU19" i="35"/>
  <c r="BX20" i="35"/>
  <c r="C20" i="27" a="1"/>
  <c r="C20" i="27"/>
  <c r="D20" i="27" a="1"/>
  <c r="D20" i="27"/>
  <c r="BV20" i="35"/>
  <c r="BU20" i="35"/>
  <c r="BV21" i="35"/>
  <c r="BU21" i="35"/>
  <c r="BV22" i="35"/>
  <c r="BU22" i="35"/>
  <c r="BV23" i="35"/>
  <c r="BU23" i="35"/>
  <c r="BV24" i="35"/>
  <c r="BU24" i="35"/>
  <c r="BV28" i="35"/>
  <c r="BU28" i="35"/>
  <c r="BX29" i="35"/>
  <c r="BV29" i="35"/>
  <c r="BU29" i="35"/>
  <c r="BX30" i="35"/>
  <c r="BV30" i="35"/>
  <c r="BU30" i="35"/>
  <c r="BX31" i="35"/>
  <c r="BV31" i="35"/>
  <c r="BU31" i="35"/>
  <c r="BX32" i="35"/>
  <c r="C32" i="27" a="1"/>
  <c r="C32" i="27"/>
  <c r="D32" i="27" a="1"/>
  <c r="D32" i="27"/>
  <c r="BV32" i="35"/>
  <c r="BU32" i="35"/>
  <c r="BX33" i="35"/>
  <c r="BV33" i="35"/>
  <c r="BU33" i="35"/>
  <c r="BX34" i="35"/>
  <c r="BV34" i="35"/>
  <c r="BU34" i="35"/>
  <c r="BX35" i="35"/>
  <c r="BV35" i="35"/>
  <c r="BU35" i="35"/>
  <c r="BX36" i="35"/>
  <c r="C36" i="27" a="1"/>
  <c r="C36" i="27"/>
  <c r="D36" i="27" a="1"/>
  <c r="D36" i="27"/>
  <c r="BV36" i="35"/>
  <c r="BU36" i="35"/>
  <c r="BY15" i="35"/>
  <c r="CH12" i="35"/>
  <c r="CF12" i="35"/>
  <c r="CE12" i="35"/>
  <c r="CH13" i="35"/>
  <c r="CF13" i="35"/>
  <c r="CE13" i="35"/>
  <c r="CH14" i="35"/>
  <c r="CF14" i="35"/>
  <c r="CE14" i="35"/>
  <c r="CH15" i="35"/>
  <c r="C15" i="27" a="1"/>
  <c r="C15" i="27"/>
  <c r="D15" i="27" a="1"/>
  <c r="D15" i="27"/>
  <c r="CF15" i="35"/>
  <c r="CE15" i="35"/>
  <c r="CH16" i="35"/>
  <c r="CF16" i="35"/>
  <c r="CE16" i="35"/>
  <c r="CH17" i="35"/>
  <c r="CF17" i="35"/>
  <c r="CE17" i="35"/>
  <c r="CH18" i="35"/>
  <c r="CF18" i="35"/>
  <c r="CE18" i="35"/>
  <c r="CH19" i="35"/>
  <c r="CF19" i="35"/>
  <c r="CE19" i="35"/>
  <c r="CH20" i="35"/>
  <c r="CF20" i="35"/>
  <c r="CE20" i="35"/>
  <c r="CF21" i="35"/>
  <c r="CE21" i="35"/>
  <c r="CF22" i="35"/>
  <c r="CE22" i="35"/>
  <c r="CF23" i="35"/>
  <c r="CE23" i="35"/>
  <c r="CF24" i="35"/>
  <c r="CE24" i="35"/>
  <c r="CF27" i="35"/>
  <c r="CE27" i="35"/>
  <c r="CH29" i="35"/>
  <c r="CF29" i="35"/>
  <c r="CE29" i="35"/>
  <c r="CH30" i="35"/>
  <c r="CF30" i="35"/>
  <c r="CE30" i="35"/>
  <c r="CH31" i="35"/>
  <c r="C31" i="27" a="1"/>
  <c r="C31" i="27"/>
  <c r="D31" i="27" a="1"/>
  <c r="D31" i="27"/>
  <c r="CF31" i="35"/>
  <c r="CE31" i="35"/>
  <c r="CH32" i="35"/>
  <c r="CF32" i="35"/>
  <c r="CE32" i="35"/>
  <c r="CH33" i="35"/>
  <c r="CF33" i="35"/>
  <c r="CE33" i="35"/>
  <c r="CH34" i="35"/>
  <c r="CF34" i="35"/>
  <c r="CE34" i="35"/>
  <c r="CH35" i="35"/>
  <c r="CF35" i="35"/>
  <c r="CE35" i="35"/>
  <c r="CH36" i="35"/>
  <c r="CF36" i="35"/>
  <c r="CE36" i="35"/>
  <c r="CI15" i="35"/>
  <c r="BT16" i="35"/>
  <c r="BY16" i="35"/>
  <c r="CI16" i="35"/>
  <c r="BT17" i="35"/>
  <c r="BY17" i="35"/>
  <c r="CI17" i="35"/>
  <c r="BT18" i="35"/>
  <c r="BY18" i="35"/>
  <c r="CI18" i="35"/>
  <c r="BT19" i="35"/>
  <c r="BY19" i="35"/>
  <c r="CI19" i="35"/>
  <c r="BT20" i="35"/>
  <c r="BY20" i="35"/>
  <c r="CI20" i="35"/>
  <c r="BT21" i="35"/>
  <c r="BY21" i="35"/>
  <c r="CI21" i="35"/>
  <c r="BT22" i="35"/>
  <c r="BY22" i="35"/>
  <c r="CI22" i="35"/>
  <c r="BT23" i="35"/>
  <c r="BY23" i="35"/>
  <c r="CI23" i="35"/>
  <c r="BT24" i="35"/>
  <c r="BY24" i="35"/>
  <c r="CI24" i="35"/>
  <c r="BT25" i="35"/>
  <c r="BY25" i="35"/>
  <c r="CI25" i="35"/>
  <c r="BT26" i="35"/>
  <c r="BY26" i="35"/>
  <c r="CI26" i="35"/>
  <c r="BT27" i="35"/>
  <c r="BY27" i="35"/>
  <c r="CI27" i="35"/>
  <c r="BT28" i="35"/>
  <c r="BY28" i="35"/>
  <c r="CI28" i="35"/>
  <c r="BT29" i="35"/>
  <c r="BY29" i="35"/>
  <c r="CI29" i="35"/>
  <c r="BT30" i="35"/>
  <c r="BY30" i="35"/>
  <c r="CI30" i="35"/>
  <c r="BT31" i="35"/>
  <c r="BY31" i="35"/>
  <c r="CI31" i="35"/>
  <c r="BT32" i="35"/>
  <c r="BY32" i="35"/>
  <c r="CI32" i="35"/>
  <c r="BT33" i="35"/>
  <c r="BY33" i="35"/>
  <c r="CI33" i="35"/>
  <c r="BT34" i="35"/>
  <c r="BY34" i="35"/>
  <c r="CI34" i="35"/>
  <c r="BT35" i="35"/>
  <c r="BY35" i="35"/>
  <c r="CI35" i="35"/>
  <c r="BT36" i="35"/>
  <c r="BY36" i="35"/>
  <c r="CI36" i="35"/>
  <c r="CR12" i="35"/>
  <c r="CP12" i="35"/>
  <c r="CO12" i="35"/>
  <c r="CR13" i="35"/>
  <c r="CP13" i="35"/>
  <c r="CO13" i="35"/>
  <c r="CR14" i="35"/>
  <c r="CP14" i="35"/>
  <c r="CO14" i="35"/>
  <c r="CR15" i="35"/>
  <c r="CP15" i="35"/>
  <c r="CO15" i="35"/>
  <c r="CR16" i="35"/>
  <c r="CP16" i="35"/>
  <c r="CO16" i="35"/>
  <c r="CR17" i="35"/>
  <c r="CP17" i="35"/>
  <c r="CO17" i="35"/>
  <c r="CR18" i="35"/>
  <c r="C18" i="27" a="1"/>
  <c r="C18" i="27"/>
  <c r="D18" i="27" a="1"/>
  <c r="D18" i="27"/>
  <c r="CP18" i="35"/>
  <c r="CO18" i="35"/>
  <c r="CR19" i="35"/>
  <c r="C19" i="27" a="1"/>
  <c r="C19" i="27"/>
  <c r="D19" i="27" a="1"/>
  <c r="D19" i="27"/>
  <c r="CP19" i="35"/>
  <c r="CO19" i="35"/>
  <c r="CR20" i="35"/>
  <c r="CP20" i="35"/>
  <c r="CO20" i="35"/>
  <c r="CP21" i="35"/>
  <c r="CO21" i="35"/>
  <c r="CP22" i="35"/>
  <c r="CO22" i="35"/>
  <c r="CP23" i="35"/>
  <c r="CO23" i="35"/>
  <c r="CP24" i="35"/>
  <c r="CO24" i="35"/>
  <c r="CP27" i="35"/>
  <c r="CO27" i="35"/>
  <c r="CR29" i="35"/>
  <c r="CP29" i="35"/>
  <c r="CO29" i="35"/>
  <c r="CR30" i="35"/>
  <c r="CP30" i="35"/>
  <c r="CO30" i="35"/>
  <c r="CR31" i="35"/>
  <c r="CP31" i="35"/>
  <c r="CO31" i="35"/>
  <c r="CR32" i="35"/>
  <c r="CP32" i="35"/>
  <c r="CO32" i="35"/>
  <c r="CR33" i="35"/>
  <c r="CP33" i="35"/>
  <c r="CO33" i="35"/>
  <c r="CR34" i="35"/>
  <c r="C34" i="27" a="1"/>
  <c r="C34" i="27"/>
  <c r="D34" i="27" a="1"/>
  <c r="D34" i="27"/>
  <c r="CP34" i="35"/>
  <c r="CO34" i="35"/>
  <c r="CR35" i="35"/>
  <c r="C35" i="27" a="1"/>
  <c r="C35" i="27"/>
  <c r="D35" i="27" a="1"/>
  <c r="D35" i="27"/>
  <c r="CP35" i="35"/>
  <c r="CO35" i="35"/>
  <c r="CR36" i="35"/>
  <c r="CP36" i="35"/>
  <c r="CO36" i="35"/>
  <c r="CS14" i="35"/>
  <c r="L35" i="35"/>
  <c r="L34" i="35"/>
  <c r="E87" i="35"/>
  <c r="CS13" i="35"/>
  <c r="L27" i="35"/>
  <c r="L26" i="35"/>
  <c r="E86" i="35"/>
  <c r="CS12" i="35"/>
  <c r="L19" i="35"/>
  <c r="L18" i="35"/>
  <c r="E85" i="35"/>
  <c r="CI12" i="35"/>
  <c r="L15" i="35"/>
  <c r="L16" i="35"/>
  <c r="E75" i="35"/>
  <c r="BY12" i="35"/>
  <c r="L20" i="35"/>
  <c r="E65" i="35"/>
  <c r="BT14" i="35"/>
  <c r="F62" i="35"/>
  <c r="J63" i="35"/>
  <c r="F65" i="35"/>
  <c r="J64" i="35"/>
  <c r="BY14" i="35"/>
  <c r="F67" i="35"/>
  <c r="J68" i="35"/>
  <c r="F75" i="35"/>
  <c r="J74" i="35"/>
  <c r="CI14" i="35"/>
  <c r="F77" i="35"/>
  <c r="J78" i="35"/>
  <c r="F85" i="35"/>
  <c r="J84" i="35"/>
  <c r="F87" i="35"/>
  <c r="J88" i="35"/>
  <c r="H62" i="35"/>
  <c r="E29" i="27"/>
  <c r="BR29" i="35"/>
  <c r="G62" i="35"/>
  <c r="BT13" i="35"/>
  <c r="H61" i="35"/>
  <c r="E25" i="27"/>
  <c r="BR25" i="35"/>
  <c r="G61" i="35"/>
  <c r="BT12" i="35"/>
  <c r="H60" i="35"/>
  <c r="E13" i="27"/>
  <c r="BR13" i="35"/>
  <c r="G60" i="35"/>
  <c r="L13" i="35"/>
  <c r="E60" i="35"/>
  <c r="BN12" i="35"/>
  <c r="BL12" i="35"/>
  <c r="BK12" i="35"/>
  <c r="BN13" i="35"/>
  <c r="BL13" i="35"/>
  <c r="BK13" i="35"/>
  <c r="BN14" i="35"/>
  <c r="BL14" i="35"/>
  <c r="BK14" i="35"/>
  <c r="BN15" i="35"/>
  <c r="BL15" i="35"/>
  <c r="BK15" i="35"/>
  <c r="BN16" i="35"/>
  <c r="BL16" i="35"/>
  <c r="BK16" i="35"/>
  <c r="BN17" i="35"/>
  <c r="BL17" i="35"/>
  <c r="BK17" i="35"/>
  <c r="BN18" i="35"/>
  <c r="BL18" i="35"/>
  <c r="BK18" i="35"/>
  <c r="BN19" i="35"/>
  <c r="BL19" i="35"/>
  <c r="BK19" i="35"/>
  <c r="BN20" i="35"/>
  <c r="BL20" i="35"/>
  <c r="BK20" i="35"/>
  <c r="BL21" i="35"/>
  <c r="BK21" i="35"/>
  <c r="BL22" i="35"/>
  <c r="BK22" i="35"/>
  <c r="BL23" i="35"/>
  <c r="BK23" i="35"/>
  <c r="BL24" i="35"/>
  <c r="BK24" i="35"/>
  <c r="BL28" i="35"/>
  <c r="BK28" i="35"/>
  <c r="BN29" i="35"/>
  <c r="BL29" i="35"/>
  <c r="BK29" i="35"/>
  <c r="BN30" i="35"/>
  <c r="BL30" i="35"/>
  <c r="BK30" i="35"/>
  <c r="BN31" i="35"/>
  <c r="BL31" i="35"/>
  <c r="BK31" i="35"/>
  <c r="BN32" i="35"/>
  <c r="BL32" i="35"/>
  <c r="BK32" i="35"/>
  <c r="BN33" i="35"/>
  <c r="BL33" i="35"/>
  <c r="BK33" i="35"/>
  <c r="BN34" i="35"/>
  <c r="BL34" i="35"/>
  <c r="BK34" i="35"/>
  <c r="BN35" i="35"/>
  <c r="BL35" i="35"/>
  <c r="BK35" i="35"/>
  <c r="BN36" i="35"/>
  <c r="BL36" i="35"/>
  <c r="BK36" i="35"/>
  <c r="BO14" i="35"/>
  <c r="H57" i="35"/>
  <c r="E36" i="27"/>
  <c r="BM36" i="35"/>
  <c r="E35" i="27"/>
  <c r="BM35" i="35"/>
  <c r="G57" i="35"/>
  <c r="L36" i="35"/>
  <c r="E57" i="35"/>
  <c r="BO13" i="35"/>
  <c r="H56" i="35"/>
  <c r="BM28" i="35"/>
  <c r="G56" i="35"/>
  <c r="L28" i="35"/>
  <c r="E56" i="35"/>
  <c r="BO12" i="35"/>
  <c r="H55" i="35"/>
  <c r="E20" i="27"/>
  <c r="BM20" i="35"/>
  <c r="E19" i="27"/>
  <c r="BM19" i="35"/>
  <c r="G55" i="35"/>
  <c r="E55" i="35"/>
  <c r="BI12" i="35"/>
  <c r="BG12" i="35"/>
  <c r="BF12" i="35"/>
  <c r="BI13" i="35"/>
  <c r="BG13" i="35"/>
  <c r="BF13" i="35"/>
  <c r="BI14" i="35"/>
  <c r="BG14" i="35"/>
  <c r="BF14" i="35"/>
  <c r="BI15" i="35"/>
  <c r="BG15" i="35"/>
  <c r="BF15" i="35"/>
  <c r="BI16" i="35"/>
  <c r="BG16" i="35"/>
  <c r="BF16" i="35"/>
  <c r="BI17" i="35"/>
  <c r="BG17" i="35"/>
  <c r="BF17" i="35"/>
  <c r="BI18" i="35"/>
  <c r="BG18" i="35"/>
  <c r="BF18" i="35"/>
  <c r="BI19" i="35"/>
  <c r="BG19" i="35"/>
  <c r="BF19" i="35"/>
  <c r="BI20" i="35"/>
  <c r="BG20" i="35"/>
  <c r="BF20" i="35"/>
  <c r="BG21" i="35"/>
  <c r="BF21" i="35"/>
  <c r="BG22" i="35"/>
  <c r="BF22" i="35"/>
  <c r="BG23" i="35"/>
  <c r="BF23" i="35"/>
  <c r="BG24" i="35"/>
  <c r="BF24" i="35"/>
  <c r="BG26" i="35"/>
  <c r="BF26" i="35"/>
  <c r="BI29" i="35"/>
  <c r="BG29" i="35"/>
  <c r="BF29" i="35"/>
  <c r="BI30" i="35"/>
  <c r="BG30" i="35"/>
  <c r="BF30" i="35"/>
  <c r="BI31" i="35"/>
  <c r="BG31" i="35"/>
  <c r="BF31" i="35"/>
  <c r="BI32" i="35"/>
  <c r="BG32" i="35"/>
  <c r="BF32" i="35"/>
  <c r="BI33" i="35"/>
  <c r="BG33" i="35"/>
  <c r="BF33" i="35"/>
  <c r="BI34" i="35"/>
  <c r="BG34" i="35"/>
  <c r="BF34" i="35"/>
  <c r="BI35" i="35"/>
  <c r="BG35" i="35"/>
  <c r="BF35" i="35"/>
  <c r="BI36" i="35"/>
  <c r="BG36" i="35"/>
  <c r="BF36" i="35"/>
  <c r="BJ14" i="35"/>
  <c r="H52" i="35"/>
  <c r="E34" i="27"/>
  <c r="BH34" i="35"/>
  <c r="E31" i="27"/>
  <c r="BH31" i="35"/>
  <c r="G52" i="35"/>
  <c r="L31" i="35"/>
  <c r="E52" i="35"/>
  <c r="BJ13" i="35"/>
  <c r="H51" i="35"/>
  <c r="BH26" i="35"/>
  <c r="G51" i="35"/>
  <c r="E51" i="35"/>
  <c r="BJ12" i="35"/>
  <c r="H50" i="35"/>
  <c r="E18" i="27"/>
  <c r="BH18" i="35"/>
  <c r="E15" i="27"/>
  <c r="BH15" i="35"/>
  <c r="G50" i="35"/>
  <c r="E50" i="35"/>
  <c r="AY12" i="35"/>
  <c r="AW12" i="35"/>
  <c r="AV12" i="35"/>
  <c r="AY13" i="35"/>
  <c r="AW13" i="35"/>
  <c r="AV13" i="35"/>
  <c r="AY14" i="35"/>
  <c r="C14" i="27" a="1"/>
  <c r="C14" i="27"/>
  <c r="D14" i="27" a="1"/>
  <c r="D14" i="27"/>
  <c r="AW14" i="35"/>
  <c r="AV14" i="35"/>
  <c r="AY15" i="35"/>
  <c r="AW15" i="35"/>
  <c r="AV15" i="35"/>
  <c r="AY16" i="35"/>
  <c r="AW16" i="35"/>
  <c r="AV16" i="35"/>
  <c r="AY17" i="35"/>
  <c r="AW17" i="35"/>
  <c r="AV17" i="35"/>
  <c r="AY18" i="35"/>
  <c r="AW18" i="35"/>
  <c r="AV18" i="35"/>
  <c r="AY19" i="35"/>
  <c r="AW19" i="35"/>
  <c r="AV19" i="35"/>
  <c r="AY20" i="35"/>
  <c r="AW20" i="35"/>
  <c r="AV20" i="35"/>
  <c r="AW21" i="35"/>
  <c r="AV21" i="35"/>
  <c r="D22" i="27" a="1"/>
  <c r="D22" i="27"/>
  <c r="AW22" i="35"/>
  <c r="AV22" i="35"/>
  <c r="AW23" i="35"/>
  <c r="AV23" i="35"/>
  <c r="AY24" i="35"/>
  <c r="D24" i="27" a="1"/>
  <c r="D24" i="27"/>
  <c r="AW24" i="35"/>
  <c r="AV24" i="35"/>
  <c r="AY29" i="35"/>
  <c r="AW29" i="35"/>
  <c r="AV29" i="35"/>
  <c r="AY30" i="35"/>
  <c r="AW30" i="35"/>
  <c r="AV30" i="35"/>
  <c r="AY31" i="35"/>
  <c r="AW31" i="35"/>
  <c r="AV31" i="35"/>
  <c r="AY32" i="35"/>
  <c r="AW32" i="35"/>
  <c r="AV32" i="35"/>
  <c r="AY33" i="35"/>
  <c r="AW33" i="35"/>
  <c r="AV33" i="35"/>
  <c r="AY34" i="35"/>
  <c r="AW34" i="35"/>
  <c r="AV34" i="35"/>
  <c r="AY35" i="35"/>
  <c r="AW35" i="35"/>
  <c r="AV35" i="35"/>
  <c r="AY36" i="35"/>
  <c r="AW36" i="35"/>
  <c r="AV36" i="35"/>
  <c r="AZ14" i="35"/>
  <c r="H42" i="35"/>
  <c r="E32" i="27"/>
  <c r="AX32" i="35"/>
  <c r="AX36" i="35"/>
  <c r="AX34" i="35"/>
  <c r="G42" i="35"/>
  <c r="L32" i="35"/>
  <c r="E42" i="35"/>
  <c r="AZ13" i="35"/>
  <c r="H41" i="35"/>
  <c r="AX24" i="35"/>
  <c r="G41" i="35"/>
  <c r="L24" i="35"/>
  <c r="L22" i="35"/>
  <c r="E41" i="35"/>
  <c r="AZ12" i="35"/>
  <c r="H40" i="35"/>
  <c r="AX20" i="35"/>
  <c r="E16" i="27"/>
  <c r="AX16" i="35"/>
  <c r="E14" i="27"/>
  <c r="AX14" i="35"/>
  <c r="G40" i="35"/>
  <c r="L14" i="35"/>
  <c r="E40" i="35"/>
  <c r="AT12" i="35"/>
  <c r="AR12" i="35"/>
  <c r="AQ12" i="35"/>
  <c r="AT13" i="35"/>
  <c r="AR13" i="35"/>
  <c r="AQ13" i="35"/>
  <c r="AT14" i="35"/>
  <c r="AR14" i="35"/>
  <c r="AQ14" i="35"/>
  <c r="AT15" i="35"/>
  <c r="AR15" i="35"/>
  <c r="AQ15" i="35"/>
  <c r="AT16" i="35"/>
  <c r="AR16" i="35"/>
  <c r="AQ16" i="35"/>
  <c r="AT17" i="35"/>
  <c r="AR17" i="35"/>
  <c r="AQ17" i="35"/>
  <c r="AT18" i="35"/>
  <c r="AR18" i="35"/>
  <c r="AQ18" i="35"/>
  <c r="AT19" i="35"/>
  <c r="AR19" i="35"/>
  <c r="AQ19" i="35"/>
  <c r="AT20" i="35"/>
  <c r="AR20" i="35"/>
  <c r="AQ20" i="35"/>
  <c r="AR21" i="35"/>
  <c r="AQ21" i="35"/>
  <c r="AT22" i="35"/>
  <c r="AR22" i="35"/>
  <c r="AQ22" i="35"/>
  <c r="D23" i="27" a="1"/>
  <c r="D23" i="27"/>
  <c r="AR23" i="35"/>
  <c r="AQ23" i="35"/>
  <c r="AR24" i="35"/>
  <c r="AQ24" i="35"/>
  <c r="AT29" i="35"/>
  <c r="AR29" i="35"/>
  <c r="AQ29" i="35"/>
  <c r="AT30" i="35"/>
  <c r="C30" i="27" a="1"/>
  <c r="C30" i="27"/>
  <c r="D30" i="27" a="1"/>
  <c r="D30" i="27"/>
  <c r="AR30" i="35"/>
  <c r="AQ30" i="35"/>
  <c r="AT31" i="35"/>
  <c r="AR31" i="35"/>
  <c r="AQ31" i="35"/>
  <c r="AT32" i="35"/>
  <c r="AR32" i="35"/>
  <c r="AQ32" i="35"/>
  <c r="AT33" i="35"/>
  <c r="AR33" i="35"/>
  <c r="AQ33" i="35"/>
  <c r="AT34" i="35"/>
  <c r="AR34" i="35"/>
  <c r="AQ34" i="35"/>
  <c r="AT35" i="35"/>
  <c r="AR35" i="35"/>
  <c r="AQ35" i="35"/>
  <c r="AT36" i="35"/>
  <c r="AR36" i="35"/>
  <c r="AQ36" i="35"/>
  <c r="AU14" i="35"/>
  <c r="H37" i="35"/>
  <c r="E30" i="27"/>
  <c r="AS30" i="35"/>
  <c r="AS34" i="35"/>
  <c r="AS35" i="35"/>
  <c r="G37" i="35"/>
  <c r="L30" i="35"/>
  <c r="E37" i="35"/>
  <c r="AU13" i="35"/>
  <c r="H36" i="35"/>
  <c r="AS22" i="35"/>
  <c r="G36" i="35"/>
  <c r="AU12" i="35"/>
  <c r="H35" i="35"/>
  <c r="AS18" i="35"/>
  <c r="AS14" i="35"/>
  <c r="AS15" i="35"/>
  <c r="G35" i="35"/>
  <c r="AO12" i="35"/>
  <c r="AM12" i="35"/>
  <c r="AL12" i="35"/>
  <c r="AO13" i="35"/>
  <c r="AM13" i="35"/>
  <c r="AL13" i="35"/>
  <c r="AO14" i="35"/>
  <c r="AM14" i="35"/>
  <c r="AL14" i="35"/>
  <c r="AO15" i="35"/>
  <c r="AM15" i="35"/>
  <c r="AL15" i="35"/>
  <c r="AO16" i="35"/>
  <c r="AM16" i="35"/>
  <c r="AL16" i="35"/>
  <c r="AO17" i="35"/>
  <c r="AM17" i="35"/>
  <c r="AL17" i="35"/>
  <c r="AO18" i="35"/>
  <c r="AM18" i="35"/>
  <c r="AL18" i="35"/>
  <c r="AO19" i="35"/>
  <c r="AM19" i="35"/>
  <c r="AL19" i="35"/>
  <c r="AO20" i="35"/>
  <c r="AM20" i="35"/>
  <c r="AL20" i="35"/>
  <c r="AM21" i="35"/>
  <c r="AL21" i="35"/>
  <c r="AO22" i="35"/>
  <c r="AM22" i="35"/>
  <c r="AL22" i="35"/>
  <c r="AM23" i="35"/>
  <c r="AL23" i="35"/>
  <c r="AM24" i="35"/>
  <c r="AL24" i="35"/>
  <c r="AO29" i="35"/>
  <c r="AM29" i="35"/>
  <c r="AL29" i="35"/>
  <c r="AO30" i="35"/>
  <c r="AM30" i="35"/>
  <c r="AL30" i="35"/>
  <c r="AO31" i="35"/>
  <c r="AM31" i="35"/>
  <c r="AL31" i="35"/>
  <c r="AO32" i="35"/>
  <c r="AM32" i="35"/>
  <c r="AL32" i="35"/>
  <c r="AO33" i="35"/>
  <c r="AM33" i="35"/>
  <c r="AL33" i="35"/>
  <c r="AO34" i="35"/>
  <c r="AM34" i="35"/>
  <c r="AL34" i="35"/>
  <c r="AO35" i="35"/>
  <c r="AM35" i="35"/>
  <c r="AL35" i="35"/>
  <c r="AO36" i="35"/>
  <c r="AM36" i="35"/>
  <c r="AL36" i="35"/>
  <c r="AP14" i="35"/>
  <c r="H32" i="35"/>
  <c r="AN34" i="35"/>
  <c r="AN35" i="35"/>
  <c r="AN31" i="35"/>
  <c r="G32" i="35"/>
  <c r="E32" i="35"/>
  <c r="AP13" i="35"/>
  <c r="H31" i="35"/>
  <c r="AN22" i="35"/>
  <c r="G31" i="35"/>
  <c r="AP12" i="35"/>
  <c r="H30" i="35"/>
  <c r="AN14" i="35"/>
  <c r="AN15" i="35"/>
  <c r="AN19" i="35"/>
  <c r="G30" i="35"/>
  <c r="AJ12" i="35"/>
  <c r="AH12" i="35"/>
  <c r="AG12" i="35"/>
  <c r="AJ13" i="35"/>
  <c r="AH13" i="35"/>
  <c r="AG13" i="35"/>
  <c r="AJ14" i="35"/>
  <c r="AH14" i="35"/>
  <c r="AG14" i="35"/>
  <c r="AJ15" i="35"/>
  <c r="AH15" i="35"/>
  <c r="AG15" i="35"/>
  <c r="AJ16" i="35"/>
  <c r="AH16" i="35"/>
  <c r="AG16" i="35"/>
  <c r="AJ17" i="35"/>
  <c r="AH17" i="35"/>
  <c r="AG17" i="35"/>
  <c r="AJ18" i="35"/>
  <c r="AH18" i="35"/>
  <c r="AG18" i="35"/>
  <c r="AJ19" i="35"/>
  <c r="AH19" i="35"/>
  <c r="AG19" i="35"/>
  <c r="AJ20" i="35"/>
  <c r="AH20" i="35"/>
  <c r="AG20" i="35"/>
  <c r="D21" i="27" a="1"/>
  <c r="D21" i="27"/>
  <c r="AH21" i="35"/>
  <c r="AG21" i="35"/>
  <c r="AH22" i="35"/>
  <c r="AG22" i="35"/>
  <c r="AJ23" i="35"/>
  <c r="AH23" i="35"/>
  <c r="AG23" i="35"/>
  <c r="AH24" i="35"/>
  <c r="AG24" i="35"/>
  <c r="AJ29" i="35"/>
  <c r="AH29" i="35"/>
  <c r="AG29" i="35"/>
  <c r="AJ30" i="35"/>
  <c r="AH30" i="35"/>
  <c r="AG30" i="35"/>
  <c r="AJ31" i="35"/>
  <c r="AH31" i="35"/>
  <c r="AG31" i="35"/>
  <c r="AJ32" i="35"/>
  <c r="AH32" i="35"/>
  <c r="AG32" i="35"/>
  <c r="AJ33" i="35"/>
  <c r="C33" i="27" a="1"/>
  <c r="C33" i="27"/>
  <c r="D33" i="27" a="1"/>
  <c r="D33" i="27"/>
  <c r="AH33" i="35"/>
  <c r="AG33" i="35"/>
  <c r="AJ34" i="35"/>
  <c r="AH34" i="35"/>
  <c r="AG34" i="35"/>
  <c r="AJ35" i="35"/>
  <c r="AH35" i="35"/>
  <c r="AG35" i="35"/>
  <c r="AJ36" i="35"/>
  <c r="AH36" i="35"/>
  <c r="AG36" i="35"/>
  <c r="AK14" i="35"/>
  <c r="H27" i="35"/>
  <c r="AI31" i="35"/>
  <c r="AI32" i="35"/>
  <c r="E33" i="27"/>
  <c r="AI33" i="35"/>
  <c r="G27" i="35"/>
  <c r="L33" i="35"/>
  <c r="E27" i="35"/>
  <c r="AK13" i="35"/>
  <c r="H26" i="35"/>
  <c r="AI23" i="35"/>
  <c r="G26" i="35"/>
  <c r="AK12" i="35"/>
  <c r="H25" i="35"/>
  <c r="AI19" i="35"/>
  <c r="AI20" i="35"/>
  <c r="AI13" i="35"/>
  <c r="G25" i="35"/>
  <c r="AE12" i="35"/>
  <c r="AC12" i="35"/>
  <c r="AB12" i="35"/>
  <c r="AE13" i="35"/>
  <c r="AC13" i="35"/>
  <c r="AB13" i="35"/>
  <c r="AE14" i="35"/>
  <c r="AC14" i="35"/>
  <c r="AB14" i="35"/>
  <c r="AE15" i="35"/>
  <c r="AC15" i="35"/>
  <c r="AB15" i="35"/>
  <c r="AE16" i="35"/>
  <c r="AC16" i="35"/>
  <c r="AB16" i="35"/>
  <c r="AE17" i="35"/>
  <c r="AC17" i="35"/>
  <c r="AB17" i="35"/>
  <c r="AE18" i="35"/>
  <c r="AC18" i="35"/>
  <c r="AB18" i="35"/>
  <c r="AE19" i="35"/>
  <c r="AC19" i="35"/>
  <c r="AB19" i="35"/>
  <c r="AE20" i="35"/>
  <c r="AC20" i="35"/>
  <c r="AB20" i="35"/>
  <c r="AE21" i="35"/>
  <c r="AC21" i="35"/>
  <c r="AB21" i="35"/>
  <c r="AC22" i="35"/>
  <c r="AB22" i="35"/>
  <c r="AC23" i="35"/>
  <c r="AB23" i="35"/>
  <c r="AC24" i="35"/>
  <c r="AB24" i="35"/>
  <c r="AE29" i="35"/>
  <c r="AC29" i="35"/>
  <c r="AB29" i="35"/>
  <c r="AE30" i="35"/>
  <c r="AC30" i="35"/>
  <c r="AB30" i="35"/>
  <c r="AE31" i="35"/>
  <c r="AC31" i="35"/>
  <c r="AB31" i="35"/>
  <c r="AE32" i="35"/>
  <c r="AC32" i="35"/>
  <c r="AB32" i="35"/>
  <c r="AE33" i="35"/>
  <c r="AC33" i="35"/>
  <c r="AB33" i="35"/>
  <c r="AE34" i="35"/>
  <c r="AC34" i="35"/>
  <c r="AB34" i="35"/>
  <c r="AE35" i="35"/>
  <c r="AC35" i="35"/>
  <c r="AB35" i="35"/>
  <c r="AE36" i="35"/>
  <c r="AC36" i="35"/>
  <c r="AB36" i="35"/>
  <c r="AF14" i="35"/>
  <c r="H22" i="35"/>
  <c r="AD33" i="35"/>
  <c r="AD30" i="35"/>
  <c r="G22" i="35"/>
  <c r="E22" i="35"/>
  <c r="AF13" i="35"/>
  <c r="H21" i="35"/>
  <c r="AD21" i="35"/>
  <c r="G21" i="35"/>
  <c r="AF12" i="35"/>
  <c r="H20" i="35"/>
  <c r="AD13" i="35"/>
  <c r="AD18" i="35"/>
  <c r="G20" i="35"/>
  <c r="Z12" i="35"/>
  <c r="X12" i="35"/>
  <c r="W12" i="35"/>
  <c r="Z13" i="35"/>
  <c r="X13" i="35"/>
  <c r="W13" i="35"/>
  <c r="Z14" i="35"/>
  <c r="X14" i="35"/>
  <c r="W14" i="35"/>
  <c r="Z15" i="35"/>
  <c r="X15" i="35"/>
  <c r="W15" i="35"/>
  <c r="Z16" i="35"/>
  <c r="X16" i="35"/>
  <c r="W16" i="35"/>
  <c r="Z17" i="35"/>
  <c r="C17" i="27" a="1"/>
  <c r="C17" i="27"/>
  <c r="D17" i="27" a="1"/>
  <c r="D17" i="27"/>
  <c r="X17" i="35"/>
  <c r="W17" i="35"/>
  <c r="Z18" i="35"/>
  <c r="X18" i="35"/>
  <c r="W18" i="35"/>
  <c r="Z19" i="35"/>
  <c r="X19" i="35"/>
  <c r="W19" i="35"/>
  <c r="Z20" i="35"/>
  <c r="X20" i="35"/>
  <c r="W20" i="35"/>
  <c r="X21" i="35"/>
  <c r="W21" i="35"/>
  <c r="X22" i="35"/>
  <c r="W22" i="35"/>
  <c r="X23" i="35"/>
  <c r="W23" i="35"/>
  <c r="X24" i="35"/>
  <c r="W24" i="35"/>
  <c r="Z29" i="35"/>
  <c r="X29" i="35"/>
  <c r="W29" i="35"/>
  <c r="Z30" i="35"/>
  <c r="X30" i="35"/>
  <c r="W30" i="35"/>
  <c r="Z31" i="35"/>
  <c r="X31" i="35"/>
  <c r="W31" i="35"/>
  <c r="Z32" i="35"/>
  <c r="X32" i="35"/>
  <c r="W32" i="35"/>
  <c r="Z33" i="35"/>
  <c r="X33" i="35"/>
  <c r="W33" i="35"/>
  <c r="Z34" i="35"/>
  <c r="X34" i="35"/>
  <c r="W34" i="35"/>
  <c r="Z35" i="35"/>
  <c r="X35" i="35"/>
  <c r="W35" i="35"/>
  <c r="Z36" i="35"/>
  <c r="X36" i="35"/>
  <c r="W36" i="35"/>
  <c r="AA14" i="35"/>
  <c r="H17" i="35"/>
  <c r="Y29" i="35"/>
  <c r="Y32" i="35"/>
  <c r="G17" i="35"/>
  <c r="L29" i="35"/>
  <c r="E17" i="35"/>
  <c r="AA13" i="35"/>
  <c r="H16" i="35"/>
  <c r="G16" i="35"/>
  <c r="AA12" i="35"/>
  <c r="H15" i="35"/>
  <c r="Y12" i="35"/>
  <c r="E17" i="27"/>
  <c r="Y17" i="35"/>
  <c r="Y20" i="35"/>
  <c r="G15" i="35"/>
  <c r="U12" i="35"/>
  <c r="S12" i="35"/>
  <c r="R12" i="35"/>
  <c r="U13" i="35"/>
  <c r="S13" i="35"/>
  <c r="R13" i="35"/>
  <c r="U14" i="35"/>
  <c r="S14" i="35"/>
  <c r="R14" i="35"/>
  <c r="U15" i="35"/>
  <c r="S15" i="35"/>
  <c r="R15" i="35"/>
  <c r="U16" i="35"/>
  <c r="S16" i="35"/>
  <c r="R16" i="35"/>
  <c r="U17" i="35"/>
  <c r="S17" i="35"/>
  <c r="R17" i="35"/>
  <c r="U18" i="35"/>
  <c r="S18" i="35"/>
  <c r="R18" i="35"/>
  <c r="U19" i="35"/>
  <c r="S19" i="35"/>
  <c r="R19" i="35"/>
  <c r="U20" i="35"/>
  <c r="S20" i="35"/>
  <c r="R20" i="35"/>
  <c r="S21" i="35"/>
  <c r="R21" i="35"/>
  <c r="S22" i="35"/>
  <c r="R22" i="35"/>
  <c r="S23" i="35"/>
  <c r="R23" i="35"/>
  <c r="U24" i="35"/>
  <c r="S24" i="35"/>
  <c r="R24" i="35"/>
  <c r="U29" i="35"/>
  <c r="S29" i="35"/>
  <c r="R29" i="35"/>
  <c r="U30" i="35"/>
  <c r="S30" i="35"/>
  <c r="R30" i="35"/>
  <c r="U31" i="35"/>
  <c r="S31" i="35"/>
  <c r="R31" i="35"/>
  <c r="U32" i="35"/>
  <c r="S32" i="35"/>
  <c r="R32" i="35"/>
  <c r="U33" i="35"/>
  <c r="S33" i="35"/>
  <c r="R33" i="35"/>
  <c r="U34" i="35"/>
  <c r="S34" i="35"/>
  <c r="R34" i="35"/>
  <c r="U35" i="35"/>
  <c r="S35" i="35"/>
  <c r="R35" i="35"/>
  <c r="U36" i="35"/>
  <c r="S36" i="35"/>
  <c r="R36" i="35"/>
  <c r="V14" i="35"/>
  <c r="H12" i="35"/>
  <c r="T36" i="35"/>
  <c r="T31" i="35"/>
  <c r="G12" i="35"/>
  <c r="E12" i="35"/>
  <c r="V13" i="35"/>
  <c r="H11" i="35"/>
  <c r="T24" i="35"/>
  <c r="G11" i="35"/>
  <c r="V12" i="35"/>
  <c r="H10" i="35"/>
  <c r="T16" i="35"/>
  <c r="T19" i="35"/>
  <c r="G10" i="35"/>
  <c r="P12" i="35"/>
  <c r="N12" i="35"/>
  <c r="M12" i="35"/>
  <c r="P13" i="35"/>
  <c r="N13" i="35"/>
  <c r="M13" i="35"/>
  <c r="P14" i="35"/>
  <c r="N14" i="35"/>
  <c r="M14" i="35"/>
  <c r="P15" i="35"/>
  <c r="N15" i="35"/>
  <c r="M15" i="35"/>
  <c r="P16" i="35"/>
  <c r="N16" i="35"/>
  <c r="M16" i="35"/>
  <c r="P17" i="35"/>
  <c r="N17" i="35"/>
  <c r="M17" i="35"/>
  <c r="P18" i="35"/>
  <c r="N18" i="35"/>
  <c r="M18" i="35"/>
  <c r="P19" i="35"/>
  <c r="N19" i="35"/>
  <c r="M19" i="35"/>
  <c r="P20" i="35"/>
  <c r="N20" i="35"/>
  <c r="M20" i="35"/>
  <c r="P21" i="35"/>
  <c r="N21" i="35"/>
  <c r="M21" i="35"/>
  <c r="N22" i="35"/>
  <c r="M22" i="35"/>
  <c r="N23" i="35"/>
  <c r="M23" i="35"/>
  <c r="N24" i="35"/>
  <c r="M24" i="35"/>
  <c r="P29" i="35"/>
  <c r="N29" i="35"/>
  <c r="M29" i="35"/>
  <c r="P30" i="35"/>
  <c r="N30" i="35"/>
  <c r="M30" i="35"/>
  <c r="P31" i="35"/>
  <c r="N31" i="35"/>
  <c r="M31" i="35"/>
  <c r="P32" i="35"/>
  <c r="N32" i="35"/>
  <c r="M32" i="35"/>
  <c r="P33" i="35"/>
  <c r="N33" i="35"/>
  <c r="M33" i="35"/>
  <c r="P34" i="35"/>
  <c r="N34" i="35"/>
  <c r="M34" i="35"/>
  <c r="P35" i="35"/>
  <c r="N35" i="35"/>
  <c r="M35" i="35"/>
  <c r="P36" i="35"/>
  <c r="N36" i="35"/>
  <c r="M36" i="35"/>
  <c r="Q14" i="35"/>
  <c r="H7" i="35"/>
  <c r="O29" i="35"/>
  <c r="O30" i="35"/>
  <c r="G7" i="35"/>
  <c r="E7" i="35"/>
  <c r="Q13" i="35"/>
  <c r="H6" i="35"/>
  <c r="O21" i="35"/>
  <c r="G6" i="35"/>
  <c r="Q12" i="35"/>
  <c r="H5" i="35"/>
  <c r="O17" i="35"/>
  <c r="O18" i="35"/>
  <c r="G5" i="35"/>
  <c r="F61" i="35"/>
  <c r="J62" i="35"/>
  <c r="K62" i="35"/>
  <c r="E62" i="35"/>
  <c r="F60" i="35"/>
  <c r="J61" i="35"/>
  <c r="K61" i="35"/>
  <c r="L25" i="35"/>
  <c r="E61" i="35"/>
  <c r="J60" i="35"/>
  <c r="K60" i="35"/>
  <c r="J59" i="35"/>
  <c r="BJ29" i="35"/>
  <c r="BJ28" i="35"/>
  <c r="BJ27" i="35"/>
  <c r="BJ26" i="35"/>
  <c r="BJ25" i="35"/>
  <c r="BJ24" i="35"/>
  <c r="BJ23" i="35"/>
  <c r="BJ22" i="35"/>
  <c r="BJ21" i="35"/>
  <c r="BJ20" i="35"/>
  <c r="BJ19" i="35"/>
  <c r="BJ18" i="35"/>
  <c r="BJ17" i="35"/>
  <c r="BJ16" i="35"/>
  <c r="BJ15" i="35"/>
  <c r="F52" i="35"/>
  <c r="J53" i="35"/>
  <c r="F51" i="35"/>
  <c r="J52" i="35"/>
  <c r="K52" i="35"/>
  <c r="F50" i="35"/>
  <c r="J51" i="35"/>
  <c r="K51" i="35"/>
  <c r="J50" i="35"/>
  <c r="K50" i="35"/>
  <c r="J49" i="35"/>
  <c r="F35" i="35"/>
  <c r="J34" i="35"/>
  <c r="F36" i="35"/>
  <c r="J35" i="35"/>
  <c r="K35" i="35"/>
  <c r="E35" i="35"/>
  <c r="F37" i="35"/>
  <c r="J36" i="35"/>
  <c r="K36" i="35"/>
  <c r="L23" i="35"/>
  <c r="E36" i="35"/>
  <c r="J37" i="35"/>
  <c r="K37" i="35"/>
  <c r="J38" i="35"/>
  <c r="AU15" i="35"/>
  <c r="AU16" i="35"/>
  <c r="AU17" i="35"/>
  <c r="AU18" i="35"/>
  <c r="AU19" i="35"/>
  <c r="AU20" i="35"/>
  <c r="AU21" i="35"/>
  <c r="AU22" i="35"/>
  <c r="AU23" i="35"/>
  <c r="AU24" i="35"/>
  <c r="AU25" i="35"/>
  <c r="AU26" i="35"/>
  <c r="AU27" i="35"/>
  <c r="AU28" i="35"/>
  <c r="AU29" i="35"/>
  <c r="AK29" i="35"/>
  <c r="AK28" i="35"/>
  <c r="AK27" i="35"/>
  <c r="AK26" i="35"/>
  <c r="AK25" i="35"/>
  <c r="AK24" i="35"/>
  <c r="AK23" i="35"/>
  <c r="AK22" i="35"/>
  <c r="AK21" i="35"/>
  <c r="AK20" i="35"/>
  <c r="AK19" i="35"/>
  <c r="AK18" i="35"/>
  <c r="AK17" i="35"/>
  <c r="AK16" i="35"/>
  <c r="AK15" i="35"/>
  <c r="AA29" i="35"/>
  <c r="AA28" i="35"/>
  <c r="AA27" i="35"/>
  <c r="AA26" i="35"/>
  <c r="AA25" i="35"/>
  <c r="AA24" i="35"/>
  <c r="AA23" i="35"/>
  <c r="AA22" i="35"/>
  <c r="AA21" i="35"/>
  <c r="AA20" i="35"/>
  <c r="AA19" i="35"/>
  <c r="AA18" i="35"/>
  <c r="AA17" i="35"/>
  <c r="AA16" i="35"/>
  <c r="AA15" i="35"/>
  <c r="Q29" i="35"/>
  <c r="Q28" i="35"/>
  <c r="Q27" i="35"/>
  <c r="Q26" i="35"/>
  <c r="Q25" i="35"/>
  <c r="Q24" i="35"/>
  <c r="Q23" i="35"/>
  <c r="Q22" i="35"/>
  <c r="Q21" i="35"/>
  <c r="Q20" i="35"/>
  <c r="Q19" i="35"/>
  <c r="Q18" i="35"/>
  <c r="Q17" i="35"/>
  <c r="Q16" i="35"/>
  <c r="Q15" i="35"/>
  <c r="G12" i="32"/>
  <c r="C13" i="32" a="1"/>
  <c r="C13" i="32"/>
  <c r="D13" i="32" a="1"/>
  <c r="D13" i="32"/>
  <c r="G12" i="21"/>
  <c r="C13" i="21" a="1"/>
  <c r="C13" i="21"/>
  <c r="D13" i="21" a="1"/>
  <c r="D13" i="21"/>
  <c r="G13" i="32"/>
  <c r="G14" i="32"/>
  <c r="G15" i="32"/>
  <c r="G16" i="32"/>
  <c r="G17" i="32"/>
  <c r="C18" i="32" a="1"/>
  <c r="C18" i="32"/>
  <c r="D18" i="32" a="1"/>
  <c r="D18" i="32"/>
  <c r="C17" i="32" a="1"/>
  <c r="C17" i="32"/>
  <c r="D17" i="32" a="1"/>
  <c r="D17" i="32"/>
  <c r="C16" i="32" a="1"/>
  <c r="C16" i="32"/>
  <c r="D16" i="32" a="1"/>
  <c r="D16" i="32"/>
  <c r="C15" i="32" a="1"/>
  <c r="C15" i="32"/>
  <c r="D15" i="32" a="1"/>
  <c r="D15" i="32"/>
  <c r="C14" i="32" a="1"/>
  <c r="C14" i="32"/>
  <c r="D14" i="32" a="1"/>
  <c r="D14" i="32"/>
  <c r="G18" i="32"/>
  <c r="C20" i="32" a="1"/>
  <c r="C20" i="32"/>
  <c r="D20" i="32" a="1"/>
  <c r="D20" i="32"/>
  <c r="C21" i="32"/>
  <c r="D21" i="32" a="1"/>
  <c r="D21" i="32"/>
  <c r="D23" i="32"/>
  <c r="D24" i="32"/>
  <c r="I26" i="32"/>
  <c r="R16" i="22"/>
  <c r="F32" i="35"/>
  <c r="J33" i="35"/>
  <c r="F31" i="35"/>
  <c r="J32" i="35"/>
  <c r="K32" i="35"/>
  <c r="F30" i="35"/>
  <c r="J31" i="35"/>
  <c r="K31" i="35"/>
  <c r="E31" i="35"/>
  <c r="J30" i="35"/>
  <c r="K30" i="35"/>
  <c r="E30" i="35"/>
  <c r="J29" i="35"/>
  <c r="F27" i="35"/>
  <c r="J28" i="35"/>
  <c r="F26" i="35"/>
  <c r="J27" i="35"/>
  <c r="K27" i="35"/>
  <c r="F25" i="35"/>
  <c r="J26" i="35"/>
  <c r="K26" i="35"/>
  <c r="L21" i="35"/>
  <c r="E26" i="35"/>
  <c r="J25" i="35"/>
  <c r="K25" i="35"/>
  <c r="E25" i="35"/>
  <c r="J24" i="35"/>
  <c r="F22" i="35"/>
  <c r="J23" i="35"/>
  <c r="F21" i="35"/>
  <c r="J22" i="35"/>
  <c r="K22" i="35"/>
  <c r="F20" i="35"/>
  <c r="J21" i="35"/>
  <c r="K21" i="35"/>
  <c r="E21" i="35"/>
  <c r="J20" i="35"/>
  <c r="K20" i="35"/>
  <c r="E20" i="35"/>
  <c r="J19" i="35"/>
  <c r="F17" i="35"/>
  <c r="J18" i="35"/>
  <c r="F16" i="35"/>
  <c r="J17" i="35"/>
  <c r="K17" i="35"/>
  <c r="F15" i="35"/>
  <c r="J16" i="35"/>
  <c r="K16" i="35"/>
  <c r="E16" i="35"/>
  <c r="J15" i="35"/>
  <c r="K15" i="35"/>
  <c r="L17" i="35"/>
  <c r="E15" i="35"/>
  <c r="J14" i="35"/>
  <c r="F12" i="35"/>
  <c r="J13" i="35"/>
  <c r="F11" i="35"/>
  <c r="J12" i="35"/>
  <c r="K12" i="35"/>
  <c r="F10" i="35"/>
  <c r="J11" i="35"/>
  <c r="K11" i="35"/>
  <c r="E11" i="35"/>
  <c r="J10" i="35"/>
  <c r="K10" i="35"/>
  <c r="E10" i="35"/>
  <c r="J9" i="35"/>
  <c r="F7" i="35"/>
  <c r="J8" i="35"/>
  <c r="F6" i="35"/>
  <c r="J7" i="35"/>
  <c r="K7" i="35"/>
  <c r="F5" i="35"/>
  <c r="J6" i="35"/>
  <c r="K6" i="35"/>
  <c r="E6" i="35"/>
  <c r="J5" i="35"/>
  <c r="K5" i="35"/>
  <c r="E5" i="35"/>
  <c r="V15" i="35"/>
  <c r="V16" i="35"/>
  <c r="V17" i="35"/>
  <c r="V18" i="35"/>
  <c r="V19" i="35"/>
  <c r="V20" i="35"/>
  <c r="V21" i="35"/>
  <c r="V22" i="35"/>
  <c r="V23" i="35"/>
  <c r="V24" i="35"/>
  <c r="V25" i="35"/>
  <c r="V26" i="35"/>
  <c r="V27" i="35"/>
  <c r="V28" i="35"/>
  <c r="V29" i="35"/>
  <c r="AF15" i="35"/>
  <c r="AF16" i="35"/>
  <c r="AF17" i="35"/>
  <c r="AF18" i="35"/>
  <c r="AF19" i="35"/>
  <c r="AF20" i="35"/>
  <c r="AF21" i="35"/>
  <c r="AF22" i="35"/>
  <c r="AF23" i="35"/>
  <c r="AF24" i="35"/>
  <c r="AF25" i="35"/>
  <c r="AF26" i="35"/>
  <c r="AF27" i="35"/>
  <c r="AF28" i="35"/>
  <c r="AF29" i="35"/>
  <c r="AP15" i="35"/>
  <c r="AP16" i="35"/>
  <c r="AP17" i="35"/>
  <c r="AP18" i="35"/>
  <c r="AP19" i="35"/>
  <c r="AP20" i="35"/>
  <c r="AP21" i="35"/>
  <c r="AP22" i="35"/>
  <c r="AP23" i="35"/>
  <c r="AP24" i="35"/>
  <c r="AP25" i="35"/>
  <c r="AP26" i="35"/>
  <c r="AP27" i="35"/>
  <c r="AP28" i="35"/>
  <c r="AP29" i="35"/>
  <c r="F40" i="35"/>
  <c r="J39" i="35"/>
  <c r="F41" i="35"/>
  <c r="J40" i="35"/>
  <c r="K40" i="35"/>
  <c r="F42" i="35"/>
  <c r="J41" i="35"/>
  <c r="K41" i="35"/>
  <c r="J42" i="35"/>
  <c r="K42" i="35"/>
  <c r="J43" i="35"/>
  <c r="AZ15" i="35"/>
  <c r="AZ16" i="35"/>
  <c r="AZ17" i="35"/>
  <c r="AZ18" i="35"/>
  <c r="AZ19" i="35"/>
  <c r="AZ20" i="35"/>
  <c r="AZ21" i="35"/>
  <c r="AZ22" i="35"/>
  <c r="AZ23" i="35"/>
  <c r="AZ24" i="35"/>
  <c r="AZ25" i="35"/>
  <c r="AZ26" i="35"/>
  <c r="AZ27" i="35"/>
  <c r="AZ28" i="35"/>
  <c r="AZ29" i="35"/>
  <c r="F55" i="35"/>
  <c r="J54" i="35"/>
  <c r="F56" i="35"/>
  <c r="J55" i="35"/>
  <c r="K55" i="35"/>
  <c r="F57" i="35"/>
  <c r="J56" i="35"/>
  <c r="K56" i="35"/>
  <c r="J57" i="35"/>
  <c r="K57" i="35"/>
  <c r="J58" i="35"/>
  <c r="BO15" i="35"/>
  <c r="BO16" i="35"/>
  <c r="BO17" i="35"/>
  <c r="BO18" i="35"/>
  <c r="BO19" i="35"/>
  <c r="BO20" i="35"/>
  <c r="BO21" i="35"/>
  <c r="BO22" i="35"/>
  <c r="BO23" i="35"/>
  <c r="BO24" i="35"/>
  <c r="BO25" i="35"/>
  <c r="BO26" i="35"/>
  <c r="BO27" i="35"/>
  <c r="BO28" i="35"/>
  <c r="BO29" i="35"/>
  <c r="Q30" i="35"/>
  <c r="V30" i="35"/>
  <c r="AA30" i="35"/>
  <c r="AF30" i="35"/>
  <c r="AK30" i="35"/>
  <c r="AP30" i="35"/>
  <c r="AU30" i="35"/>
  <c r="AZ30" i="35"/>
  <c r="BJ30" i="35"/>
  <c r="BO30" i="35"/>
  <c r="Q31" i="35"/>
  <c r="V31" i="35"/>
  <c r="AA31" i="35"/>
  <c r="AF31" i="35"/>
  <c r="AK31" i="35"/>
  <c r="AP31" i="35"/>
  <c r="AU31" i="35"/>
  <c r="AZ31" i="35"/>
  <c r="BJ31" i="35"/>
  <c r="BO31" i="35"/>
  <c r="Q32" i="35"/>
  <c r="V32" i="35"/>
  <c r="AA32" i="35"/>
  <c r="AF32" i="35"/>
  <c r="AK32" i="35"/>
  <c r="AP32" i="35"/>
  <c r="AU32" i="35"/>
  <c r="AZ32" i="35"/>
  <c r="BJ32" i="35"/>
  <c r="BO32" i="35"/>
  <c r="Q33" i="35"/>
  <c r="V33" i="35"/>
  <c r="AA33" i="35"/>
  <c r="AF33" i="35"/>
  <c r="AK33" i="35"/>
  <c r="AP33" i="35"/>
  <c r="AU33" i="35"/>
  <c r="AZ33" i="35"/>
  <c r="BJ33" i="35"/>
  <c r="BO33" i="35"/>
  <c r="Q34" i="35"/>
  <c r="V34" i="35"/>
  <c r="AA34" i="35"/>
  <c r="AF34" i="35"/>
  <c r="AK34" i="35"/>
  <c r="AP34" i="35"/>
  <c r="AU34" i="35"/>
  <c r="AZ34" i="35"/>
  <c r="BJ34" i="35"/>
  <c r="BO34" i="35"/>
  <c r="Q35" i="35"/>
  <c r="V35" i="35"/>
  <c r="AA35" i="35"/>
  <c r="AF35" i="35"/>
  <c r="AK35" i="35"/>
  <c r="AP35" i="35"/>
  <c r="AU35" i="35"/>
  <c r="AZ35" i="35"/>
  <c r="BJ35" i="35"/>
  <c r="BO35" i="35"/>
  <c r="Q36" i="35"/>
  <c r="V36" i="35"/>
  <c r="AA36" i="35"/>
  <c r="AF36" i="35"/>
  <c r="AK36" i="35"/>
  <c r="AP36" i="35"/>
  <c r="AU36" i="35"/>
  <c r="AZ36" i="35"/>
  <c r="BJ36" i="35"/>
  <c r="BO36" i="35"/>
  <c r="CS15" i="35"/>
  <c r="CS16" i="35"/>
  <c r="CS17" i="35"/>
  <c r="CS18" i="35"/>
  <c r="CS19" i="35"/>
  <c r="CS20" i="35"/>
  <c r="CS21" i="35"/>
  <c r="CS22" i="35"/>
  <c r="CS23" i="35"/>
  <c r="CS24" i="35"/>
  <c r="CS25" i="35"/>
  <c r="CS26" i="35"/>
  <c r="CS27" i="35"/>
  <c r="CS28" i="35"/>
  <c r="CS29" i="35"/>
  <c r="CS30" i="35"/>
  <c r="CS31" i="35"/>
  <c r="CS32" i="35"/>
  <c r="CS33" i="35"/>
  <c r="CS34" i="35"/>
  <c r="CS35" i="35"/>
  <c r="CS36" i="35"/>
  <c r="BW16" i="35"/>
  <c r="BW20" i="35"/>
  <c r="G65" i="35"/>
  <c r="H65" i="35"/>
  <c r="BY13" i="35"/>
  <c r="BW28" i="35"/>
  <c r="G66" i="35"/>
  <c r="H66" i="35"/>
  <c r="BW32" i="35"/>
  <c r="BW36" i="35"/>
  <c r="G67" i="35"/>
  <c r="H67" i="35"/>
  <c r="CG15" i="35"/>
  <c r="CG16" i="35"/>
  <c r="G75" i="35"/>
  <c r="H75" i="35"/>
  <c r="CI13" i="35"/>
  <c r="CG27" i="35"/>
  <c r="G76" i="35"/>
  <c r="H76" i="35"/>
  <c r="CG31" i="35"/>
  <c r="CG32" i="35"/>
  <c r="G77" i="35"/>
  <c r="H77" i="35"/>
  <c r="CQ19" i="35"/>
  <c r="CQ18" i="35"/>
  <c r="G85" i="35"/>
  <c r="H85" i="35"/>
  <c r="CQ27" i="35"/>
  <c r="G86" i="35"/>
  <c r="H86" i="35"/>
  <c r="CQ35" i="35"/>
  <c r="CQ34" i="35"/>
  <c r="G87" i="35"/>
  <c r="H87" i="35"/>
  <c r="F66" i="35"/>
  <c r="J65" i="35"/>
  <c r="K65" i="35"/>
  <c r="J66" i="35"/>
  <c r="K66" i="35"/>
  <c r="E66" i="35"/>
  <c r="J67" i="35"/>
  <c r="K67" i="35"/>
  <c r="E67" i="35"/>
  <c r="F76" i="35"/>
  <c r="J75" i="35"/>
  <c r="K75" i="35"/>
  <c r="J76" i="35"/>
  <c r="K76" i="35"/>
  <c r="E76" i="35"/>
  <c r="J77" i="35"/>
  <c r="K77" i="35"/>
  <c r="E77" i="35"/>
  <c r="F86" i="35"/>
  <c r="J85" i="35"/>
  <c r="K85" i="35"/>
  <c r="J86" i="35"/>
  <c r="K86" i="35"/>
  <c r="J87" i="35"/>
  <c r="K87" i="35"/>
  <c r="CM12" i="35"/>
  <c r="CK12" i="35"/>
  <c r="CJ12" i="35"/>
  <c r="CM13" i="35"/>
  <c r="CK13" i="35"/>
  <c r="CJ13" i="35"/>
  <c r="CM14" i="35"/>
  <c r="CK14" i="35"/>
  <c r="CJ14" i="35"/>
  <c r="CM15" i="35"/>
  <c r="CK15" i="35"/>
  <c r="CJ15" i="35"/>
  <c r="CM16" i="35"/>
  <c r="CK16" i="35"/>
  <c r="CJ16" i="35"/>
  <c r="CM17" i="35"/>
  <c r="CK17" i="35"/>
  <c r="CJ17" i="35"/>
  <c r="CM18" i="35"/>
  <c r="CK18" i="35"/>
  <c r="CJ18" i="35"/>
  <c r="CM19" i="35"/>
  <c r="CK19" i="35"/>
  <c r="CJ19" i="35"/>
  <c r="CM20" i="35"/>
  <c r="CK20" i="35"/>
  <c r="CJ20" i="35"/>
  <c r="CK21" i="35"/>
  <c r="CJ21" i="35"/>
  <c r="CK22" i="35"/>
  <c r="CJ22" i="35"/>
  <c r="CK23" i="35"/>
  <c r="CJ23" i="35"/>
  <c r="CK24" i="35"/>
  <c r="CJ24" i="35"/>
  <c r="CK25" i="35"/>
  <c r="CJ25" i="35"/>
  <c r="CM29" i="35"/>
  <c r="CK29" i="35"/>
  <c r="CJ29" i="35"/>
  <c r="CM30" i="35"/>
  <c r="CK30" i="35"/>
  <c r="CJ30" i="35"/>
  <c r="CM31" i="35"/>
  <c r="CK31" i="35"/>
  <c r="CJ31" i="35"/>
  <c r="CM32" i="35"/>
  <c r="CK32" i="35"/>
  <c r="CJ32" i="35"/>
  <c r="CM33" i="35"/>
  <c r="CK33" i="35"/>
  <c r="CJ33" i="35"/>
  <c r="CM34" i="35"/>
  <c r="CK34" i="35"/>
  <c r="CJ34" i="35"/>
  <c r="CM35" i="35"/>
  <c r="CK35" i="35"/>
  <c r="CJ35" i="35"/>
  <c r="CM36" i="35"/>
  <c r="CK36" i="35"/>
  <c r="CJ36" i="35"/>
  <c r="CN14" i="35"/>
  <c r="E82" i="35"/>
  <c r="CN13" i="35"/>
  <c r="E81" i="35"/>
  <c r="CN12" i="35"/>
  <c r="E80" i="35"/>
  <c r="F82" i="35"/>
  <c r="J83" i="35"/>
  <c r="F80" i="35"/>
  <c r="J79" i="35"/>
  <c r="CN36" i="35"/>
  <c r="CN35" i="35"/>
  <c r="CN34" i="35"/>
  <c r="CN33" i="35"/>
  <c r="CN32" i="35"/>
  <c r="CN31" i="35"/>
  <c r="CN30" i="35"/>
  <c r="CN29" i="35"/>
  <c r="CN28" i="35"/>
  <c r="CN27" i="35"/>
  <c r="CN26" i="35"/>
  <c r="CN25" i="35"/>
  <c r="CN24" i="35"/>
  <c r="CN23" i="35"/>
  <c r="CN22" i="35"/>
  <c r="CN21" i="35"/>
  <c r="CN20" i="35"/>
  <c r="CN19" i="35"/>
  <c r="CN18" i="35"/>
  <c r="CN17" i="35"/>
  <c r="CN16" i="35"/>
  <c r="CN15" i="35"/>
  <c r="CL17" i="35"/>
  <c r="G80" i="35"/>
  <c r="H80" i="35"/>
  <c r="CL25" i="35"/>
  <c r="G81" i="35"/>
  <c r="H81" i="35"/>
  <c r="CL33" i="35"/>
  <c r="G82" i="35"/>
  <c r="H82" i="35"/>
  <c r="F81" i="35"/>
  <c r="J80" i="35"/>
  <c r="K80" i="35"/>
  <c r="J81" i="35"/>
  <c r="K81" i="35"/>
  <c r="J82" i="35"/>
  <c r="K82" i="35"/>
  <c r="G13" i="21"/>
  <c r="G14" i="21"/>
  <c r="G15" i="21"/>
  <c r="G16" i="21"/>
  <c r="C17" i="21" a="1"/>
  <c r="C17" i="21"/>
  <c r="D17" i="21" a="1"/>
  <c r="D17" i="21"/>
  <c r="G17" i="21"/>
  <c r="C18" i="21" a="1"/>
  <c r="C18" i="21"/>
  <c r="D18" i="21" a="1"/>
  <c r="D18" i="21"/>
  <c r="C16" i="21" a="1"/>
  <c r="C16" i="21"/>
  <c r="D16" i="21" a="1"/>
  <c r="D16" i="21"/>
  <c r="C15" i="21" a="1"/>
  <c r="C15" i="21"/>
  <c r="D15" i="21" a="1"/>
  <c r="D15" i="21"/>
  <c r="G18" i="21"/>
  <c r="C19" i="21" a="1"/>
  <c r="C19" i="21"/>
  <c r="D19" i="21" a="1"/>
  <c r="D19" i="21"/>
  <c r="C14" i="21" a="1"/>
  <c r="C14" i="21"/>
  <c r="D14" i="21" a="1"/>
  <c r="D14" i="21"/>
  <c r="G19" i="21"/>
  <c r="C20" i="21" a="1"/>
  <c r="C20" i="21"/>
  <c r="D20" i="21" a="1"/>
  <c r="D20" i="21"/>
  <c r="I22" i="21"/>
  <c r="R15" i="22"/>
  <c r="D25" i="36"/>
  <c r="C13" i="36" a="1"/>
  <c r="C13" i="36"/>
  <c r="D13" i="36"/>
  <c r="C15" i="36" a="1"/>
  <c r="C15" i="36"/>
  <c r="D15" i="36"/>
  <c r="D18" i="36"/>
  <c r="C21" i="36"/>
  <c r="D21" i="36"/>
  <c r="CC12" i="35"/>
  <c r="CA12" i="35"/>
  <c r="BZ12" i="35"/>
  <c r="CC13" i="35"/>
  <c r="CA13" i="35"/>
  <c r="BZ13" i="35"/>
  <c r="CC14" i="35"/>
  <c r="CA14" i="35"/>
  <c r="BZ14" i="35"/>
  <c r="CC15" i="35"/>
  <c r="CA15" i="35"/>
  <c r="BZ15" i="35"/>
  <c r="CC16" i="35"/>
  <c r="CA16" i="35"/>
  <c r="BZ16" i="35"/>
  <c r="CC17" i="35"/>
  <c r="CA17" i="35"/>
  <c r="BZ17" i="35"/>
  <c r="CC18" i="35"/>
  <c r="CA18" i="35"/>
  <c r="BZ18" i="35"/>
  <c r="CC19" i="35"/>
  <c r="CA19" i="35"/>
  <c r="BZ19" i="35"/>
  <c r="CC20" i="35"/>
  <c r="CA20" i="35"/>
  <c r="BZ20" i="35"/>
  <c r="CA21" i="35"/>
  <c r="BZ21" i="35"/>
  <c r="CA22" i="35"/>
  <c r="BZ22" i="35"/>
  <c r="CA23" i="35"/>
  <c r="BZ23" i="35"/>
  <c r="CA24" i="35"/>
  <c r="BZ24" i="35"/>
  <c r="CC29" i="35"/>
  <c r="CA29" i="35"/>
  <c r="BZ29" i="35"/>
  <c r="CC30" i="35"/>
  <c r="CA30" i="35"/>
  <c r="BZ30" i="35"/>
  <c r="CC31" i="35"/>
  <c r="CA31" i="35"/>
  <c r="BZ31" i="35"/>
  <c r="CC32" i="35"/>
  <c r="CA32" i="35"/>
  <c r="BZ32" i="35"/>
  <c r="CC33" i="35"/>
  <c r="CA33" i="35"/>
  <c r="BZ33" i="35"/>
  <c r="CC34" i="35"/>
  <c r="CA34" i="35"/>
  <c r="BZ34" i="35"/>
  <c r="CC35" i="35"/>
  <c r="CA35" i="35"/>
  <c r="BZ35" i="35"/>
  <c r="CC36" i="35"/>
  <c r="CA36" i="35"/>
  <c r="BZ36" i="35"/>
  <c r="CD14" i="35"/>
  <c r="F72" i="35"/>
  <c r="CD13" i="35"/>
  <c r="F71" i="35"/>
  <c r="J72" i="35"/>
  <c r="K72" i="35"/>
  <c r="E72" i="35"/>
  <c r="CD12" i="35"/>
  <c r="F70" i="35"/>
  <c r="J71" i="35"/>
  <c r="K71" i="35"/>
  <c r="E71" i="35"/>
  <c r="J70" i="35"/>
  <c r="K70" i="35"/>
  <c r="H72" i="35"/>
  <c r="CB30" i="35"/>
  <c r="G72" i="35"/>
  <c r="H71" i="35"/>
  <c r="G71" i="35"/>
  <c r="H70" i="35"/>
  <c r="CB12" i="35"/>
  <c r="CB14" i="35"/>
  <c r="G70" i="35"/>
  <c r="CD15" i="35"/>
  <c r="CD16" i="35"/>
  <c r="CD17" i="35"/>
  <c r="CD18" i="35"/>
  <c r="CD19" i="35"/>
  <c r="CD20" i="35"/>
  <c r="CD21" i="35"/>
  <c r="CD22" i="35"/>
  <c r="CD23" i="35"/>
  <c r="CD24" i="35"/>
  <c r="CD25" i="35"/>
  <c r="CD26" i="35"/>
  <c r="CD27" i="35"/>
  <c r="CD28" i="35"/>
  <c r="CD29" i="35"/>
  <c r="CD30" i="35"/>
  <c r="CD31" i="35"/>
  <c r="CD32" i="35"/>
  <c r="CD33" i="35"/>
  <c r="CD34" i="35"/>
  <c r="CD35" i="35"/>
  <c r="CD36" i="35"/>
  <c r="J69" i="35"/>
  <c r="J73" i="35"/>
  <c r="E70" i="35"/>
  <c r="K38" i="27"/>
  <c r="R19" i="22"/>
  <c r="CW12" i="35"/>
  <c r="CU12" i="35"/>
  <c r="CT12" i="35"/>
  <c r="CW13" i="35"/>
  <c r="CU13" i="35"/>
  <c r="CT13" i="35"/>
  <c r="CW14" i="35"/>
  <c r="CU14" i="35"/>
  <c r="CT14" i="35"/>
  <c r="CW15" i="35"/>
  <c r="CU15" i="35"/>
  <c r="CT15" i="35"/>
  <c r="CW16" i="35"/>
  <c r="CU16" i="35"/>
  <c r="CT16" i="35"/>
  <c r="CW17" i="35"/>
  <c r="CU17" i="35"/>
  <c r="CT17" i="35"/>
  <c r="CW18" i="35"/>
  <c r="CU18" i="35"/>
  <c r="CT18" i="35"/>
  <c r="CW19" i="35"/>
  <c r="CU19" i="35"/>
  <c r="CT19" i="35"/>
  <c r="CW20" i="35"/>
  <c r="CU20" i="35"/>
  <c r="CT20" i="35"/>
  <c r="CU21" i="35"/>
  <c r="CT21" i="35"/>
  <c r="CU22" i="35"/>
  <c r="CT22" i="35"/>
  <c r="CU23" i="35"/>
  <c r="CT23" i="35"/>
  <c r="CU24" i="35"/>
  <c r="CT24" i="35"/>
  <c r="CU26" i="35"/>
  <c r="CT26" i="35"/>
  <c r="CW29" i="35"/>
  <c r="CU29" i="35"/>
  <c r="CT29" i="35"/>
  <c r="CW30" i="35"/>
  <c r="CU30" i="35"/>
  <c r="CT30" i="35"/>
  <c r="CW31" i="35"/>
  <c r="CU31" i="35"/>
  <c r="CT31" i="35"/>
  <c r="CW32" i="35"/>
  <c r="CU32" i="35"/>
  <c r="CT32" i="35"/>
  <c r="CW33" i="35"/>
  <c r="CU33" i="35"/>
  <c r="CT33" i="35"/>
  <c r="CW34" i="35"/>
  <c r="CU34" i="35"/>
  <c r="CT34" i="35"/>
  <c r="CW35" i="35"/>
  <c r="CU35" i="35"/>
  <c r="CT35" i="35"/>
  <c r="CW36" i="35"/>
  <c r="CU36" i="35"/>
  <c r="CT36" i="35"/>
  <c r="CX12" i="35"/>
  <c r="F90" i="35"/>
  <c r="J89" i="35"/>
  <c r="CX15" i="35"/>
  <c r="CX16" i="35"/>
  <c r="CX17" i="35"/>
  <c r="CX18" i="35"/>
  <c r="CX19" i="35"/>
  <c r="CX20" i="35"/>
  <c r="CX21" i="35"/>
  <c r="CX22" i="35"/>
  <c r="CX23" i="35"/>
  <c r="CX24" i="35"/>
  <c r="CX25" i="35"/>
  <c r="CX26" i="35"/>
  <c r="CX27" i="35"/>
  <c r="CX28" i="35"/>
  <c r="CX29" i="35"/>
  <c r="CX30" i="35"/>
  <c r="CX31" i="35"/>
  <c r="CX32" i="35"/>
  <c r="CX33" i="35"/>
  <c r="CX34" i="35"/>
  <c r="CX35" i="35"/>
  <c r="CX36" i="35"/>
  <c r="E90" i="35"/>
  <c r="CV14" i="35"/>
  <c r="G90" i="35"/>
  <c r="H90" i="35"/>
  <c r="CX13" i="35"/>
  <c r="CV26" i="35"/>
  <c r="G91" i="35"/>
  <c r="H91" i="35"/>
  <c r="CX14" i="35"/>
  <c r="CV30" i="35"/>
  <c r="G92" i="35"/>
  <c r="H92" i="35"/>
  <c r="F91" i="35"/>
  <c r="J90" i="35"/>
  <c r="K90" i="35"/>
  <c r="F92" i="35"/>
  <c r="J91" i="35"/>
  <c r="K91" i="35"/>
  <c r="E91" i="35"/>
  <c r="J92" i="35"/>
  <c r="K92" i="35"/>
  <c r="E92" i="35"/>
  <c r="E13" i="36"/>
  <c r="E14" i="36"/>
  <c r="E15" i="36"/>
  <c r="E16" i="36"/>
  <c r="E21" i="36"/>
  <c r="E18" i="36"/>
  <c r="E19" i="36"/>
  <c r="E22" i="36"/>
  <c r="C25" i="36"/>
  <c r="C24" i="36"/>
  <c r="C28" i="36"/>
  <c r="C27" i="36"/>
  <c r="BD12" i="35"/>
  <c r="BB12" i="35"/>
  <c r="BA12" i="35"/>
  <c r="BD13" i="35"/>
  <c r="BB13" i="35"/>
  <c r="BA13" i="35"/>
  <c r="BD14" i="35"/>
  <c r="BB14" i="35"/>
  <c r="BA14" i="35"/>
  <c r="BD15" i="35"/>
  <c r="BB15" i="35"/>
  <c r="BA15" i="35"/>
  <c r="BD16" i="35"/>
  <c r="BB16" i="35"/>
  <c r="BA16" i="35"/>
  <c r="BD17" i="35"/>
  <c r="BB17" i="35"/>
  <c r="BA17" i="35"/>
  <c r="BD18" i="35"/>
  <c r="BB18" i="35"/>
  <c r="BA18" i="35"/>
  <c r="BD19" i="35"/>
  <c r="BB19" i="35"/>
  <c r="BA19" i="35"/>
  <c r="BD20" i="35"/>
  <c r="BB20" i="35"/>
  <c r="BA20" i="35"/>
  <c r="BB21" i="35"/>
  <c r="BA21" i="35"/>
  <c r="BB22" i="35"/>
  <c r="BA22" i="35"/>
  <c r="BD23" i="35"/>
  <c r="BB23" i="35"/>
  <c r="BA23" i="35"/>
  <c r="BB24" i="35"/>
  <c r="BA24" i="35"/>
  <c r="BD29" i="35"/>
  <c r="BB29" i="35"/>
  <c r="BA29" i="35"/>
  <c r="BD30" i="35"/>
  <c r="BB30" i="35"/>
  <c r="BA30" i="35"/>
  <c r="BD31" i="35"/>
  <c r="BB31" i="35"/>
  <c r="BA31" i="35"/>
  <c r="BD32" i="35"/>
  <c r="BB32" i="35"/>
  <c r="BA32" i="35"/>
  <c r="BD33" i="35"/>
  <c r="BB33" i="35"/>
  <c r="BA33" i="35"/>
  <c r="BD34" i="35"/>
  <c r="BB34" i="35"/>
  <c r="BA34" i="35"/>
  <c r="BD35" i="35"/>
  <c r="BB35" i="35"/>
  <c r="BA35" i="35"/>
  <c r="BD36" i="35"/>
  <c r="BB36" i="35"/>
  <c r="BA36" i="35"/>
  <c r="BE14" i="35"/>
  <c r="H47" i="35"/>
  <c r="BC35" i="35"/>
  <c r="G47" i="35"/>
  <c r="E47" i="35"/>
  <c r="BE13" i="35"/>
  <c r="H46" i="35"/>
  <c r="BC23" i="35"/>
  <c r="G46" i="35"/>
  <c r="E46" i="35"/>
  <c r="BE12" i="35"/>
  <c r="H45" i="35"/>
  <c r="BC15" i="35"/>
  <c r="G45" i="35"/>
  <c r="E45" i="35"/>
  <c r="BE36" i="35"/>
  <c r="BE35" i="35"/>
  <c r="BE34" i="35"/>
  <c r="BE33" i="35"/>
  <c r="BE32" i="35"/>
  <c r="BE31" i="35"/>
  <c r="BE30" i="35"/>
  <c r="BE29" i="35"/>
  <c r="BE28" i="35"/>
  <c r="BE27" i="35"/>
  <c r="BE26" i="35"/>
  <c r="BE25" i="35"/>
  <c r="BE24" i="35"/>
  <c r="BE23" i="35"/>
  <c r="BE22" i="35"/>
  <c r="BE21" i="35"/>
  <c r="BE20" i="35"/>
  <c r="BE19" i="35"/>
  <c r="BE18" i="35"/>
  <c r="BE17" i="35"/>
  <c r="BE16" i="35"/>
  <c r="BE15" i="35"/>
  <c r="F47" i="35"/>
  <c r="J48" i="35"/>
  <c r="F46" i="35"/>
  <c r="J47" i="35"/>
  <c r="K47" i="35"/>
  <c r="F45" i="35"/>
  <c r="J46" i="35"/>
  <c r="K46" i="35"/>
  <c r="J45" i="35"/>
  <c r="K45" i="35"/>
  <c r="J44" i="35"/>
  <c r="E20" i="21"/>
  <c r="E15" i="21"/>
  <c r="E16" i="21"/>
  <c r="E17" i="21"/>
  <c r="E18" i="21"/>
  <c r="E19" i="21"/>
  <c r="E14" i="21"/>
  <c r="V19" i="36"/>
  <c r="V18" i="36"/>
  <c r="BC36" i="35"/>
  <c r="BC34" i="35"/>
  <c r="BC33" i="35"/>
  <c r="BC32" i="35"/>
  <c r="BC31" i="35"/>
  <c r="BC30" i="35"/>
  <c r="BC29" i="35"/>
  <c r="BC20" i="35"/>
  <c r="BC19" i="35"/>
  <c r="BC18" i="35"/>
  <c r="BC17" i="35"/>
  <c r="BC16" i="35"/>
  <c r="BC14" i="35"/>
  <c r="BC13" i="35"/>
  <c r="BC12" i="35"/>
  <c r="BR12" i="35"/>
  <c r="BR15" i="35"/>
  <c r="BR16" i="35"/>
  <c r="BR17" i="35"/>
  <c r="BR18" i="35"/>
  <c r="BR19" i="35"/>
  <c r="BR20" i="35"/>
  <c r="BR31" i="35"/>
  <c r="BR32" i="35"/>
  <c r="BR33" i="35"/>
  <c r="BR34" i="35"/>
  <c r="BR35" i="35"/>
  <c r="BR36" i="35"/>
  <c r="CQ36" i="35"/>
  <c r="CQ33" i="35"/>
  <c r="CQ32" i="35"/>
  <c r="CQ31" i="35"/>
  <c r="CQ30" i="35"/>
  <c r="CQ29" i="35"/>
  <c r="CQ20" i="35"/>
  <c r="CQ17" i="35"/>
  <c r="CQ16" i="35"/>
  <c r="CQ15" i="35"/>
  <c r="CQ14" i="35"/>
  <c r="CQ13" i="35"/>
  <c r="CQ12" i="35"/>
  <c r="BH36" i="35"/>
  <c r="AS36" i="35"/>
  <c r="AN36" i="35"/>
  <c r="AI36" i="35"/>
  <c r="AD36" i="35"/>
  <c r="Y36" i="35"/>
  <c r="O36" i="35"/>
  <c r="BH35" i="35"/>
  <c r="AX35" i="35"/>
  <c r="AI35" i="35"/>
  <c r="AD35" i="35"/>
  <c r="Y35" i="35"/>
  <c r="T35" i="35"/>
  <c r="O35" i="35"/>
  <c r="BM34" i="35"/>
  <c r="AI34" i="35"/>
  <c r="AD34" i="35"/>
  <c r="Y34" i="35"/>
  <c r="T34" i="35"/>
  <c r="O34" i="35"/>
  <c r="BM33" i="35"/>
  <c r="BH33" i="35"/>
  <c r="AX33" i="35"/>
  <c r="AS33" i="35"/>
  <c r="AN33" i="35"/>
  <c r="Y33" i="35"/>
  <c r="T33" i="35"/>
  <c r="O33" i="35"/>
  <c r="BM32" i="35"/>
  <c r="BH32" i="35"/>
  <c r="AS32" i="35"/>
  <c r="AN32" i="35"/>
  <c r="AD32" i="35"/>
  <c r="T32" i="35"/>
  <c r="O32" i="35"/>
  <c r="AX31" i="35"/>
  <c r="AS31" i="35"/>
  <c r="AD31" i="35"/>
  <c r="Y31" i="35"/>
  <c r="O31" i="35"/>
  <c r="BM30" i="35"/>
  <c r="BH30" i="35"/>
  <c r="AX30" i="35"/>
  <c r="AN30" i="35"/>
  <c r="AI30" i="35"/>
  <c r="Y30" i="35"/>
  <c r="T30" i="35"/>
  <c r="BM29" i="35"/>
  <c r="BM18" i="35"/>
  <c r="BM17" i="35"/>
  <c r="BM16" i="35"/>
  <c r="BM14" i="35"/>
  <c r="BM13" i="35"/>
  <c r="BM12" i="35"/>
  <c r="AX29" i="35"/>
  <c r="AX19" i="35"/>
  <c r="AX18" i="35"/>
  <c r="AX17" i="35"/>
  <c r="AX15" i="35"/>
  <c r="AX13" i="35"/>
  <c r="AX12" i="35"/>
  <c r="AN29" i="35"/>
  <c r="AI29" i="35"/>
  <c r="AD29" i="35"/>
  <c r="T29" i="35"/>
  <c r="AN20" i="35"/>
  <c r="AD20" i="35"/>
  <c r="T20" i="35"/>
  <c r="O20" i="35"/>
  <c r="AD19" i="35"/>
  <c r="Y19" i="35"/>
  <c r="O19" i="35"/>
  <c r="AN18" i="35"/>
  <c r="AI18" i="35"/>
  <c r="Y18" i="35"/>
  <c r="T18" i="35"/>
  <c r="AN17" i="35"/>
  <c r="AI17" i="35"/>
  <c r="AD17" i="35"/>
  <c r="T17" i="35"/>
  <c r="AN16" i="35"/>
  <c r="AI16" i="35"/>
  <c r="AD16" i="35"/>
  <c r="Y16" i="35"/>
  <c r="O16" i="35"/>
  <c r="AI15" i="35"/>
  <c r="AD15" i="35"/>
  <c r="Y15" i="35"/>
  <c r="T15" i="35"/>
  <c r="O15" i="35"/>
  <c r="AI14" i="35"/>
  <c r="AD14" i="35"/>
  <c r="Y14" i="35"/>
  <c r="T14" i="35"/>
  <c r="O14" i="35"/>
  <c r="AN13" i="35"/>
  <c r="Y13" i="35"/>
  <c r="T13" i="35"/>
  <c r="O13" i="35"/>
  <c r="AN12" i="35"/>
  <c r="AI12" i="35"/>
  <c r="AD12" i="35"/>
  <c r="T12" i="35"/>
  <c r="O12" i="35"/>
  <c r="G12" i="26"/>
  <c r="G16" i="26"/>
  <c r="I13" i="26"/>
  <c r="I16" i="26"/>
  <c r="S16" i="26"/>
  <c r="V16" i="26"/>
  <c r="G15" i="26"/>
  <c r="I15" i="26"/>
  <c r="S15" i="26"/>
  <c r="V15" i="26"/>
  <c r="G20" i="32"/>
  <c r="S20" i="32"/>
  <c r="U20" i="32"/>
  <c r="G23" i="32"/>
  <c r="I21" i="32"/>
  <c r="S21" i="32"/>
  <c r="U21" i="32"/>
  <c r="I23" i="32"/>
  <c r="S23" i="32"/>
  <c r="T23" i="32"/>
  <c r="G32" i="32"/>
  <c r="S12" i="32"/>
  <c r="U12" i="32"/>
  <c r="G47" i="32"/>
  <c r="T12" i="32"/>
  <c r="G46" i="32"/>
  <c r="S14" i="32"/>
  <c r="U14" i="32"/>
  <c r="G43" i="32"/>
  <c r="T14" i="32"/>
  <c r="G42" i="32"/>
  <c r="S16" i="32"/>
  <c r="U16" i="32"/>
  <c r="G39" i="32"/>
  <c r="T16" i="32"/>
  <c r="G38" i="32"/>
  <c r="S18" i="32"/>
  <c r="U18" i="32"/>
  <c r="G35" i="32"/>
  <c r="T18" i="32"/>
  <c r="G34" i="32"/>
  <c r="V21" i="32"/>
  <c r="V20" i="32"/>
  <c r="S12" i="21"/>
  <c r="T12" i="21"/>
  <c r="G42" i="21"/>
  <c r="S14" i="21"/>
  <c r="T14" i="21"/>
  <c r="G38" i="21"/>
  <c r="S16" i="21"/>
  <c r="T16" i="21"/>
  <c r="G34" i="21"/>
  <c r="S18" i="21"/>
  <c r="T18" i="21"/>
  <c r="G30" i="21"/>
  <c r="U12" i="21"/>
  <c r="G43" i="21"/>
  <c r="S13" i="21"/>
  <c r="U13" i="21"/>
  <c r="G41" i="21"/>
  <c r="U14" i="21"/>
  <c r="G39" i="21"/>
  <c r="S15" i="21"/>
  <c r="U15" i="21"/>
  <c r="G37" i="21"/>
  <c r="U16" i="21"/>
  <c r="G35" i="21"/>
  <c r="S17" i="21"/>
  <c r="U17" i="21"/>
  <c r="G33" i="21"/>
  <c r="U18" i="21"/>
  <c r="G31" i="21"/>
  <c r="V18" i="21"/>
  <c r="S19" i="21"/>
  <c r="V19" i="21"/>
  <c r="G20" i="21"/>
  <c r="S20" i="21"/>
  <c r="V20" i="21"/>
  <c r="F4" i="34"/>
  <c r="V64" i="34"/>
  <c r="X64" i="34"/>
  <c r="V65" i="34"/>
  <c r="V66" i="34"/>
  <c r="V67" i="34"/>
  <c r="V68" i="34"/>
  <c r="V81" i="34"/>
  <c r="V82" i="34"/>
  <c r="V83" i="34"/>
  <c r="V84" i="34"/>
  <c r="V85" i="34"/>
  <c r="V86" i="34"/>
  <c r="V87" i="34"/>
  <c r="V88" i="34"/>
  <c r="X65" i="34"/>
  <c r="X66" i="34"/>
  <c r="X67" i="34"/>
  <c r="X68" i="34"/>
  <c r="W69" i="34"/>
  <c r="X69" i="34"/>
  <c r="W70" i="34"/>
  <c r="X70" i="34"/>
  <c r="W71" i="34"/>
  <c r="X71" i="34"/>
  <c r="W72" i="34"/>
  <c r="X72" i="34"/>
  <c r="X81" i="34"/>
  <c r="X82" i="34"/>
  <c r="X83" i="34"/>
  <c r="X84" i="34"/>
  <c r="X85" i="34"/>
  <c r="X86" i="34"/>
  <c r="X87" i="34"/>
  <c r="X88" i="34"/>
  <c r="Y64" i="34"/>
  <c r="Y65" i="34"/>
  <c r="Y66" i="34"/>
  <c r="Y67" i="34"/>
  <c r="Y68" i="34"/>
  <c r="Y69" i="34"/>
  <c r="Y70" i="34"/>
  <c r="Y71" i="34"/>
  <c r="Y72" i="34"/>
  <c r="Y81" i="34"/>
  <c r="Y82" i="34"/>
  <c r="Y83" i="34"/>
  <c r="Y84" i="34"/>
  <c r="Y85" i="34"/>
  <c r="Y86" i="34"/>
  <c r="Y87" i="34"/>
  <c r="Y88" i="34"/>
  <c r="K4" i="34"/>
  <c r="K5" i="34"/>
  <c r="K6" i="34"/>
  <c r="K7" i="34"/>
  <c r="K8" i="34"/>
  <c r="K9" i="34"/>
  <c r="K10" i="34"/>
  <c r="K11" i="34"/>
  <c r="K12" i="34"/>
  <c r="K13" i="34"/>
  <c r="I58" i="27"/>
  <c r="F4" i="33"/>
  <c r="V64" i="33"/>
  <c r="X64" i="33"/>
  <c r="V65" i="33"/>
  <c r="V66" i="33"/>
  <c r="V67" i="33"/>
  <c r="V68" i="33"/>
  <c r="V81" i="33"/>
  <c r="V82" i="33"/>
  <c r="V83" i="33"/>
  <c r="V84" i="33"/>
  <c r="V85" i="33"/>
  <c r="V86" i="33"/>
  <c r="V87" i="33"/>
  <c r="V88" i="33"/>
  <c r="X65" i="33"/>
  <c r="X66" i="33"/>
  <c r="X67" i="33"/>
  <c r="X68" i="33"/>
  <c r="W69" i="33"/>
  <c r="X69" i="33"/>
  <c r="W70" i="33"/>
  <c r="X70" i="33"/>
  <c r="W71" i="33"/>
  <c r="X71" i="33"/>
  <c r="W72" i="33"/>
  <c r="X72" i="33"/>
  <c r="X81" i="33"/>
  <c r="X82" i="33"/>
  <c r="X83" i="33"/>
  <c r="X84" i="33"/>
  <c r="X85" i="33"/>
  <c r="X86" i="33"/>
  <c r="X87" i="33"/>
  <c r="X88" i="33"/>
  <c r="Y64" i="33"/>
  <c r="Y65" i="33"/>
  <c r="Y66" i="33"/>
  <c r="Y67" i="33"/>
  <c r="Y68" i="33"/>
  <c r="Y69" i="33"/>
  <c r="Y70" i="33"/>
  <c r="Y71" i="33"/>
  <c r="Y72" i="33"/>
  <c r="Y81" i="33"/>
  <c r="Y82" i="33"/>
  <c r="Y83" i="33"/>
  <c r="Y84" i="33"/>
  <c r="Y85" i="33"/>
  <c r="Y86" i="33"/>
  <c r="Y87" i="33"/>
  <c r="Y88" i="33"/>
  <c r="K4" i="33"/>
  <c r="K5" i="33"/>
  <c r="F6" i="33"/>
  <c r="K6" i="33"/>
  <c r="K7" i="33"/>
  <c r="K8" i="33"/>
  <c r="K9" i="33"/>
  <c r="K10" i="33"/>
  <c r="K11" i="33"/>
  <c r="K12" i="33"/>
  <c r="K13" i="33"/>
  <c r="AA65" i="33"/>
  <c r="AE65" i="33"/>
  <c r="AE73" i="33"/>
  <c r="AA85" i="33"/>
  <c r="AE85" i="33"/>
  <c r="J4" i="33"/>
  <c r="K17" i="33"/>
  <c r="G4" i="33"/>
  <c r="H4" i="33"/>
  <c r="I4" i="33"/>
  <c r="J17" i="33"/>
  <c r="H17" i="33"/>
  <c r="L17" i="33"/>
  <c r="AA69" i="33"/>
  <c r="AE69" i="33"/>
  <c r="AF85" i="33"/>
  <c r="J5" i="33"/>
  <c r="K18" i="33"/>
  <c r="G5" i="33"/>
  <c r="H5" i="33"/>
  <c r="I5" i="33"/>
  <c r="J18" i="33"/>
  <c r="H18" i="33"/>
  <c r="L18" i="33"/>
  <c r="AA81" i="33"/>
  <c r="AE81" i="33"/>
  <c r="AF69" i="33"/>
  <c r="AF73" i="33"/>
  <c r="J6" i="33"/>
  <c r="K19" i="33"/>
  <c r="G6" i="33"/>
  <c r="H6" i="33"/>
  <c r="I6" i="33"/>
  <c r="J19" i="33"/>
  <c r="H19" i="33"/>
  <c r="L19" i="33"/>
  <c r="AF65" i="33"/>
  <c r="AF81" i="33"/>
  <c r="J7" i="33"/>
  <c r="K20" i="33"/>
  <c r="G7" i="33"/>
  <c r="H7" i="33"/>
  <c r="I7" i="33"/>
  <c r="J20" i="33"/>
  <c r="H20" i="33"/>
  <c r="L20" i="33"/>
  <c r="AA64" i="33"/>
  <c r="AE64" i="33"/>
  <c r="AF64" i="33"/>
  <c r="J8" i="33"/>
  <c r="K21" i="33"/>
  <c r="G8" i="33"/>
  <c r="H8" i="33"/>
  <c r="I8" i="33"/>
  <c r="J21" i="33"/>
  <c r="H21" i="33"/>
  <c r="L21" i="33"/>
  <c r="J9" i="33"/>
  <c r="K22" i="33"/>
  <c r="G9" i="33"/>
  <c r="H9" i="33"/>
  <c r="I9" i="33"/>
  <c r="J22" i="33"/>
  <c r="H22" i="33"/>
  <c r="L22" i="33"/>
  <c r="J10" i="33"/>
  <c r="K23" i="33"/>
  <c r="G10" i="33"/>
  <c r="H10" i="33"/>
  <c r="I10" i="33"/>
  <c r="J23" i="33"/>
  <c r="H23" i="33"/>
  <c r="L23" i="33"/>
  <c r="J11" i="33"/>
  <c r="K24" i="33"/>
  <c r="G11" i="33"/>
  <c r="H11" i="33"/>
  <c r="I11" i="33"/>
  <c r="J24" i="33"/>
  <c r="H24" i="33"/>
  <c r="L24" i="33"/>
  <c r="J12" i="33"/>
  <c r="K25" i="33"/>
  <c r="G12" i="33"/>
  <c r="H12" i="33"/>
  <c r="I12" i="33"/>
  <c r="J25" i="33"/>
  <c r="H25" i="33"/>
  <c r="L25" i="33"/>
  <c r="M17" i="33"/>
  <c r="N17" i="33" a="1"/>
  <c r="N17" i="33"/>
  <c r="O17" i="33"/>
  <c r="C17" i="33"/>
  <c r="E30" i="33" a="1"/>
  <c r="E30" i="33"/>
  <c r="F30" i="33" a="1"/>
  <c r="F30" i="33"/>
  <c r="G30" i="33" a="1"/>
  <c r="H30" i="33" a="1"/>
  <c r="I30" i="33" a="1"/>
  <c r="J30" i="33" a="1"/>
  <c r="K30" i="33" a="1"/>
  <c r="L30" i="33" a="1"/>
  <c r="P17" i="33"/>
  <c r="M30" i="33" a="1"/>
  <c r="N30" i="33" a="1"/>
  <c r="O30" i="33" a="1"/>
  <c r="P30" i="33" a="1"/>
  <c r="Q30" i="33" a="1"/>
  <c r="R30" i="33" a="1"/>
  <c r="S30" i="33" a="1"/>
  <c r="T30" i="33" a="1"/>
  <c r="Q17" i="33"/>
  <c r="U30" i="33" a="1"/>
  <c r="V30" i="33" a="1"/>
  <c r="W30" i="33" a="1"/>
  <c r="X30" i="33" a="1"/>
  <c r="Y30" i="33" a="1"/>
  <c r="Z30" i="33" a="1"/>
  <c r="AA30" i="33" a="1"/>
  <c r="AB30" i="33" a="1"/>
  <c r="R17" i="33"/>
  <c r="AC30" i="33" a="1"/>
  <c r="AD30" i="33" a="1"/>
  <c r="AE30" i="33" a="1"/>
  <c r="AF30" i="33" a="1"/>
  <c r="AG30" i="33" a="1"/>
  <c r="AH30" i="33" a="1"/>
  <c r="AI30" i="33" a="1"/>
  <c r="AJ30" i="33" a="1"/>
  <c r="S17" i="33"/>
  <c r="AK30" i="33" a="1"/>
  <c r="AL30" i="33" a="1"/>
  <c r="AM30" i="33" a="1"/>
  <c r="AN30" i="33" a="1"/>
  <c r="AO30" i="33" a="1"/>
  <c r="AP30" i="33" a="1"/>
  <c r="AQ30" i="33" a="1"/>
  <c r="AR30" i="33" a="1"/>
  <c r="T17" i="33"/>
  <c r="AS30" i="33" a="1"/>
  <c r="AT30" i="33" a="1"/>
  <c r="AU30" i="33" a="1"/>
  <c r="AV30" i="33" a="1"/>
  <c r="AW30" i="33" a="1"/>
  <c r="AX30" i="33" a="1"/>
  <c r="AY30" i="33" a="1"/>
  <c r="AZ30" i="33" a="1"/>
  <c r="U17" i="33"/>
  <c r="BA30" i="33" a="1"/>
  <c r="BB30" i="33" a="1"/>
  <c r="BC30" i="33" a="1"/>
  <c r="BD30" i="33" a="1"/>
  <c r="BE30" i="33" a="1"/>
  <c r="BF30" i="33" a="1"/>
  <c r="BG30" i="33" a="1"/>
  <c r="BH30" i="33" a="1"/>
  <c r="V17" i="33"/>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W17" i="33"/>
  <c r="M18" i="33"/>
  <c r="N18" i="33" a="1"/>
  <c r="N18" i="33"/>
  <c r="O18" i="33"/>
  <c r="E31" i="33" a="1"/>
  <c r="E31" i="33"/>
  <c r="F31" i="33" a="1"/>
  <c r="F31" i="33"/>
  <c r="G31" i="33" a="1"/>
  <c r="H31" i="33" a="1"/>
  <c r="I31" i="33" a="1"/>
  <c r="J31" i="33" a="1"/>
  <c r="K31" i="33" a="1"/>
  <c r="L31" i="33" a="1"/>
  <c r="P18" i="33"/>
  <c r="M31" i="33" a="1"/>
  <c r="N31" i="33" a="1"/>
  <c r="O31" i="33" a="1"/>
  <c r="P31" i="33" a="1"/>
  <c r="Q31" i="33" a="1"/>
  <c r="R31" i="33" a="1"/>
  <c r="S31" i="33" a="1"/>
  <c r="T31" i="33" a="1"/>
  <c r="Q18" i="33"/>
  <c r="U31" i="33" a="1"/>
  <c r="V31" i="33" a="1"/>
  <c r="W31" i="33" a="1"/>
  <c r="X31" i="33" a="1"/>
  <c r="Y31" i="33" a="1"/>
  <c r="Z31" i="33" a="1"/>
  <c r="AA31" i="33" a="1"/>
  <c r="AB31" i="33" a="1"/>
  <c r="R18" i="33"/>
  <c r="AC31" i="33" a="1"/>
  <c r="AD31" i="33" a="1"/>
  <c r="AE31" i="33" a="1"/>
  <c r="AF31" i="33" a="1"/>
  <c r="AG31" i="33" a="1"/>
  <c r="AH31" i="33" a="1"/>
  <c r="AI31" i="33" a="1"/>
  <c r="AJ31" i="33" a="1"/>
  <c r="S18" i="33"/>
  <c r="AK31" i="33" a="1"/>
  <c r="AL31" i="33" a="1"/>
  <c r="AM31" i="33" a="1"/>
  <c r="AN31" i="33" a="1"/>
  <c r="AO31" i="33" a="1"/>
  <c r="AP31" i="33" a="1"/>
  <c r="AQ31" i="33" a="1"/>
  <c r="AR31" i="33" a="1"/>
  <c r="T18" i="33"/>
  <c r="AS31" i="33" a="1"/>
  <c r="AT31" i="33" a="1"/>
  <c r="AU31" i="33" a="1"/>
  <c r="AV31" i="33" a="1"/>
  <c r="AW31" i="33" a="1"/>
  <c r="AX31" i="33" a="1"/>
  <c r="AY31" i="33" a="1"/>
  <c r="AZ31" i="33" a="1"/>
  <c r="U18" i="33"/>
  <c r="BA31" i="33" a="1"/>
  <c r="BB31" i="33" a="1"/>
  <c r="BC31" i="33" a="1"/>
  <c r="BD31" i="33" a="1"/>
  <c r="BE31" i="33" a="1"/>
  <c r="BF31" i="33" a="1"/>
  <c r="BG31" i="33" a="1"/>
  <c r="BH31" i="33" a="1"/>
  <c r="V18" i="33"/>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W18" i="33"/>
  <c r="M19" i="33"/>
  <c r="N19" i="33" a="1"/>
  <c r="N19" i="33"/>
  <c r="O19" i="33"/>
  <c r="C19" i="33"/>
  <c r="E32" i="33" a="1"/>
  <c r="E32" i="33"/>
  <c r="F32" i="33" a="1"/>
  <c r="F32" i="33"/>
  <c r="G32" i="33" a="1"/>
  <c r="H32" i="33" a="1"/>
  <c r="I32" i="33" a="1"/>
  <c r="J32" i="33" a="1"/>
  <c r="K32" i="33" a="1"/>
  <c r="L32" i="33" a="1"/>
  <c r="P19" i="33"/>
  <c r="M32" i="33" a="1"/>
  <c r="N32" i="33" a="1"/>
  <c r="O32" i="33" a="1"/>
  <c r="P32" i="33" a="1"/>
  <c r="Q32" i="33" a="1"/>
  <c r="R32" i="33" a="1"/>
  <c r="S32" i="33" a="1"/>
  <c r="T32" i="33" a="1"/>
  <c r="Q19" i="33"/>
  <c r="U32" i="33" a="1"/>
  <c r="V32" i="33" a="1"/>
  <c r="W32" i="33" a="1"/>
  <c r="X32" i="33" a="1"/>
  <c r="Y32" i="33" a="1"/>
  <c r="Z32" i="33" a="1"/>
  <c r="AA32" i="33" a="1"/>
  <c r="AB32" i="33" a="1"/>
  <c r="R19" i="33"/>
  <c r="AC32" i="33" a="1"/>
  <c r="AD32" i="33" a="1"/>
  <c r="AE32" i="33" a="1"/>
  <c r="AF32" i="33" a="1"/>
  <c r="AG32" i="33" a="1"/>
  <c r="AH32" i="33" a="1"/>
  <c r="AI32" i="33" a="1"/>
  <c r="AJ32" i="33" a="1"/>
  <c r="S19" i="33"/>
  <c r="AK32" i="33" a="1"/>
  <c r="AL32" i="33" a="1"/>
  <c r="AM32" i="33" a="1"/>
  <c r="AN32" i="33" a="1"/>
  <c r="AO32" i="33" a="1"/>
  <c r="AP32" i="33" a="1"/>
  <c r="AQ32" i="33" a="1"/>
  <c r="AR32" i="33" a="1"/>
  <c r="T19" i="33"/>
  <c r="AS32" i="33" a="1"/>
  <c r="AT32" i="33" a="1"/>
  <c r="AU32" i="33" a="1"/>
  <c r="AV32" i="33" a="1"/>
  <c r="AW32" i="33" a="1"/>
  <c r="AX32" i="33" a="1"/>
  <c r="AY32" i="33" a="1"/>
  <c r="AZ32" i="33" a="1"/>
  <c r="U19" i="33"/>
  <c r="BA32" i="33" a="1"/>
  <c r="BB32" i="33" a="1"/>
  <c r="BC32" i="33" a="1"/>
  <c r="BD32" i="33" a="1"/>
  <c r="BE32" i="33" a="1"/>
  <c r="BF32" i="33" a="1"/>
  <c r="BG32" i="33" a="1"/>
  <c r="BH32" i="33" a="1"/>
  <c r="V19" i="33"/>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W19" i="33"/>
  <c r="M20" i="33"/>
  <c r="N20" i="33" a="1"/>
  <c r="N20" i="33"/>
  <c r="O20" i="33"/>
  <c r="E33" i="33" a="1"/>
  <c r="E33" i="33"/>
  <c r="F33" i="33" a="1"/>
  <c r="F33" i="33"/>
  <c r="G33" i="33" a="1"/>
  <c r="H33" i="33" a="1"/>
  <c r="I33" i="33" a="1"/>
  <c r="J33" i="33" a="1"/>
  <c r="K33" i="33" a="1"/>
  <c r="L33" i="33" a="1"/>
  <c r="P20" i="33"/>
  <c r="M33" i="33" a="1"/>
  <c r="N33" i="33" a="1"/>
  <c r="O33" i="33" a="1"/>
  <c r="P33" i="33" a="1"/>
  <c r="Q33" i="33" a="1"/>
  <c r="R33" i="33" a="1"/>
  <c r="S33" i="33" a="1"/>
  <c r="T33" i="33" a="1"/>
  <c r="Q20" i="33"/>
  <c r="U33" i="33" a="1"/>
  <c r="V33" i="33" a="1"/>
  <c r="W33" i="33" a="1"/>
  <c r="X33" i="33" a="1"/>
  <c r="Y33" i="33" a="1"/>
  <c r="Z33" i="33" a="1"/>
  <c r="AA33" i="33" a="1"/>
  <c r="AB33" i="33" a="1"/>
  <c r="R20" i="33"/>
  <c r="AC33" i="33" a="1"/>
  <c r="AD33" i="33" a="1"/>
  <c r="AE33" i="33" a="1"/>
  <c r="AF33" i="33" a="1"/>
  <c r="AG33" i="33" a="1"/>
  <c r="AH33" i="33" a="1"/>
  <c r="AI33" i="33" a="1"/>
  <c r="AJ33" i="33" a="1"/>
  <c r="S20" i="33"/>
  <c r="AK33" i="33" a="1"/>
  <c r="AL33" i="33" a="1"/>
  <c r="AM33" i="33" a="1"/>
  <c r="AN33" i="33" a="1"/>
  <c r="AO33" i="33" a="1"/>
  <c r="AP33" i="33" a="1"/>
  <c r="AQ33" i="33" a="1"/>
  <c r="AR33" i="33" a="1"/>
  <c r="T20" i="33"/>
  <c r="AS33" i="33" a="1"/>
  <c r="AT33" i="33" a="1"/>
  <c r="AU33" i="33" a="1"/>
  <c r="AV33" i="33" a="1"/>
  <c r="AW33" i="33" a="1"/>
  <c r="AX33" i="33" a="1"/>
  <c r="AY33" i="33" a="1"/>
  <c r="AZ33" i="33" a="1"/>
  <c r="U20" i="33"/>
  <c r="BA33" i="33" a="1"/>
  <c r="BB33" i="33" a="1"/>
  <c r="BC33" i="33" a="1"/>
  <c r="BD33" i="33" a="1"/>
  <c r="BE33" i="33" a="1"/>
  <c r="BF33" i="33" a="1"/>
  <c r="BG33" i="33" a="1"/>
  <c r="BH33" i="33" a="1"/>
  <c r="V20" i="33"/>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W20" i="33"/>
  <c r="X17" i="33"/>
  <c r="X18"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R35" i="27"/>
  <c r="I55" i="27"/>
  <c r="C5" i="33"/>
  <c r="R34" i="27"/>
  <c r="I54" i="27"/>
  <c r="V64" i="30"/>
  <c r="X64" i="30"/>
  <c r="Y64" i="30"/>
  <c r="AA64" i="30"/>
  <c r="AF64" i="30"/>
  <c r="V65" i="30"/>
  <c r="X65" i="30"/>
  <c r="Y65" i="30"/>
  <c r="AA65" i="30"/>
  <c r="AF65" i="30"/>
  <c r="V67" i="30"/>
  <c r="X67" i="30"/>
  <c r="Y67" i="30"/>
  <c r="AA67" i="30"/>
  <c r="AF67" i="30"/>
  <c r="V68" i="30"/>
  <c r="X68" i="30"/>
  <c r="Y68" i="30"/>
  <c r="AA68" i="30"/>
  <c r="AF68" i="30"/>
  <c r="W69" i="30"/>
  <c r="X69" i="30"/>
  <c r="Y69" i="30"/>
  <c r="AA69" i="30"/>
  <c r="AF69" i="30"/>
  <c r="W71" i="30"/>
  <c r="X71" i="30"/>
  <c r="Y71" i="30"/>
  <c r="AA71" i="30"/>
  <c r="AF71" i="30"/>
  <c r="W72" i="30"/>
  <c r="X72" i="30"/>
  <c r="Y72" i="30"/>
  <c r="AA72" i="30"/>
  <c r="AF72" i="30"/>
  <c r="V81" i="30"/>
  <c r="X81" i="30"/>
  <c r="Y81" i="30"/>
  <c r="AA81" i="30"/>
  <c r="AF81" i="30"/>
  <c r="V83" i="30"/>
  <c r="X83" i="30"/>
  <c r="Y83" i="30"/>
  <c r="AA83" i="30"/>
  <c r="AF83" i="30"/>
  <c r="V84" i="30"/>
  <c r="X84" i="30"/>
  <c r="Y84" i="30"/>
  <c r="AA84" i="30"/>
  <c r="AF84" i="30"/>
  <c r="V85" i="30"/>
  <c r="X85" i="30"/>
  <c r="Y85" i="30"/>
  <c r="AA85" i="30"/>
  <c r="AF85" i="30"/>
  <c r="V87" i="30"/>
  <c r="X87" i="30"/>
  <c r="Y87" i="30"/>
  <c r="AA87" i="30"/>
  <c r="AF87" i="30"/>
  <c r="V88" i="30"/>
  <c r="X88" i="30"/>
  <c r="Y88" i="30"/>
  <c r="AA88" i="30"/>
  <c r="AF88" i="30"/>
  <c r="V66" i="30"/>
  <c r="V82" i="30"/>
  <c r="V86" i="30"/>
  <c r="W70" i="30"/>
  <c r="AE64" i="30"/>
  <c r="J8" i="30"/>
  <c r="K21" i="30"/>
  <c r="G8" i="30"/>
  <c r="H8" i="30"/>
  <c r="I8" i="30"/>
  <c r="J21" i="30"/>
  <c r="H21" i="30"/>
  <c r="L21" i="30"/>
  <c r="F4" i="30"/>
  <c r="X66" i="30"/>
  <c r="Y66" i="30"/>
  <c r="AA66" i="30"/>
  <c r="AE66" i="30"/>
  <c r="AE74" i="30"/>
  <c r="X86" i="30"/>
  <c r="Y86" i="30"/>
  <c r="AA86" i="30"/>
  <c r="AE86" i="30"/>
  <c r="J4" i="30"/>
  <c r="K17" i="30"/>
  <c r="G4" i="30"/>
  <c r="H4" i="30"/>
  <c r="I4" i="30"/>
  <c r="J17" i="30"/>
  <c r="H17" i="30"/>
  <c r="L17" i="30"/>
  <c r="X70" i="30"/>
  <c r="Y70" i="30"/>
  <c r="AA70" i="30"/>
  <c r="AE70" i="30"/>
  <c r="AF86" i="30"/>
  <c r="J5" i="30"/>
  <c r="K18" i="30"/>
  <c r="G5" i="30"/>
  <c r="H5" i="30"/>
  <c r="I5" i="30"/>
  <c r="J18" i="30"/>
  <c r="H18" i="30"/>
  <c r="L18" i="30"/>
  <c r="F6" i="30"/>
  <c r="X82" i="30"/>
  <c r="Y82" i="30"/>
  <c r="AA82" i="30"/>
  <c r="AE82" i="30"/>
  <c r="AF70" i="30"/>
  <c r="AF74" i="30"/>
  <c r="J6" i="30"/>
  <c r="K19" i="30"/>
  <c r="G6" i="30"/>
  <c r="H6" i="30"/>
  <c r="I6" i="30"/>
  <c r="J19" i="30"/>
  <c r="H19" i="30"/>
  <c r="L19" i="30"/>
  <c r="AF66" i="30"/>
  <c r="AF82" i="30"/>
  <c r="J7" i="30"/>
  <c r="K20" i="30"/>
  <c r="G7" i="30"/>
  <c r="H7" i="30"/>
  <c r="I7" i="30"/>
  <c r="J20" i="30"/>
  <c r="H20" i="30"/>
  <c r="L20"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M18" i="30"/>
  <c r="N18" i="30" a="1"/>
  <c r="N18" i="30"/>
  <c r="O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M19" i="30"/>
  <c r="N19" i="30" a="1"/>
  <c r="N19" i="30"/>
  <c r="O19" i="30"/>
  <c r="C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M20" i="30"/>
  <c r="N20" i="30" a="1"/>
  <c r="N20" i="30"/>
  <c r="O20" i="30"/>
  <c r="E33" i="30" a="1"/>
  <c r="E33" i="30"/>
  <c r="F33" i="30" a="1"/>
  <c r="F33" i="30"/>
  <c r="G33" i="30" a="1"/>
  <c r="H33" i="30" a="1"/>
  <c r="I33" i="30" a="1"/>
  <c r="J33" i="30" a="1"/>
  <c r="K33" i="30" a="1"/>
  <c r="L33" i="30" a="1"/>
  <c r="P20" i="30"/>
  <c r="M33" i="30" a="1"/>
  <c r="N33" i="30" a="1"/>
  <c r="O33" i="30" a="1"/>
  <c r="P33" i="30" a="1"/>
  <c r="Q33" i="30" a="1"/>
  <c r="R33" i="30" a="1"/>
  <c r="S33" i="30" a="1"/>
  <c r="T33" i="30" a="1"/>
  <c r="Q20" i="30"/>
  <c r="U33" i="30" a="1"/>
  <c r="V33" i="30" a="1"/>
  <c r="W33" i="30" a="1"/>
  <c r="X33" i="30" a="1"/>
  <c r="Y33" i="30" a="1"/>
  <c r="Z33" i="30" a="1"/>
  <c r="AA33" i="30" a="1"/>
  <c r="AB33" i="30" a="1"/>
  <c r="R20" i="30"/>
  <c r="AC33" i="30" a="1"/>
  <c r="AD33" i="30" a="1"/>
  <c r="AE33" i="30" a="1"/>
  <c r="AF33" i="30" a="1"/>
  <c r="AG33" i="30" a="1"/>
  <c r="AH33" i="30" a="1"/>
  <c r="AI33" i="30" a="1"/>
  <c r="AJ33" i="30" a="1"/>
  <c r="S20" i="30"/>
  <c r="AK33" i="30" a="1"/>
  <c r="AL33" i="30" a="1"/>
  <c r="AM33" i="30" a="1"/>
  <c r="AN33" i="30" a="1"/>
  <c r="AO33" i="30" a="1"/>
  <c r="AP33" i="30" a="1"/>
  <c r="AQ33" i="30" a="1"/>
  <c r="AR33" i="30" a="1"/>
  <c r="T20" i="30"/>
  <c r="AS33" i="30" a="1"/>
  <c r="AT33" i="30" a="1"/>
  <c r="AU33" i="30" a="1"/>
  <c r="AV33" i="30" a="1"/>
  <c r="AW33" i="30" a="1"/>
  <c r="AX33" i="30" a="1"/>
  <c r="AY33" i="30" a="1"/>
  <c r="AZ33" i="30" a="1"/>
  <c r="U20" i="30"/>
  <c r="BA33" i="30" a="1"/>
  <c r="BB33" i="30" a="1"/>
  <c r="BC33" i="30" a="1"/>
  <c r="BD33" i="30" a="1"/>
  <c r="BE33" i="30" a="1"/>
  <c r="BF33" i="30" a="1"/>
  <c r="BG33" i="30" a="1"/>
  <c r="BH33" i="30" a="1"/>
  <c r="V20" i="30"/>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X21" i="30"/>
  <c r="X17" i="30"/>
  <c r="X18" i="30"/>
  <c r="X19" i="30"/>
  <c r="X20" i="30"/>
  <c r="X22" i="30"/>
  <c r="X23" i="30"/>
  <c r="X24" i="30"/>
  <c r="X25" i="30"/>
  <c r="E8" i="30"/>
  <c r="D8" i="30"/>
  <c r="E4" i="30"/>
  <c r="D4" i="30"/>
  <c r="E5" i="30"/>
  <c r="D5" i="30"/>
  <c r="E6" i="30"/>
  <c r="D6" i="30"/>
  <c r="E7" i="30"/>
  <c r="D7" i="30"/>
  <c r="E9" i="30"/>
  <c r="D9" i="30"/>
  <c r="E10" i="30"/>
  <c r="D10" i="30"/>
  <c r="E11" i="30"/>
  <c r="D11" i="30"/>
  <c r="E12" i="30"/>
  <c r="D12" i="30"/>
  <c r="C8" i="30"/>
  <c r="C9" i="30"/>
  <c r="C10" i="30"/>
  <c r="C11" i="30"/>
  <c r="C12" i="30"/>
  <c r="V88" i="28"/>
  <c r="X88" i="28"/>
  <c r="Y88" i="28"/>
  <c r="AA88" i="28"/>
  <c r="AB88" i="28"/>
  <c r="Z88" i="28"/>
  <c r="V87" i="28"/>
  <c r="X87" i="28"/>
  <c r="Y87" i="28"/>
  <c r="AA87" i="28"/>
  <c r="AB87" i="28"/>
  <c r="Z87" i="28"/>
  <c r="V86" i="28"/>
  <c r="X86" i="28"/>
  <c r="Y86" i="28"/>
  <c r="AA86" i="28"/>
  <c r="AB86" i="28"/>
  <c r="Z86" i="28"/>
  <c r="V85" i="28"/>
  <c r="X85" i="28"/>
  <c r="Y85" i="28"/>
  <c r="AA85" i="28"/>
  <c r="AB85" i="28"/>
  <c r="Z85" i="28"/>
  <c r="V84" i="28"/>
  <c r="X84" i="28"/>
  <c r="Y84" i="28"/>
  <c r="AA84" i="28"/>
  <c r="AB84" i="28"/>
  <c r="Z84" i="28"/>
  <c r="V83" i="28"/>
  <c r="X83" i="28"/>
  <c r="Y83" i="28"/>
  <c r="AA83" i="28"/>
  <c r="AB83" i="28"/>
  <c r="Z83" i="28"/>
  <c r="V82" i="28"/>
  <c r="X82" i="28"/>
  <c r="Y82" i="28"/>
  <c r="AA82" i="28"/>
  <c r="AB82" i="28"/>
  <c r="Z82" i="28"/>
  <c r="V81" i="28"/>
  <c r="X81" i="28"/>
  <c r="Y81" i="28"/>
  <c r="AA81" i="28"/>
  <c r="AB81" i="28"/>
  <c r="Z81" i="28"/>
  <c r="W72" i="28"/>
  <c r="X72" i="28"/>
  <c r="Y72" i="28"/>
  <c r="AA72" i="28"/>
  <c r="AB72" i="28"/>
  <c r="Z72" i="28"/>
  <c r="W71" i="28"/>
  <c r="X71" i="28"/>
  <c r="Y71" i="28"/>
  <c r="AA71" i="28"/>
  <c r="AB71" i="28"/>
  <c r="Z71" i="28"/>
  <c r="W70" i="28"/>
  <c r="X70" i="28"/>
  <c r="Y70" i="28"/>
  <c r="AA70" i="28"/>
  <c r="AB70" i="28"/>
  <c r="Z70" i="28"/>
  <c r="W69" i="28"/>
  <c r="X69" i="28"/>
  <c r="Y69" i="28"/>
  <c r="AA69" i="28"/>
  <c r="AB69" i="28"/>
  <c r="Z69" i="28"/>
  <c r="V68" i="28"/>
  <c r="X68" i="28"/>
  <c r="Y68" i="28"/>
  <c r="AA68" i="28"/>
  <c r="AB68" i="28"/>
  <c r="Z68" i="28"/>
  <c r="V67" i="28"/>
  <c r="X67" i="28"/>
  <c r="Y67" i="28"/>
  <c r="AA67" i="28"/>
  <c r="AB67" i="28"/>
  <c r="Z67" i="28"/>
  <c r="V66" i="28"/>
  <c r="X66" i="28"/>
  <c r="Y66" i="28"/>
  <c r="AA66" i="28"/>
  <c r="AB66" i="28"/>
  <c r="Z66" i="28"/>
  <c r="V65" i="28"/>
  <c r="X65" i="28"/>
  <c r="Y65" i="28"/>
  <c r="AA65" i="28"/>
  <c r="AB65" i="28"/>
  <c r="Z65" i="28"/>
  <c r="V64" i="28"/>
  <c r="X64" i="28"/>
  <c r="Y64" i="28"/>
  <c r="AA64" i="28"/>
  <c r="AB64" i="28"/>
  <c r="Z64" i="28"/>
  <c r="AA160" i="28"/>
  <c r="AB160" i="28"/>
  <c r="Z160" i="28"/>
  <c r="AA159" i="28"/>
  <c r="AB159" i="28"/>
  <c r="Z159" i="28"/>
  <c r="AA158" i="28"/>
  <c r="AB158" i="28"/>
  <c r="Z158" i="28"/>
  <c r="AA157" i="28"/>
  <c r="AB157" i="28"/>
  <c r="Z157" i="28"/>
  <c r="AA156" i="28"/>
  <c r="AB156" i="28"/>
  <c r="Z156" i="28"/>
  <c r="AA155" i="28"/>
  <c r="AB155" i="28"/>
  <c r="Z155" i="28"/>
  <c r="AA154" i="28"/>
  <c r="AB154" i="28"/>
  <c r="Z154" i="28"/>
  <c r="AB88" i="30"/>
  <c r="Z88" i="30"/>
  <c r="AB87" i="30"/>
  <c r="Z87" i="30"/>
  <c r="AB86" i="30"/>
  <c r="Z86" i="30"/>
  <c r="AB85" i="30"/>
  <c r="Z85" i="30"/>
  <c r="AB84" i="30"/>
  <c r="Z84" i="30"/>
  <c r="AB83" i="30"/>
  <c r="Z83" i="30"/>
  <c r="AB82" i="30"/>
  <c r="Z82" i="30"/>
  <c r="AB81" i="30"/>
  <c r="Z81" i="30"/>
  <c r="AB72" i="30"/>
  <c r="Z72" i="30"/>
  <c r="AB71" i="30"/>
  <c r="Z71" i="30"/>
  <c r="AB70" i="30"/>
  <c r="Z70" i="30"/>
  <c r="AB69" i="30"/>
  <c r="Z69" i="30"/>
  <c r="AB68" i="30"/>
  <c r="Z68" i="30"/>
  <c r="AB67" i="30"/>
  <c r="Z67" i="30"/>
  <c r="AB66" i="30"/>
  <c r="Z66" i="30"/>
  <c r="AB65" i="30"/>
  <c r="Z65" i="30"/>
  <c r="AB64" i="30"/>
  <c r="Z64" i="30"/>
  <c r="AA160" i="30"/>
  <c r="AB160" i="30"/>
  <c r="Z160" i="30"/>
  <c r="AA159" i="30"/>
  <c r="AB159" i="30"/>
  <c r="Z159" i="30"/>
  <c r="AA158" i="30"/>
  <c r="AB158" i="30"/>
  <c r="Z158" i="30"/>
  <c r="AA157" i="30"/>
  <c r="AB157" i="30"/>
  <c r="Z157" i="30"/>
  <c r="AA156" i="30"/>
  <c r="AB156" i="30"/>
  <c r="Z156" i="30"/>
  <c r="AA155" i="30"/>
  <c r="AB155" i="30"/>
  <c r="Z155" i="30"/>
  <c r="AA154" i="30"/>
  <c r="AB154" i="30"/>
  <c r="Z154" i="30"/>
  <c r="AA88" i="34"/>
  <c r="AB88" i="34"/>
  <c r="Z88" i="34"/>
  <c r="AA87" i="34"/>
  <c r="AB87" i="34"/>
  <c r="Z87" i="34"/>
  <c r="AA86" i="34"/>
  <c r="AB86" i="34"/>
  <c r="Z86" i="34"/>
  <c r="AA85" i="34"/>
  <c r="AB85" i="34"/>
  <c r="Z85" i="34"/>
  <c r="AA84" i="34"/>
  <c r="AB84" i="34"/>
  <c r="Z84" i="34"/>
  <c r="AA83" i="34"/>
  <c r="AB83" i="34"/>
  <c r="Z83" i="34"/>
  <c r="AA82" i="34"/>
  <c r="AB82" i="34"/>
  <c r="Z82" i="34"/>
  <c r="AA81" i="34"/>
  <c r="AB81" i="34"/>
  <c r="Z81" i="34"/>
  <c r="AA160" i="34"/>
  <c r="AB160" i="34"/>
  <c r="Z160" i="34"/>
  <c r="AA159" i="34"/>
  <c r="AB159" i="34"/>
  <c r="Z159" i="34"/>
  <c r="AA158" i="34"/>
  <c r="AB158" i="34"/>
  <c r="Z158" i="34"/>
  <c r="AA157" i="34"/>
  <c r="AB157" i="34"/>
  <c r="Z157" i="34"/>
  <c r="AA156" i="34"/>
  <c r="AB156" i="34"/>
  <c r="Z156" i="34"/>
  <c r="AA155" i="34"/>
  <c r="AB155" i="34"/>
  <c r="Z155" i="34"/>
  <c r="AA154" i="34"/>
  <c r="AB154" i="34"/>
  <c r="Z154" i="34"/>
  <c r="AA88" i="33"/>
  <c r="AA160" i="33"/>
  <c r="AB160" i="33"/>
  <c r="Z160" i="33"/>
  <c r="AA87" i="33"/>
  <c r="AA159" i="33"/>
  <c r="AB159" i="33"/>
  <c r="Z159" i="33"/>
  <c r="AA86" i="33"/>
  <c r="AA158" i="33"/>
  <c r="AB158" i="33"/>
  <c r="Z158" i="33"/>
  <c r="AA157" i="33"/>
  <c r="AB157" i="33"/>
  <c r="Z157" i="33"/>
  <c r="AA84" i="33"/>
  <c r="AA156" i="33"/>
  <c r="AB156" i="33"/>
  <c r="Z156" i="33"/>
  <c r="AA83" i="33"/>
  <c r="AA155" i="33"/>
  <c r="AB155" i="33"/>
  <c r="Z155" i="33"/>
  <c r="AA82" i="33"/>
  <c r="AA154" i="33"/>
  <c r="AB154" i="33"/>
  <c r="Z154" i="33"/>
  <c r="AB88" i="33"/>
  <c r="Z88" i="33"/>
  <c r="AB87" i="33"/>
  <c r="Z87" i="33"/>
  <c r="AB86" i="33"/>
  <c r="Z86" i="33"/>
  <c r="AB85" i="33"/>
  <c r="Z85" i="33"/>
  <c r="AB84" i="33"/>
  <c r="Z84" i="33"/>
  <c r="AB83" i="33"/>
  <c r="Z83" i="33"/>
  <c r="AB82" i="33"/>
  <c r="Z82" i="33"/>
  <c r="AA153" i="34"/>
  <c r="AB153" i="34"/>
  <c r="Z153" i="34"/>
  <c r="AA69" i="34"/>
  <c r="AA141" i="34"/>
  <c r="AB141" i="34"/>
  <c r="Z141" i="34"/>
  <c r="AA68" i="34"/>
  <c r="AA140" i="34"/>
  <c r="AB140" i="34"/>
  <c r="Z140" i="34"/>
  <c r="AA67" i="34"/>
  <c r="AA139" i="34"/>
  <c r="AB139" i="34"/>
  <c r="Z139" i="34"/>
  <c r="AA66" i="34"/>
  <c r="AA138" i="34"/>
  <c r="AB138" i="34"/>
  <c r="Z138" i="34"/>
  <c r="AA65" i="34"/>
  <c r="AA137" i="34"/>
  <c r="AB137" i="34"/>
  <c r="Z137" i="34"/>
  <c r="AA64" i="34"/>
  <c r="AA136" i="34"/>
  <c r="AB136" i="34"/>
  <c r="Z136" i="34"/>
  <c r="AB69" i="34"/>
  <c r="Z69" i="34"/>
  <c r="AB68" i="34"/>
  <c r="Z68" i="34"/>
  <c r="AB67" i="34"/>
  <c r="Z67" i="34"/>
  <c r="AB66" i="34"/>
  <c r="Z66" i="34"/>
  <c r="AB65" i="34"/>
  <c r="Z65" i="34"/>
  <c r="AB64" i="34"/>
  <c r="Z64" i="34"/>
  <c r="AE64" i="34"/>
  <c r="AF64" i="34"/>
  <c r="J6" i="34"/>
  <c r="K19" i="34"/>
  <c r="G6" i="34"/>
  <c r="H6" i="34"/>
  <c r="I6" i="34"/>
  <c r="J19" i="34"/>
  <c r="H19" i="34"/>
  <c r="L19" i="34"/>
  <c r="J4" i="34"/>
  <c r="K17" i="34"/>
  <c r="G4" i="34"/>
  <c r="H4" i="34"/>
  <c r="I4" i="34"/>
  <c r="J17" i="34"/>
  <c r="H17" i="34"/>
  <c r="L17" i="34"/>
  <c r="J5" i="34"/>
  <c r="K18" i="34"/>
  <c r="G5" i="34"/>
  <c r="H5" i="34"/>
  <c r="I5" i="34"/>
  <c r="J18" i="34"/>
  <c r="H18" i="34"/>
  <c r="L18" i="34"/>
  <c r="J7" i="34"/>
  <c r="K20" i="34"/>
  <c r="G7" i="34"/>
  <c r="H7" i="34"/>
  <c r="I7" i="34"/>
  <c r="J20" i="34"/>
  <c r="H20" i="34"/>
  <c r="L20" i="34"/>
  <c r="J8" i="34"/>
  <c r="K21" i="34"/>
  <c r="G8" i="34"/>
  <c r="H8" i="34"/>
  <c r="I8" i="34"/>
  <c r="J21" i="34"/>
  <c r="H21" i="34"/>
  <c r="L21" i="34"/>
  <c r="J9" i="34"/>
  <c r="K22" i="34"/>
  <c r="G9" i="34"/>
  <c r="H9" i="34"/>
  <c r="I9" i="34"/>
  <c r="J22" i="34"/>
  <c r="H22" i="34"/>
  <c r="L22" i="34"/>
  <c r="J10" i="34"/>
  <c r="K23" i="34"/>
  <c r="G10" i="34"/>
  <c r="H10" i="34"/>
  <c r="I10" i="34"/>
  <c r="J23" i="34"/>
  <c r="H23" i="34"/>
  <c r="L23" i="34"/>
  <c r="J11" i="34"/>
  <c r="K24" i="34"/>
  <c r="G11" i="34"/>
  <c r="H11" i="34"/>
  <c r="I11" i="34"/>
  <c r="J24" i="34"/>
  <c r="H24" i="34"/>
  <c r="L24" i="34"/>
  <c r="J12" i="34"/>
  <c r="K25" i="34"/>
  <c r="G12" i="34"/>
  <c r="H12" i="34"/>
  <c r="I12" i="34"/>
  <c r="J25" i="34"/>
  <c r="H25" i="34"/>
  <c r="L25" i="34"/>
  <c r="M19" i="34"/>
  <c r="N19" i="34" a="1"/>
  <c r="N19" i="34"/>
  <c r="O19" i="34"/>
  <c r="M17" i="34"/>
  <c r="N17" i="34" a="1"/>
  <c r="N17" i="34"/>
  <c r="C17" i="34"/>
  <c r="O17" i="34"/>
  <c r="BR52" i="34"/>
  <c r="BS51" i="34"/>
  <c r="BT52" i="34"/>
  <c r="BU52" i="34"/>
  <c r="BV52" i="34"/>
  <c r="BW52" i="34"/>
  <c r="BX52" i="34"/>
  <c r="BY52" i="34"/>
  <c r="BZ52" i="34"/>
  <c r="CA52"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2" i="34" a="1"/>
  <c r="E32" i="34"/>
  <c r="M18" i="34"/>
  <c r="N18" i="34" a="1"/>
  <c r="N18" i="34"/>
  <c r="O18" i="34"/>
  <c r="F32" i="34" a="1"/>
  <c r="F32" i="34"/>
  <c r="M20" i="34"/>
  <c r="N20" i="34" a="1"/>
  <c r="N20" i="34"/>
  <c r="O20" i="34"/>
  <c r="G32" i="34" a="1"/>
  <c r="M21" i="34"/>
  <c r="N21" i="34" a="1"/>
  <c r="N21" i="34"/>
  <c r="O21" i="34"/>
  <c r="H32" i="34" a="1"/>
  <c r="M22" i="34"/>
  <c r="N22" i="34" a="1"/>
  <c r="N22" i="34"/>
  <c r="O22" i="34"/>
  <c r="I32" i="34" a="1"/>
  <c r="M23" i="34"/>
  <c r="N23" i="34" a="1"/>
  <c r="N23" i="34"/>
  <c r="O23" i="34"/>
  <c r="J32" i="34" a="1"/>
  <c r="M24" i="34"/>
  <c r="N24" i="34" a="1"/>
  <c r="N24" i="34"/>
  <c r="O24" i="34"/>
  <c r="K32" i="34" a="1"/>
  <c r="M25" i="34"/>
  <c r="N25" i="34" a="1"/>
  <c r="N25" i="34"/>
  <c r="O25" i="34"/>
  <c r="L32" i="34" a="1"/>
  <c r="P19" i="34"/>
  <c r="P17" i="34"/>
  <c r="M32" i="34" a="1"/>
  <c r="P18" i="34"/>
  <c r="N32" i="34" a="1"/>
  <c r="P20" i="34"/>
  <c r="O32" i="34" a="1"/>
  <c r="P21" i="34"/>
  <c r="P32" i="34" a="1"/>
  <c r="P22" i="34"/>
  <c r="Q32" i="34" a="1"/>
  <c r="P23" i="34"/>
  <c r="R32" i="34" a="1"/>
  <c r="P24" i="34"/>
  <c r="S32" i="34" a="1"/>
  <c r="P25" i="34"/>
  <c r="T32" i="34" a="1"/>
  <c r="Q19" i="34"/>
  <c r="Q17" i="34"/>
  <c r="U32" i="34" a="1"/>
  <c r="Q18" i="34"/>
  <c r="V32" i="34" a="1"/>
  <c r="Q20" i="34"/>
  <c r="W32" i="34" a="1"/>
  <c r="Q21" i="34"/>
  <c r="X32" i="34" a="1"/>
  <c r="Q22" i="34"/>
  <c r="Y32" i="34" a="1"/>
  <c r="Q23" i="34"/>
  <c r="Z32" i="34" a="1"/>
  <c r="Q24" i="34"/>
  <c r="AA32" i="34" a="1"/>
  <c r="Q25" i="34"/>
  <c r="AB32" i="34" a="1"/>
  <c r="R19" i="34"/>
  <c r="R17" i="34"/>
  <c r="AC32" i="34" a="1"/>
  <c r="R18" i="34"/>
  <c r="AD32" i="34" a="1"/>
  <c r="R20" i="34"/>
  <c r="AE32" i="34" a="1"/>
  <c r="R21" i="34"/>
  <c r="AF32" i="34" a="1"/>
  <c r="R22" i="34"/>
  <c r="AG32" i="34" a="1"/>
  <c r="R23" i="34"/>
  <c r="AH32" i="34" a="1"/>
  <c r="R24" i="34"/>
  <c r="AI32" i="34" a="1"/>
  <c r="R25" i="34"/>
  <c r="AJ32" i="34" a="1"/>
  <c r="S19" i="34"/>
  <c r="S17" i="34"/>
  <c r="AK32" i="34" a="1"/>
  <c r="S18" i="34"/>
  <c r="AL32" i="34" a="1"/>
  <c r="S20" i="34"/>
  <c r="AM32" i="34" a="1"/>
  <c r="S21" i="34"/>
  <c r="AN32" i="34" a="1"/>
  <c r="S22" i="34"/>
  <c r="AO32" i="34" a="1"/>
  <c r="S23" i="34"/>
  <c r="AP32" i="34" a="1"/>
  <c r="S24" i="34"/>
  <c r="AQ32" i="34" a="1"/>
  <c r="S25" i="34"/>
  <c r="AR32" i="34" a="1"/>
  <c r="T19" i="34"/>
  <c r="T17" i="34"/>
  <c r="AS32" i="34" a="1"/>
  <c r="T18" i="34"/>
  <c r="AT32" i="34" a="1"/>
  <c r="T20" i="34"/>
  <c r="AU32" i="34" a="1"/>
  <c r="T21" i="34"/>
  <c r="AV32" i="34" a="1"/>
  <c r="T22" i="34"/>
  <c r="AW32" i="34" a="1"/>
  <c r="T23" i="34"/>
  <c r="AX32" i="34" a="1"/>
  <c r="T24" i="34"/>
  <c r="AY32" i="34" a="1"/>
  <c r="T25" i="34"/>
  <c r="AZ32" i="34" a="1"/>
  <c r="U19" i="34"/>
  <c r="U17" i="34"/>
  <c r="BA32" i="34" a="1"/>
  <c r="U18" i="34"/>
  <c r="BB32" i="34" a="1"/>
  <c r="U20" i="34"/>
  <c r="BC32" i="34" a="1"/>
  <c r="U21" i="34"/>
  <c r="BD32" i="34" a="1"/>
  <c r="U22" i="34"/>
  <c r="BE32" i="34" a="1"/>
  <c r="U23" i="34"/>
  <c r="BF32" i="34" a="1"/>
  <c r="U24" i="34"/>
  <c r="BG32" i="34" a="1"/>
  <c r="U25" i="34"/>
  <c r="BH32" i="34" a="1"/>
  <c r="V19" i="34"/>
  <c r="V17" i="34"/>
  <c r="BI32" i="34" a="1"/>
  <c r="V18" i="34"/>
  <c r="BJ32" i="34" a="1"/>
  <c r="V20" i="34"/>
  <c r="BK32" i="34" a="1"/>
  <c r="V21" i="34"/>
  <c r="BL32" i="34" a="1"/>
  <c r="V22" i="34"/>
  <c r="BM32" i="34" a="1"/>
  <c r="V23" i="34"/>
  <c r="BN32" i="34" a="1"/>
  <c r="V24" i="34"/>
  <c r="BO32" i="34" a="1"/>
  <c r="V25" i="34"/>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BR41" i="34"/>
  <c r="BS40" i="34"/>
  <c r="BR30" i="34"/>
  <c r="BT30" i="34"/>
  <c r="BS29"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E33" i="34" a="1"/>
  <c r="E33" i="34"/>
  <c r="F33" i="34" a="1"/>
  <c r="F33" i="34"/>
  <c r="G33" i="34" a="1"/>
  <c r="H33" i="34" a="1"/>
  <c r="I33" i="34" a="1"/>
  <c r="J33" i="34" a="1"/>
  <c r="K33" i="34" a="1"/>
  <c r="L33" i="34" a="1"/>
  <c r="M33" i="34" a="1"/>
  <c r="N33" i="34" a="1"/>
  <c r="O33" i="34" a="1"/>
  <c r="P33" i="34" a="1"/>
  <c r="Q33" i="34" a="1"/>
  <c r="R33" i="34" a="1"/>
  <c r="S33" i="34" a="1"/>
  <c r="T33" i="34" a="1"/>
  <c r="U33" i="34" a="1"/>
  <c r="V33" i="34" a="1"/>
  <c r="W33" i="34" a="1"/>
  <c r="X33" i="34" a="1"/>
  <c r="Y33" i="34" a="1"/>
  <c r="Z33" i="34" a="1"/>
  <c r="AA33" i="34" a="1"/>
  <c r="AB33" i="34" a="1"/>
  <c r="AC33" i="34" a="1"/>
  <c r="AD33" i="34" a="1"/>
  <c r="AE33" i="34" a="1"/>
  <c r="AF33" i="34" a="1"/>
  <c r="AG33" i="34" a="1"/>
  <c r="AH33" i="34" a="1"/>
  <c r="AI33" i="34" a="1"/>
  <c r="AJ33" i="34" a="1"/>
  <c r="AK33" i="34" a="1"/>
  <c r="AL33" i="34" a="1"/>
  <c r="AM33" i="34" a="1"/>
  <c r="AN33" i="34" a="1"/>
  <c r="AO33" i="34" a="1"/>
  <c r="AP33" i="34" a="1"/>
  <c r="AQ33" i="34" a="1"/>
  <c r="AR33" i="34" a="1"/>
  <c r="AS33" i="34" a="1"/>
  <c r="AT33" i="34" a="1"/>
  <c r="AU33" i="34" a="1"/>
  <c r="AV33" i="34" a="1"/>
  <c r="AW33" i="34" a="1"/>
  <c r="AX33" i="34" a="1"/>
  <c r="AY33" i="34" a="1"/>
  <c r="AZ33" i="34" a="1"/>
  <c r="BA33" i="34" a="1"/>
  <c r="BB33" i="34" a="1"/>
  <c r="BC33" i="34" a="1"/>
  <c r="BD33" i="34" a="1"/>
  <c r="BE33" i="34" a="1"/>
  <c r="BF33" i="34" a="1"/>
  <c r="BG33" i="34" a="1"/>
  <c r="BH33" i="34" a="1"/>
  <c r="BI33" i="34" a="1"/>
  <c r="BJ33" i="34" a="1"/>
  <c r="BK33" i="34" a="1"/>
  <c r="BL33" i="34" a="1"/>
  <c r="BM33" i="34" a="1"/>
  <c r="BN33" i="34" a="1"/>
  <c r="BO33" i="34" a="1"/>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30" i="34" a="1"/>
  <c r="E30" i="34"/>
  <c r="F30" i="34" a="1"/>
  <c r="F30" i="34"/>
  <c r="G30" i="34" a="1"/>
  <c r="H30" i="34" a="1"/>
  <c r="I30" i="34" a="1"/>
  <c r="J30" i="34" a="1"/>
  <c r="K30" i="34" a="1"/>
  <c r="L30" i="34" a="1"/>
  <c r="M30" i="34" a="1"/>
  <c r="N30" i="34" a="1"/>
  <c r="O30" i="34" a="1"/>
  <c r="P30" i="34" a="1"/>
  <c r="Q30" i="34" a="1"/>
  <c r="R30" i="34" a="1"/>
  <c r="S30" i="34" a="1"/>
  <c r="T30" i="34" a="1"/>
  <c r="U30" i="34" a="1"/>
  <c r="V30" i="34" a="1"/>
  <c r="W30" i="34" a="1"/>
  <c r="X30" i="34" a="1"/>
  <c r="Y30" i="34" a="1"/>
  <c r="Z30" i="34" a="1"/>
  <c r="AA30" i="34" a="1"/>
  <c r="AB30" i="34" a="1"/>
  <c r="AC30" i="34" a="1"/>
  <c r="AD30" i="34" a="1"/>
  <c r="AE30" i="34" a="1"/>
  <c r="AF30" i="34" a="1"/>
  <c r="AG30" i="34" a="1"/>
  <c r="AH30" i="34" a="1"/>
  <c r="AI30" i="34" a="1"/>
  <c r="AJ30" i="34" a="1"/>
  <c r="AK30" i="34" a="1"/>
  <c r="AL30" i="34" a="1"/>
  <c r="AM30" i="34" a="1"/>
  <c r="AN30" i="34" a="1"/>
  <c r="AO30" i="34" a="1"/>
  <c r="AP30" i="34" a="1"/>
  <c r="AQ30" i="34" a="1"/>
  <c r="AR30" i="34" a="1"/>
  <c r="AS30" i="34" a="1"/>
  <c r="AT30" i="34" a="1"/>
  <c r="AU30" i="34" a="1"/>
  <c r="AV30" i="34" a="1"/>
  <c r="AW30" i="34" a="1"/>
  <c r="AX30" i="34" a="1"/>
  <c r="AY30" i="34" a="1"/>
  <c r="AZ30" i="34" a="1"/>
  <c r="BA30" i="34" a="1"/>
  <c r="BB30" i="34" a="1"/>
  <c r="BC30" i="34" a="1"/>
  <c r="BD30" i="34" a="1"/>
  <c r="BE30" i="34" a="1"/>
  <c r="BF30" i="34" a="1"/>
  <c r="BG30" i="34" a="1"/>
  <c r="BH30" i="34" a="1"/>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E52" i="34" a="1"/>
  <c r="E52" i="34"/>
  <c r="F52" i="34" a="1"/>
  <c r="F52" i="34"/>
  <c r="G52" i="34" a="1"/>
  <c r="H52" i="34" a="1"/>
  <c r="I52" i="34" a="1"/>
  <c r="J52" i="34" a="1"/>
  <c r="K52" i="34" a="1"/>
  <c r="L52" i="34" a="1"/>
  <c r="M52" i="34" a="1"/>
  <c r="N52" i="34" a="1"/>
  <c r="O52" i="34" a="1"/>
  <c r="P52" i="34" a="1"/>
  <c r="Q52" i="34" a="1"/>
  <c r="R52" i="34" a="1"/>
  <c r="S52" i="34" a="1"/>
  <c r="T52" i="34" a="1"/>
  <c r="U52" i="34" a="1"/>
  <c r="V52" i="34" a="1"/>
  <c r="W52" i="34" a="1"/>
  <c r="X52" i="34" a="1"/>
  <c r="Y52" i="34" a="1"/>
  <c r="Z52" i="34" a="1"/>
  <c r="AA52" i="34" a="1"/>
  <c r="AB52" i="34" a="1"/>
  <c r="AC52" i="34" a="1"/>
  <c r="AD52" i="34" a="1"/>
  <c r="AE52" i="34" a="1"/>
  <c r="AF52" i="34" a="1"/>
  <c r="AG52" i="34" a="1"/>
  <c r="AH52" i="34" a="1"/>
  <c r="AI52" i="34" a="1"/>
  <c r="AJ52" i="34" a="1"/>
  <c r="AK52" i="34" a="1"/>
  <c r="AL52" i="34" a="1"/>
  <c r="AM52" i="34" a="1"/>
  <c r="AN52" i="34" a="1"/>
  <c r="AO52" i="34" a="1"/>
  <c r="AP52" i="34" a="1"/>
  <c r="AQ52" i="34" a="1"/>
  <c r="AR52" i="34" a="1"/>
  <c r="AS52" i="34" a="1"/>
  <c r="AT52" i="34" a="1"/>
  <c r="AU52" i="34" a="1"/>
  <c r="AV52" i="34" a="1"/>
  <c r="AW52" i="34" a="1"/>
  <c r="AX52" i="34" a="1"/>
  <c r="AY52" i="34" a="1"/>
  <c r="AZ52" i="34" a="1"/>
  <c r="BA52" i="34" a="1"/>
  <c r="BB52" i="34" a="1"/>
  <c r="BC52" i="34" a="1"/>
  <c r="BD52" i="34" a="1"/>
  <c r="BE52" i="34" a="1"/>
  <c r="BF52" i="34" a="1"/>
  <c r="BG52" i="34" a="1"/>
  <c r="BH52" i="34" a="1"/>
  <c r="BI52" i="34" a="1"/>
  <c r="BJ52" i="34" a="1"/>
  <c r="BK52" i="34" a="1"/>
  <c r="BL52" i="34" a="1"/>
  <c r="BM52" i="34" a="1"/>
  <c r="BN52" i="34" a="1"/>
  <c r="BO52" i="34" a="1"/>
  <c r="BP52" i="34" a="1"/>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AC17" i="34"/>
  <c r="W17" i="34"/>
  <c r="E31" i="34" a="1"/>
  <c r="E31" i="34"/>
  <c r="F31" i="34" a="1"/>
  <c r="F31" i="34"/>
  <c r="G31" i="34" a="1"/>
  <c r="H31" i="34" a="1"/>
  <c r="I31" i="34" a="1"/>
  <c r="J31" i="34" a="1"/>
  <c r="K31" i="34" a="1"/>
  <c r="L31" i="34" a="1"/>
  <c r="M31" i="34" a="1"/>
  <c r="N31" i="34" a="1"/>
  <c r="O31" i="34" a="1"/>
  <c r="P31" i="34" a="1"/>
  <c r="Q31" i="34" a="1"/>
  <c r="R31" i="34" a="1"/>
  <c r="S31" i="34" a="1"/>
  <c r="T31" i="34" a="1"/>
  <c r="U31" i="34" a="1"/>
  <c r="V31" i="34" a="1"/>
  <c r="W31" i="34" a="1"/>
  <c r="X31" i="34" a="1"/>
  <c r="Y31" i="34" a="1"/>
  <c r="Z31" i="34" a="1"/>
  <c r="AA31" i="34" a="1"/>
  <c r="AB31" i="34" a="1"/>
  <c r="AC31" i="34" a="1"/>
  <c r="AD31" i="34" a="1"/>
  <c r="AE31" i="34" a="1"/>
  <c r="AF31" i="34" a="1"/>
  <c r="AG31" i="34" a="1"/>
  <c r="AH31" i="34" a="1"/>
  <c r="AI31" i="34" a="1"/>
  <c r="AJ31" i="34" a="1"/>
  <c r="AK31" i="34" a="1"/>
  <c r="AL31" i="34" a="1"/>
  <c r="AM31" i="34" a="1"/>
  <c r="AN31" i="34" a="1"/>
  <c r="AO31" i="34" a="1"/>
  <c r="AP31" i="34" a="1"/>
  <c r="AQ31" i="34" a="1"/>
  <c r="AR31" i="34" a="1"/>
  <c r="AS31" i="34" a="1"/>
  <c r="AT31" i="34" a="1"/>
  <c r="AU31" i="34" a="1"/>
  <c r="AV31" i="34" a="1"/>
  <c r="AW31" i="34" a="1"/>
  <c r="AX31" i="34" a="1"/>
  <c r="AY31" i="34" a="1"/>
  <c r="AZ31" i="34" a="1"/>
  <c r="BA31" i="34" a="1"/>
  <c r="BB31" i="34" a="1"/>
  <c r="BC31" i="34" a="1"/>
  <c r="BD31" i="34" a="1"/>
  <c r="BE31" i="34" a="1"/>
  <c r="BF31" i="34" a="1"/>
  <c r="BG31" i="34" a="1"/>
  <c r="BH31" i="34" a="1"/>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W18" i="34"/>
  <c r="Z25" i="34"/>
  <c r="I25" i="34"/>
  <c r="N12" i="34"/>
  <c r="G25" i="34"/>
  <c r="M12" i="34"/>
  <c r="F25" i="34"/>
  <c r="L12" i="34"/>
  <c r="E25" i="34"/>
  <c r="D25"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Z24" i="34"/>
  <c r="I24" i="34"/>
  <c r="N11" i="34"/>
  <c r="G24" i="34"/>
  <c r="M11" i="34"/>
  <c r="F24" i="34"/>
  <c r="L11" i="34"/>
  <c r="E24" i="34"/>
  <c r="D24"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Z23" i="34"/>
  <c r="I23" i="34"/>
  <c r="N10" i="34"/>
  <c r="G23" i="34"/>
  <c r="M10" i="34"/>
  <c r="F23" i="34"/>
  <c r="L10" i="34"/>
  <c r="E23" i="34"/>
  <c r="D23"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E35" i="34" a="1"/>
  <c r="E35" i="34"/>
  <c r="F35" i="34" a="1"/>
  <c r="F35" i="34"/>
  <c r="G35" i="34" a="1"/>
  <c r="H35" i="34" a="1"/>
  <c r="I35" i="34" a="1"/>
  <c r="J35" i="34" a="1"/>
  <c r="K35" i="34" a="1"/>
  <c r="L35" i="34" a="1"/>
  <c r="M35" i="34" a="1"/>
  <c r="N35" i="34" a="1"/>
  <c r="O35" i="34" a="1"/>
  <c r="P35" i="34" a="1"/>
  <c r="Q35" i="34" a="1"/>
  <c r="R35" i="34" a="1"/>
  <c r="S35" i="34" a="1"/>
  <c r="T35" i="34" a="1"/>
  <c r="U35" i="34" a="1"/>
  <c r="V35" i="34" a="1"/>
  <c r="W35" i="34" a="1"/>
  <c r="X35" i="34" a="1"/>
  <c r="Y35" i="34" a="1"/>
  <c r="Z35" i="34" a="1"/>
  <c r="AA35" i="34" a="1"/>
  <c r="AB35" i="34" a="1"/>
  <c r="AC35" i="34" a="1"/>
  <c r="AD35" i="34" a="1"/>
  <c r="AE35" i="34" a="1"/>
  <c r="AF35" i="34" a="1"/>
  <c r="AG35" i="34" a="1"/>
  <c r="AH35" i="34" a="1"/>
  <c r="AI35" i="34" a="1"/>
  <c r="AJ35" i="34" a="1"/>
  <c r="AK35" i="34" a="1"/>
  <c r="AL35" i="34" a="1"/>
  <c r="AM35" i="34" a="1"/>
  <c r="AN35" i="34" a="1"/>
  <c r="AO35" i="34" a="1"/>
  <c r="AP35" i="34" a="1"/>
  <c r="AQ35" i="34" a="1"/>
  <c r="AR35" i="34" a="1"/>
  <c r="AS35" i="34" a="1"/>
  <c r="AT35" i="34" a="1"/>
  <c r="AU35" i="34" a="1"/>
  <c r="AV35" i="34" a="1"/>
  <c r="AW35" i="34" a="1"/>
  <c r="AX35" i="34" a="1"/>
  <c r="AY35" i="34" a="1"/>
  <c r="AZ35" i="34" a="1"/>
  <c r="BA35" i="34" a="1"/>
  <c r="BB35" i="34" a="1"/>
  <c r="BC35" i="34" a="1"/>
  <c r="BD35" i="34" a="1"/>
  <c r="BE35" i="34" a="1"/>
  <c r="BF35" i="34" a="1"/>
  <c r="BG35" i="34" a="1"/>
  <c r="BH35" i="34" a="1"/>
  <c r="BI35" i="34" a="1"/>
  <c r="BJ35" i="34" a="1"/>
  <c r="BK35" i="34" a="1"/>
  <c r="BL35" i="34" a="1"/>
  <c r="BM35" i="34" a="1"/>
  <c r="BN35" i="34" a="1"/>
  <c r="BO35" i="34" a="1"/>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Z22" i="34"/>
  <c r="I22" i="34"/>
  <c r="N9" i="34"/>
  <c r="G22" i="34"/>
  <c r="M9" i="34"/>
  <c r="F22" i="34"/>
  <c r="L9" i="34"/>
  <c r="E22" i="34"/>
  <c r="D22" i="34"/>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E34" i="34" a="1"/>
  <c r="E34" i="34"/>
  <c r="F34" i="34" a="1"/>
  <c r="F34" i="34"/>
  <c r="G34" i="34" a="1"/>
  <c r="H34" i="34" a="1"/>
  <c r="I34" i="34" a="1"/>
  <c r="J34" i="34" a="1"/>
  <c r="K34" i="34" a="1"/>
  <c r="L34" i="34" a="1"/>
  <c r="M34" i="34" a="1"/>
  <c r="N34" i="34" a="1"/>
  <c r="O34" i="34" a="1"/>
  <c r="P34" i="34" a="1"/>
  <c r="Q34" i="34" a="1"/>
  <c r="R34" i="34" a="1"/>
  <c r="S34" i="34" a="1"/>
  <c r="T34" i="34" a="1"/>
  <c r="U34" i="34" a="1"/>
  <c r="V34" i="34" a="1"/>
  <c r="W34" i="34" a="1"/>
  <c r="X34" i="34" a="1"/>
  <c r="Y34" i="34" a="1"/>
  <c r="Z34" i="34" a="1"/>
  <c r="AA34" i="34" a="1"/>
  <c r="AB34" i="34" a="1"/>
  <c r="AC34" i="34" a="1"/>
  <c r="AD34" i="34" a="1"/>
  <c r="AE34" i="34" a="1"/>
  <c r="AF34" i="34" a="1"/>
  <c r="AG34" i="34" a="1"/>
  <c r="AH34" i="34" a="1"/>
  <c r="AI34" i="34" a="1"/>
  <c r="AJ34" i="34" a="1"/>
  <c r="AK34" i="34" a="1"/>
  <c r="AL34" i="34" a="1"/>
  <c r="AM34" i="34" a="1"/>
  <c r="AN34" i="34" a="1"/>
  <c r="AO34" i="34" a="1"/>
  <c r="AP34" i="34" a="1"/>
  <c r="AQ34" i="34" a="1"/>
  <c r="AR34" i="34" a="1"/>
  <c r="AS34" i="34" a="1"/>
  <c r="AT34" i="34" a="1"/>
  <c r="AU34" i="34" a="1"/>
  <c r="AV34" i="34" a="1"/>
  <c r="AW34" i="34" a="1"/>
  <c r="AX34" i="34" a="1"/>
  <c r="AY34" i="34" a="1"/>
  <c r="AZ34" i="34" a="1"/>
  <c r="BA34" i="34" a="1"/>
  <c r="BB34" i="34" a="1"/>
  <c r="BC34" i="34" a="1"/>
  <c r="BD34" i="34" a="1"/>
  <c r="BE34" i="34" a="1"/>
  <c r="BF34" i="34" a="1"/>
  <c r="BG34" i="34" a="1"/>
  <c r="BH34" i="34" a="1"/>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Z21" i="34"/>
  <c r="I21" i="34"/>
  <c r="N8" i="34"/>
  <c r="G21" i="34"/>
  <c r="M8" i="34"/>
  <c r="F21" i="34"/>
  <c r="L8" i="34"/>
  <c r="E21" i="34"/>
  <c r="D21" i="34"/>
  <c r="Z20" i="34"/>
  <c r="I20" i="34"/>
  <c r="N7" i="34"/>
  <c r="G20" i="34"/>
  <c r="M7" i="34"/>
  <c r="F20" i="34"/>
  <c r="L7" i="34"/>
  <c r="E20" i="34"/>
  <c r="D20" i="34"/>
  <c r="Z19" i="34"/>
  <c r="I19" i="34"/>
  <c r="N6" i="34"/>
  <c r="G19" i="34"/>
  <c r="M6" i="34"/>
  <c r="F19" i="34"/>
  <c r="L6" i="34"/>
  <c r="E19" i="34"/>
  <c r="D19" i="34"/>
  <c r="Z18" i="34"/>
  <c r="I18" i="34"/>
  <c r="N5" i="34"/>
  <c r="G18" i="34"/>
  <c r="M5" i="34"/>
  <c r="F18" i="34"/>
  <c r="L5" i="34"/>
  <c r="E18" i="34"/>
  <c r="D18" i="34"/>
  <c r="Z17" i="34"/>
  <c r="I17" i="34"/>
  <c r="N4" i="34"/>
  <c r="G17" i="34"/>
  <c r="M4" i="34"/>
  <c r="F17" i="34"/>
  <c r="L4" i="34"/>
  <c r="E17" i="34"/>
  <c r="D17" i="34"/>
  <c r="F13" i="34"/>
  <c r="B13" i="34"/>
  <c r="C24" i="32"/>
  <c r="E20" i="32"/>
  <c r="E21" i="32"/>
  <c r="C23" i="32"/>
  <c r="E14" i="32"/>
  <c r="E15" i="32"/>
  <c r="E16" i="32"/>
  <c r="E17" i="32"/>
  <c r="E18" i="32"/>
  <c r="E13" i="21"/>
  <c r="M25" i="30"/>
  <c r="N25" i="30" a="1"/>
  <c r="N25" i="30"/>
  <c r="O25" i="30"/>
  <c r="BR30" i="30"/>
  <c r="BS29" i="30"/>
  <c r="BT30" i="30"/>
  <c r="BU29" i="30"/>
  <c r="BU30" i="30"/>
  <c r="BV30" i="30"/>
  <c r="BW30" i="30"/>
  <c r="BX30" i="30"/>
  <c r="BY30" i="30"/>
  <c r="BZ30" i="30"/>
  <c r="CA30" i="30"/>
  <c r="BS31" i="30"/>
  <c r="BU31" i="30"/>
  <c r="BV31" i="30"/>
  <c r="BW31" i="30"/>
  <c r="BX31" i="30"/>
  <c r="BY31" i="30"/>
  <c r="BZ31" i="30"/>
  <c r="CA31" i="30"/>
  <c r="BR32" i="30"/>
  <c r="BS32" i="30"/>
  <c r="BT32" i="30"/>
  <c r="BV32" i="30"/>
  <c r="BW32" i="30"/>
  <c r="BX32" i="30"/>
  <c r="BY32" i="30"/>
  <c r="BZ32" i="30"/>
  <c r="CA32" i="30"/>
  <c r="BS33" i="30"/>
  <c r="BT33" i="30"/>
  <c r="BU33" i="30"/>
  <c r="BW33" i="30"/>
  <c r="BX33" i="30"/>
  <c r="BY33" i="30"/>
  <c r="BZ33" i="30"/>
  <c r="CA33" i="30"/>
  <c r="BS34" i="30"/>
  <c r="BT34" i="30"/>
  <c r="BU34" i="30"/>
  <c r="BV34" i="30"/>
  <c r="BX34" i="30"/>
  <c r="BY34" i="30"/>
  <c r="BZ34" i="30"/>
  <c r="CA34" i="30"/>
  <c r="BS35" i="30"/>
  <c r="BT35" i="30"/>
  <c r="BU35" i="30"/>
  <c r="BV35" i="30"/>
  <c r="BW35" i="30"/>
  <c r="BY35" i="30"/>
  <c r="BZ35" i="30"/>
  <c r="CA35" i="30"/>
  <c r="BS36" i="30"/>
  <c r="BT36" i="30"/>
  <c r="BU36" i="30"/>
  <c r="BV36" i="30"/>
  <c r="BW36" i="30"/>
  <c r="BX36" i="30"/>
  <c r="BZ36" i="30"/>
  <c r="CA36" i="30"/>
  <c r="BS37" i="30"/>
  <c r="BT37" i="30"/>
  <c r="BU37" i="30"/>
  <c r="BV37" i="30"/>
  <c r="BW37" i="30"/>
  <c r="BX37" i="30"/>
  <c r="BY37" i="30"/>
  <c r="CA37" i="30"/>
  <c r="BS38" i="30"/>
  <c r="BT38" i="30"/>
  <c r="BU38" i="30"/>
  <c r="BV38" i="30"/>
  <c r="BW38" i="30"/>
  <c r="BX38" i="30"/>
  <c r="BY38" i="30"/>
  <c r="BZ38" i="30"/>
  <c r="E60" i="30" a="1"/>
  <c r="E60" i="30"/>
  <c r="F60" i="30" a="1"/>
  <c r="F60" i="30"/>
  <c r="G60" i="30" a="1"/>
  <c r="H60" i="30" a="1"/>
  <c r="M21" i="30"/>
  <c r="N21" i="30" a="1"/>
  <c r="N21" i="30"/>
  <c r="O21" i="30"/>
  <c r="I60" i="30" a="1"/>
  <c r="M22" i="30"/>
  <c r="N22" i="30" a="1"/>
  <c r="N22" i="30"/>
  <c r="O22" i="30"/>
  <c r="J60" i="30" a="1"/>
  <c r="M23" i="30"/>
  <c r="N23" i="30" a="1"/>
  <c r="N23" i="30"/>
  <c r="O23" i="30"/>
  <c r="K60" i="30" a="1"/>
  <c r="M24" i="30"/>
  <c r="N24" i="30" a="1"/>
  <c r="N24" i="30"/>
  <c r="O24" i="30"/>
  <c r="L60" i="30" a="1"/>
  <c r="P25" i="30"/>
  <c r="M60" i="30" a="1"/>
  <c r="N60" i="30" a="1"/>
  <c r="O60" i="30" a="1"/>
  <c r="P60" i="30" a="1"/>
  <c r="P21" i="30"/>
  <c r="Q60" i="30" a="1"/>
  <c r="P22" i="30"/>
  <c r="R60" i="30" a="1"/>
  <c r="P23" i="30"/>
  <c r="S60" i="30" a="1"/>
  <c r="P24" i="30"/>
  <c r="T60" i="30" a="1"/>
  <c r="Q25" i="30"/>
  <c r="U60" i="30" a="1"/>
  <c r="V60" i="30" a="1"/>
  <c r="W60" i="30" a="1"/>
  <c r="X60" i="30" a="1"/>
  <c r="Q21" i="30"/>
  <c r="Y60" i="30" a="1"/>
  <c r="Q22" i="30"/>
  <c r="Z60" i="30" a="1"/>
  <c r="Q23" i="30"/>
  <c r="AA60" i="30" a="1"/>
  <c r="Q24" i="30"/>
  <c r="AB60" i="30" a="1"/>
  <c r="R25" i="30"/>
  <c r="AC60" i="30" a="1"/>
  <c r="AD60" i="30" a="1"/>
  <c r="AE60" i="30" a="1"/>
  <c r="AF60" i="30" a="1"/>
  <c r="R21" i="30"/>
  <c r="AG60" i="30" a="1"/>
  <c r="R22" i="30"/>
  <c r="AH60" i="30" a="1"/>
  <c r="R23" i="30"/>
  <c r="AI60" i="30" a="1"/>
  <c r="R24" i="30"/>
  <c r="AJ60" i="30" a="1"/>
  <c r="S25" i="30"/>
  <c r="AK60" i="30" a="1"/>
  <c r="AL60" i="30" a="1"/>
  <c r="AM60" i="30" a="1"/>
  <c r="AN60" i="30" a="1"/>
  <c r="S21" i="30"/>
  <c r="AO60" i="30" a="1"/>
  <c r="S22" i="30"/>
  <c r="AP60" i="30" a="1"/>
  <c r="S23" i="30"/>
  <c r="AQ60" i="30" a="1"/>
  <c r="S24" i="30"/>
  <c r="AR60" i="30" a="1"/>
  <c r="T25" i="30"/>
  <c r="AS60" i="30" a="1"/>
  <c r="AT60" i="30" a="1"/>
  <c r="AU60" i="30" a="1"/>
  <c r="AV60" i="30" a="1"/>
  <c r="T21" i="30"/>
  <c r="AW60" i="30" a="1"/>
  <c r="T22" i="30"/>
  <c r="AX60" i="30" a="1"/>
  <c r="T23" i="30"/>
  <c r="AY60" i="30" a="1"/>
  <c r="T24" i="30"/>
  <c r="AZ60" i="30" a="1"/>
  <c r="U25" i="30"/>
  <c r="BA60" i="30" a="1"/>
  <c r="BB60" i="30" a="1"/>
  <c r="BC60" i="30" a="1"/>
  <c r="BD60" i="30" a="1"/>
  <c r="U21" i="30"/>
  <c r="BE60" i="30" a="1"/>
  <c r="U22" i="30"/>
  <c r="BF60" i="30" a="1"/>
  <c r="U23" i="30"/>
  <c r="BG60" i="30" a="1"/>
  <c r="U24" i="30"/>
  <c r="BH60" i="30" a="1"/>
  <c r="V25" i="30"/>
  <c r="BI60" i="30" a="1"/>
  <c r="BJ60" i="30" a="1"/>
  <c r="BK60" i="30" a="1"/>
  <c r="BL60" i="30" a="1"/>
  <c r="V21" i="30"/>
  <c r="BM60" i="30" a="1"/>
  <c r="V22" i="30"/>
  <c r="BN60" i="30" a="1"/>
  <c r="V23" i="30"/>
  <c r="BO60" i="30" a="1"/>
  <c r="V24" i="30"/>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BR41" i="30"/>
  <c r="BS40" i="30"/>
  <c r="BT41" i="30"/>
  <c r="BU40" i="30"/>
  <c r="BU41" i="30"/>
  <c r="BV41" i="30"/>
  <c r="BW41" i="30"/>
  <c r="BX41" i="30"/>
  <c r="BY41" i="30"/>
  <c r="BZ41" i="30"/>
  <c r="CA41" i="30"/>
  <c r="BS42" i="30"/>
  <c r="BU42" i="30"/>
  <c r="BV42" i="30"/>
  <c r="BW42" i="30"/>
  <c r="BX42" i="30"/>
  <c r="BY42" i="30"/>
  <c r="BZ42" i="30"/>
  <c r="CA42" i="30"/>
  <c r="BR43" i="30"/>
  <c r="BS43" i="30"/>
  <c r="BT43" i="30"/>
  <c r="BV43" i="30"/>
  <c r="BW43" i="30"/>
  <c r="BX43" i="30"/>
  <c r="BY43" i="30"/>
  <c r="BZ43" i="30"/>
  <c r="CA43" i="30"/>
  <c r="BS44" i="30"/>
  <c r="BT44" i="30"/>
  <c r="BU44" i="30"/>
  <c r="BW44" i="30"/>
  <c r="BX44" i="30"/>
  <c r="BY44" i="30"/>
  <c r="BZ44" i="30"/>
  <c r="CA44" i="30"/>
  <c r="BS45" i="30"/>
  <c r="BT45" i="30"/>
  <c r="BU45" i="30"/>
  <c r="BV45" i="30"/>
  <c r="BX45" i="30"/>
  <c r="BY45" i="30"/>
  <c r="BZ45" i="30"/>
  <c r="CA45" i="30"/>
  <c r="BS46" i="30"/>
  <c r="BT46" i="30"/>
  <c r="BU46" i="30"/>
  <c r="BV46" i="30"/>
  <c r="BW46" i="30"/>
  <c r="BY46" i="30"/>
  <c r="BZ46" i="30"/>
  <c r="CA46" i="30"/>
  <c r="BS47" i="30"/>
  <c r="BT47" i="30"/>
  <c r="BU47" i="30"/>
  <c r="BV47" i="30"/>
  <c r="BW47" i="30"/>
  <c r="BX47" i="30"/>
  <c r="BZ47" i="30"/>
  <c r="CA47" i="30"/>
  <c r="BS48" i="30"/>
  <c r="BT48" i="30"/>
  <c r="BU48" i="30"/>
  <c r="BV48" i="30"/>
  <c r="BW48" i="30"/>
  <c r="BX48" i="30"/>
  <c r="BY48" i="30"/>
  <c r="CA48" i="30"/>
  <c r="BS49" i="30"/>
  <c r="BT49" i="30"/>
  <c r="BU49" i="30"/>
  <c r="BV49" i="30"/>
  <c r="BW49" i="30"/>
  <c r="BX49" i="30"/>
  <c r="BY49" i="30"/>
  <c r="BZ49"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Z25"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Z24"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Z23"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Z22"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Z21" i="30"/>
  <c r="V65" i="29"/>
  <c r="X65" i="29"/>
  <c r="Y65" i="29"/>
  <c r="AA65" i="29"/>
  <c r="AE65" i="29"/>
  <c r="V66" i="29"/>
  <c r="X66" i="29"/>
  <c r="Y66" i="29"/>
  <c r="AA66" i="29"/>
  <c r="AE66" i="29"/>
  <c r="V68" i="29"/>
  <c r="X68" i="29"/>
  <c r="Y68" i="29"/>
  <c r="AA68" i="29"/>
  <c r="AE68" i="29"/>
  <c r="W69" i="29"/>
  <c r="X69" i="29"/>
  <c r="Y69" i="29"/>
  <c r="AA69" i="29"/>
  <c r="AE69" i="29"/>
  <c r="W70" i="29"/>
  <c r="X70" i="29"/>
  <c r="Y70" i="29"/>
  <c r="AA70" i="29"/>
  <c r="AE70" i="29"/>
  <c r="W72" i="29"/>
  <c r="X72" i="29"/>
  <c r="Y72" i="29"/>
  <c r="AA72" i="29"/>
  <c r="AE72" i="29"/>
  <c r="V81" i="29"/>
  <c r="X81" i="29"/>
  <c r="Y81" i="29"/>
  <c r="AA81" i="29"/>
  <c r="AE81" i="29"/>
  <c r="V82" i="29"/>
  <c r="X82" i="29"/>
  <c r="Y82" i="29"/>
  <c r="AA82" i="29"/>
  <c r="AE82" i="29"/>
  <c r="V84" i="29"/>
  <c r="X84" i="29"/>
  <c r="Y84" i="29"/>
  <c r="AA84" i="29"/>
  <c r="AE84" i="29"/>
  <c r="V85" i="29"/>
  <c r="X85" i="29"/>
  <c r="Y85" i="29"/>
  <c r="AA85" i="29"/>
  <c r="AE85" i="29"/>
  <c r="V86" i="29"/>
  <c r="X86" i="29"/>
  <c r="Y86" i="29"/>
  <c r="AA86" i="29"/>
  <c r="AE86" i="29"/>
  <c r="V88" i="29"/>
  <c r="X88" i="29"/>
  <c r="Y88" i="29"/>
  <c r="AA88" i="29"/>
  <c r="AE88" i="29"/>
  <c r="V64" i="29"/>
  <c r="X64" i="29"/>
  <c r="Y64" i="29"/>
  <c r="AA64" i="29"/>
  <c r="AE64" i="29"/>
  <c r="V67" i="29"/>
  <c r="V83" i="29"/>
  <c r="V87" i="29"/>
  <c r="W71" i="29"/>
  <c r="AF64" i="29"/>
  <c r="J12" i="29"/>
  <c r="K25" i="29"/>
  <c r="G12" i="29"/>
  <c r="H12" i="29"/>
  <c r="I12" i="29"/>
  <c r="J25" i="29"/>
  <c r="H25" i="29"/>
  <c r="L25" i="29"/>
  <c r="F4" i="29"/>
  <c r="X67" i="29"/>
  <c r="Y67" i="29"/>
  <c r="AA67" i="29"/>
  <c r="AE67" i="29"/>
  <c r="AE75" i="29"/>
  <c r="X87" i="29"/>
  <c r="Y87" i="29"/>
  <c r="AA87" i="29"/>
  <c r="AE87" i="29"/>
  <c r="J4" i="29"/>
  <c r="K17" i="29"/>
  <c r="G4" i="29"/>
  <c r="H4" i="29"/>
  <c r="I4" i="29"/>
  <c r="J17" i="29"/>
  <c r="H17" i="29"/>
  <c r="L17" i="29"/>
  <c r="X71" i="29"/>
  <c r="Y71" i="29"/>
  <c r="AA71" i="29"/>
  <c r="AE71" i="29"/>
  <c r="AF87" i="29"/>
  <c r="J5" i="29"/>
  <c r="K18" i="29"/>
  <c r="G5" i="29"/>
  <c r="H5" i="29"/>
  <c r="I5" i="29"/>
  <c r="J18" i="29"/>
  <c r="H18" i="29"/>
  <c r="L18" i="29"/>
  <c r="F6" i="29"/>
  <c r="X83" i="29"/>
  <c r="Y83" i="29"/>
  <c r="AA83" i="29"/>
  <c r="AE83" i="29"/>
  <c r="AF71" i="29"/>
  <c r="AF75" i="29"/>
  <c r="J6" i="29"/>
  <c r="K19" i="29"/>
  <c r="G6" i="29"/>
  <c r="H6" i="29"/>
  <c r="I6" i="29"/>
  <c r="J19" i="29"/>
  <c r="H19" i="29"/>
  <c r="L19" i="29"/>
  <c r="AF67" i="29"/>
  <c r="AF83" i="29"/>
  <c r="J7" i="29"/>
  <c r="K20" i="29"/>
  <c r="G7" i="29"/>
  <c r="H7" i="29"/>
  <c r="I7" i="29"/>
  <c r="J20" i="29"/>
  <c r="H20" i="29"/>
  <c r="L20"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M25" i="29"/>
  <c r="N25" i="29" a="1"/>
  <c r="N25" i="29"/>
  <c r="O25" i="29"/>
  <c r="M17" i="29"/>
  <c r="N17" i="29" a="1"/>
  <c r="N17" i="29"/>
  <c r="O17" i="29"/>
  <c r="BR30" i="29"/>
  <c r="BS29" i="29"/>
  <c r="BT30" i="29"/>
  <c r="BU29" i="29"/>
  <c r="BU30" i="29"/>
  <c r="BV30" i="29"/>
  <c r="BW30" i="29"/>
  <c r="BX30" i="29"/>
  <c r="BY30" i="29"/>
  <c r="BZ30" i="29"/>
  <c r="CA30" i="29"/>
  <c r="BS31" i="29"/>
  <c r="BU31" i="29"/>
  <c r="BV31" i="29"/>
  <c r="BW31" i="29"/>
  <c r="BX31" i="29"/>
  <c r="BY31" i="29"/>
  <c r="BZ31" i="29"/>
  <c r="CA31" i="29"/>
  <c r="BR32" i="29"/>
  <c r="BS32" i="29"/>
  <c r="BT32" i="29"/>
  <c r="BV32" i="29"/>
  <c r="BW32" i="29"/>
  <c r="BX32" i="29"/>
  <c r="BY32" i="29"/>
  <c r="BZ32" i="29"/>
  <c r="CA32" i="29"/>
  <c r="BS33" i="29"/>
  <c r="BT33" i="29"/>
  <c r="BU33" i="29"/>
  <c r="BW33" i="29"/>
  <c r="BX33" i="29"/>
  <c r="BY33" i="29"/>
  <c r="BZ33" i="29"/>
  <c r="CA33" i="29"/>
  <c r="BS34" i="29"/>
  <c r="BT34" i="29"/>
  <c r="BU34" i="29"/>
  <c r="BV34" i="29"/>
  <c r="BX34" i="29"/>
  <c r="BY34" i="29"/>
  <c r="BZ34" i="29"/>
  <c r="CA34" i="29"/>
  <c r="BS35" i="29"/>
  <c r="BT35" i="29"/>
  <c r="BU35" i="29"/>
  <c r="BV35" i="29"/>
  <c r="BW35" i="29"/>
  <c r="BY35" i="29"/>
  <c r="BZ35" i="29"/>
  <c r="CA35" i="29"/>
  <c r="BS36" i="29"/>
  <c r="BT36" i="29"/>
  <c r="BU36" i="29"/>
  <c r="BV36" i="29"/>
  <c r="BW36" i="29"/>
  <c r="BX36" i="29"/>
  <c r="BZ36" i="29"/>
  <c r="CA36" i="29"/>
  <c r="BS37" i="29"/>
  <c r="BT37" i="29"/>
  <c r="BU37" i="29"/>
  <c r="BV37" i="29"/>
  <c r="BW37" i="29"/>
  <c r="BX37" i="29"/>
  <c r="BY37" i="29"/>
  <c r="CA37" i="29"/>
  <c r="BS38" i="29"/>
  <c r="BT38" i="29"/>
  <c r="BU38" i="29"/>
  <c r="BV38" i="29"/>
  <c r="BW38" i="29"/>
  <c r="BX38" i="29"/>
  <c r="BY38" i="29"/>
  <c r="BZ38" i="29"/>
  <c r="E60" i="29" a="1"/>
  <c r="E60" i="29"/>
  <c r="M18" i="29"/>
  <c r="N18" i="29" a="1"/>
  <c r="N18" i="29"/>
  <c r="O18" i="29"/>
  <c r="F60" i="29" a="1"/>
  <c r="F60" i="29"/>
  <c r="M19" i="29"/>
  <c r="N19" i="29" a="1"/>
  <c r="N19" i="29"/>
  <c r="O19" i="29"/>
  <c r="G60" i="29" a="1"/>
  <c r="M20" i="29"/>
  <c r="N20" i="29" a="1"/>
  <c r="N20" i="29"/>
  <c r="O20" i="29"/>
  <c r="H60" i="29" a="1"/>
  <c r="M21" i="29"/>
  <c r="N21" i="29" a="1"/>
  <c r="N21" i="29"/>
  <c r="O21" i="29"/>
  <c r="I60" i="29" a="1"/>
  <c r="M22" i="29"/>
  <c r="N22" i="29" a="1"/>
  <c r="N22" i="29"/>
  <c r="O22" i="29"/>
  <c r="J60" i="29" a="1"/>
  <c r="M23" i="29"/>
  <c r="N23" i="29" a="1"/>
  <c r="N23" i="29"/>
  <c r="O23" i="29"/>
  <c r="K60" i="29" a="1"/>
  <c r="M24" i="29"/>
  <c r="N24" i="29" a="1"/>
  <c r="N24" i="29"/>
  <c r="O24" i="29"/>
  <c r="L60" i="29" a="1"/>
  <c r="P25" i="29"/>
  <c r="P17" i="29"/>
  <c r="M60" i="29" a="1"/>
  <c r="P18" i="29"/>
  <c r="N60" i="29" a="1"/>
  <c r="P19" i="29"/>
  <c r="O60" i="29" a="1"/>
  <c r="P20" i="29"/>
  <c r="P60" i="29" a="1"/>
  <c r="P21" i="29"/>
  <c r="Q60" i="29" a="1"/>
  <c r="P22" i="29"/>
  <c r="R60" i="29" a="1"/>
  <c r="P23" i="29"/>
  <c r="S60" i="29" a="1"/>
  <c r="P24" i="29"/>
  <c r="T60" i="29" a="1"/>
  <c r="Q25" i="29"/>
  <c r="Q17" i="29"/>
  <c r="U60" i="29" a="1"/>
  <c r="Q18" i="29"/>
  <c r="V60" i="29" a="1"/>
  <c r="Q19" i="29"/>
  <c r="W60" i="29" a="1"/>
  <c r="Q20" i="29"/>
  <c r="X60" i="29" a="1"/>
  <c r="Q21" i="29"/>
  <c r="Y60" i="29" a="1"/>
  <c r="Q22" i="29"/>
  <c r="Z60" i="29" a="1"/>
  <c r="Q23" i="29"/>
  <c r="AA60" i="29" a="1"/>
  <c r="Q24" i="29"/>
  <c r="AB60" i="29" a="1"/>
  <c r="R25" i="29"/>
  <c r="R17" i="29"/>
  <c r="AC60" i="29" a="1"/>
  <c r="R18" i="29"/>
  <c r="AD60" i="29" a="1"/>
  <c r="R19" i="29"/>
  <c r="AE60" i="29" a="1"/>
  <c r="R20" i="29"/>
  <c r="AF60" i="29" a="1"/>
  <c r="R21" i="29"/>
  <c r="AG60" i="29" a="1"/>
  <c r="R22" i="29"/>
  <c r="AH60" i="29" a="1"/>
  <c r="R23" i="29"/>
  <c r="AI60" i="29" a="1"/>
  <c r="R24" i="29"/>
  <c r="AJ60" i="29" a="1"/>
  <c r="S25" i="29"/>
  <c r="S17" i="29"/>
  <c r="AK60" i="29" a="1"/>
  <c r="S18" i="29"/>
  <c r="AL60" i="29" a="1"/>
  <c r="S19" i="29"/>
  <c r="AM60" i="29" a="1"/>
  <c r="S20" i="29"/>
  <c r="AN60" i="29" a="1"/>
  <c r="S21" i="29"/>
  <c r="AO60" i="29" a="1"/>
  <c r="S22" i="29"/>
  <c r="AP60" i="29" a="1"/>
  <c r="S23" i="29"/>
  <c r="AQ60" i="29" a="1"/>
  <c r="S24" i="29"/>
  <c r="AR60" i="29" a="1"/>
  <c r="T25" i="29"/>
  <c r="T17" i="29"/>
  <c r="AS60" i="29" a="1"/>
  <c r="T18" i="29"/>
  <c r="AT60" i="29" a="1"/>
  <c r="T19" i="29"/>
  <c r="AU60" i="29" a="1"/>
  <c r="T20" i="29"/>
  <c r="AV60" i="29" a="1"/>
  <c r="T21" i="29"/>
  <c r="AW60" i="29" a="1"/>
  <c r="T22" i="29"/>
  <c r="AX60" i="29" a="1"/>
  <c r="T23" i="29"/>
  <c r="AY60" i="29" a="1"/>
  <c r="T24" i="29"/>
  <c r="AZ60" i="29" a="1"/>
  <c r="U25" i="29"/>
  <c r="U17" i="29"/>
  <c r="BA60" i="29" a="1"/>
  <c r="U18" i="29"/>
  <c r="BB60" i="29" a="1"/>
  <c r="U19" i="29"/>
  <c r="BC60" i="29" a="1"/>
  <c r="U20" i="29"/>
  <c r="BD60" i="29" a="1"/>
  <c r="U21" i="29"/>
  <c r="BE60" i="29" a="1"/>
  <c r="U22" i="29"/>
  <c r="BF60" i="29" a="1"/>
  <c r="U23" i="29"/>
  <c r="BG60" i="29" a="1"/>
  <c r="U24" i="29"/>
  <c r="BH60" i="29" a="1"/>
  <c r="V25" i="29"/>
  <c r="V17" i="29"/>
  <c r="BI60" i="29" a="1"/>
  <c r="V18" i="29"/>
  <c r="BJ60" i="29" a="1"/>
  <c r="V19" i="29"/>
  <c r="BK60" i="29" a="1"/>
  <c r="V20" i="29"/>
  <c r="BL60" i="29" a="1"/>
  <c r="V21" i="29"/>
  <c r="BM60" i="29" a="1"/>
  <c r="V22" i="29"/>
  <c r="BN60" i="29" a="1"/>
  <c r="V23" i="29"/>
  <c r="BO60" i="29" a="1"/>
  <c r="V24" i="29"/>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BR41" i="29"/>
  <c r="BS40" i="29"/>
  <c r="BT41" i="29"/>
  <c r="BU40" i="29"/>
  <c r="BU41" i="29"/>
  <c r="BV41" i="29"/>
  <c r="BW41" i="29"/>
  <c r="BX41" i="29"/>
  <c r="BY41" i="29"/>
  <c r="BZ41" i="29"/>
  <c r="CA41" i="29"/>
  <c r="BS42" i="29"/>
  <c r="BU42" i="29"/>
  <c r="BV42" i="29"/>
  <c r="BW42" i="29"/>
  <c r="BX42" i="29"/>
  <c r="BY42" i="29"/>
  <c r="BZ42" i="29"/>
  <c r="CA42" i="29"/>
  <c r="BR43" i="29"/>
  <c r="BS43" i="29"/>
  <c r="BT43" i="29"/>
  <c r="BV43" i="29"/>
  <c r="BW43" i="29"/>
  <c r="BX43" i="29"/>
  <c r="BY43" i="29"/>
  <c r="BZ43" i="29"/>
  <c r="CA43" i="29"/>
  <c r="BS44" i="29"/>
  <c r="BT44" i="29"/>
  <c r="BU44" i="29"/>
  <c r="BW44" i="29"/>
  <c r="BX44" i="29"/>
  <c r="BY44" i="29"/>
  <c r="BZ44" i="29"/>
  <c r="CA44" i="29"/>
  <c r="BS45" i="29"/>
  <c r="BT45" i="29"/>
  <c r="BU45" i="29"/>
  <c r="BV45" i="29"/>
  <c r="BX45" i="29"/>
  <c r="BY45" i="29"/>
  <c r="BZ45" i="29"/>
  <c r="CA45" i="29"/>
  <c r="BS46" i="29"/>
  <c r="BT46" i="29"/>
  <c r="BU46" i="29"/>
  <c r="BV46" i="29"/>
  <c r="BW46" i="29"/>
  <c r="BY46" i="29"/>
  <c r="BZ46" i="29"/>
  <c r="CA46" i="29"/>
  <c r="BS47" i="29"/>
  <c r="BT47" i="29"/>
  <c r="BU47" i="29"/>
  <c r="BV47" i="29"/>
  <c r="BW47" i="29"/>
  <c r="BX47" i="29"/>
  <c r="BZ47" i="29"/>
  <c r="CA47" i="29"/>
  <c r="BS48" i="29"/>
  <c r="BT48" i="29"/>
  <c r="BU48" i="29"/>
  <c r="BV48" i="29"/>
  <c r="BW48" i="29"/>
  <c r="BX48" i="29"/>
  <c r="BY48" i="29"/>
  <c r="CA48" i="29"/>
  <c r="BS49" i="29"/>
  <c r="BT49" i="29"/>
  <c r="BU49" i="29"/>
  <c r="BV49" i="29"/>
  <c r="BW49" i="29"/>
  <c r="BX49" i="29"/>
  <c r="BY49" i="29"/>
  <c r="BZ49"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C19"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Z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Z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Z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Z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Z21" i="29"/>
  <c r="AF65" i="28"/>
  <c r="AF66" i="28"/>
  <c r="AF67" i="28"/>
  <c r="AF69" i="28"/>
  <c r="AF70" i="28"/>
  <c r="AF71" i="28"/>
  <c r="AF81" i="28"/>
  <c r="AF82" i="28"/>
  <c r="AF83" i="28"/>
  <c r="AF85" i="28"/>
  <c r="AF86" i="28"/>
  <c r="AF87" i="28"/>
  <c r="AF64" i="28"/>
  <c r="AE64" i="28"/>
  <c r="J12" i="28"/>
  <c r="K25" i="28"/>
  <c r="G12" i="28"/>
  <c r="H12" i="28"/>
  <c r="I12" i="28"/>
  <c r="J25" i="28"/>
  <c r="H25" i="28"/>
  <c r="L25" i="28"/>
  <c r="F4" i="28"/>
  <c r="AE68" i="28"/>
  <c r="AE76" i="28"/>
  <c r="AE88" i="28"/>
  <c r="J4" i="28"/>
  <c r="K17" i="28"/>
  <c r="G4" i="28"/>
  <c r="H4" i="28"/>
  <c r="I4" i="28"/>
  <c r="J17" i="28"/>
  <c r="H17" i="28"/>
  <c r="L17" i="28"/>
  <c r="AE72" i="28"/>
  <c r="AF88" i="28"/>
  <c r="J5" i="28"/>
  <c r="K18" i="28"/>
  <c r="G5" i="28"/>
  <c r="H5" i="28"/>
  <c r="I5" i="28"/>
  <c r="J18" i="28"/>
  <c r="H18" i="28"/>
  <c r="L18" i="28"/>
  <c r="F6" i="28"/>
  <c r="AE84" i="28"/>
  <c r="AF72" i="28"/>
  <c r="AF76" i="28"/>
  <c r="J6" i="28"/>
  <c r="K19" i="28"/>
  <c r="G6" i="28"/>
  <c r="H6" i="28"/>
  <c r="I6" i="28"/>
  <c r="J19" i="28"/>
  <c r="H19" i="28"/>
  <c r="L19" i="28"/>
  <c r="AF68" i="28"/>
  <c r="AF84" i="28"/>
  <c r="J7" i="28"/>
  <c r="K20" i="28"/>
  <c r="G7" i="28"/>
  <c r="H7" i="28"/>
  <c r="I7" i="28"/>
  <c r="J20" i="28"/>
  <c r="H20" i="28"/>
  <c r="L2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M25" i="28"/>
  <c r="N25" i="28" a="1"/>
  <c r="N25" i="28"/>
  <c r="O25" i="28"/>
  <c r="M17" i="28"/>
  <c r="N17" i="28" a="1"/>
  <c r="N17" i="28"/>
  <c r="O17" i="28"/>
  <c r="BR30" i="28"/>
  <c r="BS29" i="28"/>
  <c r="BT30" i="28"/>
  <c r="BU29" i="28"/>
  <c r="BU30" i="28"/>
  <c r="BV30" i="28"/>
  <c r="BW30" i="28"/>
  <c r="BX30" i="28"/>
  <c r="BY30" i="28"/>
  <c r="BZ30" i="28"/>
  <c r="CA30" i="28"/>
  <c r="BS31" i="28"/>
  <c r="BU31" i="28"/>
  <c r="BV31" i="28"/>
  <c r="BW31" i="28"/>
  <c r="BX31" i="28"/>
  <c r="BY31" i="28"/>
  <c r="BZ31" i="28"/>
  <c r="CA31" i="28"/>
  <c r="BR32" i="28"/>
  <c r="BS32" i="28"/>
  <c r="BT32" i="28"/>
  <c r="BV32" i="28"/>
  <c r="BW32" i="28"/>
  <c r="BX32" i="28"/>
  <c r="BY32" i="28"/>
  <c r="BZ32" i="28"/>
  <c r="CA32" i="28"/>
  <c r="BS33" i="28"/>
  <c r="BT33" i="28"/>
  <c r="BU33" i="28"/>
  <c r="BW33" i="28"/>
  <c r="BX33" i="28"/>
  <c r="BY33" i="28"/>
  <c r="BZ33" i="28"/>
  <c r="CA33" i="28"/>
  <c r="BS34" i="28"/>
  <c r="BT34" i="28"/>
  <c r="BU34" i="28"/>
  <c r="BV34" i="28"/>
  <c r="BX34" i="28"/>
  <c r="BY34" i="28"/>
  <c r="BZ34" i="28"/>
  <c r="CA34" i="28"/>
  <c r="BS35" i="28"/>
  <c r="BT35" i="28"/>
  <c r="BU35" i="28"/>
  <c r="BV35" i="28"/>
  <c r="BW35" i="28"/>
  <c r="BY35" i="28"/>
  <c r="BZ35" i="28"/>
  <c r="CA35" i="28"/>
  <c r="BS36" i="28"/>
  <c r="BT36" i="28"/>
  <c r="BU36" i="28"/>
  <c r="BV36" i="28"/>
  <c r="BW36" i="28"/>
  <c r="BX36" i="28"/>
  <c r="BZ36" i="28"/>
  <c r="CA36" i="28"/>
  <c r="BS37" i="28"/>
  <c r="BT37" i="28"/>
  <c r="BU37" i="28"/>
  <c r="BV37" i="28"/>
  <c r="BW37" i="28"/>
  <c r="BX37" i="28"/>
  <c r="BY37" i="28"/>
  <c r="CA37" i="28"/>
  <c r="BS38" i="28"/>
  <c r="BT38" i="28"/>
  <c r="BU38" i="28"/>
  <c r="BV38" i="28"/>
  <c r="BW38" i="28"/>
  <c r="BX38" i="28"/>
  <c r="BY38" i="28"/>
  <c r="BZ38" i="28"/>
  <c r="E60" i="28" a="1"/>
  <c r="E60" i="28"/>
  <c r="M18" i="28"/>
  <c r="N18" i="28" a="1"/>
  <c r="N18" i="28"/>
  <c r="O18" i="28"/>
  <c r="F60" i="28" a="1"/>
  <c r="F60" i="28"/>
  <c r="M19" i="28"/>
  <c r="N19" i="28" a="1"/>
  <c r="N19" i="28"/>
  <c r="O19" i="28"/>
  <c r="G60" i="28" a="1"/>
  <c r="M20" i="28"/>
  <c r="N20" i="28" a="1"/>
  <c r="N20" i="28"/>
  <c r="O20" i="28"/>
  <c r="H60" i="28" a="1"/>
  <c r="M21" i="28"/>
  <c r="N21" i="28" a="1"/>
  <c r="N21" i="28"/>
  <c r="O21" i="28"/>
  <c r="I60" i="28" a="1"/>
  <c r="M22" i="28"/>
  <c r="N22" i="28" a="1"/>
  <c r="N22" i="28"/>
  <c r="O22" i="28"/>
  <c r="J60" i="28" a="1"/>
  <c r="M23" i="28"/>
  <c r="N23" i="28" a="1"/>
  <c r="N23" i="28"/>
  <c r="O23" i="28"/>
  <c r="K60" i="28" a="1"/>
  <c r="M24" i="28"/>
  <c r="N24" i="28" a="1"/>
  <c r="N24" i="28"/>
  <c r="O24" i="28"/>
  <c r="L60" i="28" a="1"/>
  <c r="P25" i="28"/>
  <c r="P17" i="28"/>
  <c r="M60" i="28" a="1"/>
  <c r="P18" i="28"/>
  <c r="N60" i="28" a="1"/>
  <c r="P19" i="28"/>
  <c r="O60" i="28" a="1"/>
  <c r="P20" i="28"/>
  <c r="P60" i="28" a="1"/>
  <c r="P21" i="28"/>
  <c r="Q60" i="28" a="1"/>
  <c r="P22" i="28"/>
  <c r="R60" i="28" a="1"/>
  <c r="P23" i="28"/>
  <c r="S60" i="28" a="1"/>
  <c r="P24" i="28"/>
  <c r="T60" i="28" a="1"/>
  <c r="Q25" i="28"/>
  <c r="Q17" i="28"/>
  <c r="U60" i="28" a="1"/>
  <c r="Q18" i="28"/>
  <c r="V60" i="28" a="1"/>
  <c r="Q19" i="28"/>
  <c r="W60" i="28" a="1"/>
  <c r="Q20" i="28"/>
  <c r="X60" i="28" a="1"/>
  <c r="Q21" i="28"/>
  <c r="Y60" i="28" a="1"/>
  <c r="Q22" i="28"/>
  <c r="Z60" i="28" a="1"/>
  <c r="Q23" i="28"/>
  <c r="AA60" i="28" a="1"/>
  <c r="Q24" i="28"/>
  <c r="AB60" i="28" a="1"/>
  <c r="R25" i="28"/>
  <c r="R17" i="28"/>
  <c r="AC60" i="28" a="1"/>
  <c r="R18" i="28"/>
  <c r="AD60" i="28" a="1"/>
  <c r="R19" i="28"/>
  <c r="AE60" i="28" a="1"/>
  <c r="R20" i="28"/>
  <c r="AF60" i="28" a="1"/>
  <c r="R21" i="28"/>
  <c r="AG60" i="28" a="1"/>
  <c r="R22" i="28"/>
  <c r="AH60" i="28" a="1"/>
  <c r="R23" i="28"/>
  <c r="AI60" i="28" a="1"/>
  <c r="R24" i="28"/>
  <c r="AJ60" i="28" a="1"/>
  <c r="S25" i="28"/>
  <c r="S17" i="28"/>
  <c r="AK60" i="28" a="1"/>
  <c r="S18" i="28"/>
  <c r="AL60" i="28" a="1"/>
  <c r="S19" i="28"/>
  <c r="AM60" i="28" a="1"/>
  <c r="S20" i="28"/>
  <c r="AN60" i="28" a="1"/>
  <c r="S21" i="28"/>
  <c r="AO60" i="28" a="1"/>
  <c r="S22" i="28"/>
  <c r="AP60" i="28" a="1"/>
  <c r="S23" i="28"/>
  <c r="AQ60" i="28" a="1"/>
  <c r="S24" i="28"/>
  <c r="AR60" i="28" a="1"/>
  <c r="T25" i="28"/>
  <c r="T17" i="28"/>
  <c r="AS60" i="28" a="1"/>
  <c r="T18" i="28"/>
  <c r="AT60" i="28" a="1"/>
  <c r="T19" i="28"/>
  <c r="AU60" i="28" a="1"/>
  <c r="T20" i="28"/>
  <c r="AV60" i="28" a="1"/>
  <c r="T21" i="28"/>
  <c r="AW60" i="28" a="1"/>
  <c r="T22" i="28"/>
  <c r="AX60" i="28" a="1"/>
  <c r="T23" i="28"/>
  <c r="AY60" i="28" a="1"/>
  <c r="T24" i="28"/>
  <c r="AZ60" i="28" a="1"/>
  <c r="U25" i="28"/>
  <c r="U17" i="28"/>
  <c r="BA60" i="28" a="1"/>
  <c r="U18" i="28"/>
  <c r="BB60" i="28" a="1"/>
  <c r="U19" i="28"/>
  <c r="BC60" i="28" a="1"/>
  <c r="U20" i="28"/>
  <c r="BD60" i="28" a="1"/>
  <c r="U21" i="28"/>
  <c r="BE60" i="28" a="1"/>
  <c r="U22" i="28"/>
  <c r="BF60" i="28" a="1"/>
  <c r="U23" i="28"/>
  <c r="BG60" i="28" a="1"/>
  <c r="U24" i="28"/>
  <c r="BH60" i="28" a="1"/>
  <c r="V25" i="28"/>
  <c r="V17" i="28"/>
  <c r="BI60" i="28" a="1"/>
  <c r="V18" i="28"/>
  <c r="BJ60" i="28" a="1"/>
  <c r="V19" i="28"/>
  <c r="BK60" i="28" a="1"/>
  <c r="V20" i="28"/>
  <c r="BL60" i="28" a="1"/>
  <c r="V21" i="28"/>
  <c r="BM60" i="28" a="1"/>
  <c r="V22" i="28"/>
  <c r="BN60" i="28" a="1"/>
  <c r="V23" i="28"/>
  <c r="BO60" i="28" a="1"/>
  <c r="V24" i="28"/>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BR41" i="28"/>
  <c r="BS40" i="28"/>
  <c r="BT41" i="28"/>
  <c r="BU40" i="28"/>
  <c r="BU41" i="28"/>
  <c r="BV41" i="28"/>
  <c r="BW41" i="28"/>
  <c r="BX41" i="28"/>
  <c r="BY41" i="28"/>
  <c r="BZ41" i="28"/>
  <c r="CA41" i="28"/>
  <c r="BS42" i="28"/>
  <c r="BU42" i="28"/>
  <c r="BV42" i="28"/>
  <c r="BW42" i="28"/>
  <c r="BX42" i="28"/>
  <c r="BY42" i="28"/>
  <c r="BZ42" i="28"/>
  <c r="CA42" i="28"/>
  <c r="BR43" i="28"/>
  <c r="BS43" i="28"/>
  <c r="BT43" i="28"/>
  <c r="BV43" i="28"/>
  <c r="BW43" i="28"/>
  <c r="BX43" i="28"/>
  <c r="BY43" i="28"/>
  <c r="BZ43" i="28"/>
  <c r="CA43" i="28"/>
  <c r="BS44" i="28"/>
  <c r="BT44" i="28"/>
  <c r="BU44" i="28"/>
  <c r="BW44" i="28"/>
  <c r="BX44" i="28"/>
  <c r="BY44" i="28"/>
  <c r="BZ44" i="28"/>
  <c r="CA44" i="28"/>
  <c r="BS45" i="28"/>
  <c r="BT45" i="28"/>
  <c r="BU45" i="28"/>
  <c r="BV45" i="28"/>
  <c r="BX45" i="28"/>
  <c r="BY45" i="28"/>
  <c r="BZ45" i="28"/>
  <c r="CA45" i="28"/>
  <c r="BS46" i="28"/>
  <c r="BT46" i="28"/>
  <c r="BU46" i="28"/>
  <c r="BV46" i="28"/>
  <c r="BW46" i="28"/>
  <c r="BY46" i="28"/>
  <c r="BZ46" i="28"/>
  <c r="CA46" i="28"/>
  <c r="BS47" i="28"/>
  <c r="BT47" i="28"/>
  <c r="BU47" i="28"/>
  <c r="BV47" i="28"/>
  <c r="BW47" i="28"/>
  <c r="BX47" i="28"/>
  <c r="BZ47" i="28"/>
  <c r="CA47" i="28"/>
  <c r="BS48" i="28"/>
  <c r="BT48" i="28"/>
  <c r="BU48" i="28"/>
  <c r="BV48" i="28"/>
  <c r="BW48" i="28"/>
  <c r="BX48" i="28"/>
  <c r="BY48" i="28"/>
  <c r="CA48" i="28"/>
  <c r="BS49" i="28"/>
  <c r="BT49" i="28"/>
  <c r="BU49" i="28"/>
  <c r="BV49" i="28"/>
  <c r="BW49" i="28"/>
  <c r="BX49" i="28"/>
  <c r="BY49" i="28"/>
  <c r="BZ49"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Z25"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Z24"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Z23" i="28"/>
  <c r="Z22" i="28"/>
  <c r="Z21"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Z18" i="28"/>
  <c r="F13" i="28"/>
  <c r="B13" i="28"/>
  <c r="K4" i="28"/>
  <c r="D17" i="28"/>
  <c r="L4" i="28"/>
  <c r="E17" i="28"/>
  <c r="M4" i="28"/>
  <c r="F17" i="28"/>
  <c r="N4" i="28"/>
  <c r="G17" i="28"/>
  <c r="I17" i="28"/>
  <c r="K5" i="28"/>
  <c r="D18" i="28"/>
  <c r="L5" i="28"/>
  <c r="E18" i="28"/>
  <c r="M5" i="28"/>
  <c r="F18" i="28"/>
  <c r="N5" i="28"/>
  <c r="G18" i="28"/>
  <c r="I18" i="28"/>
  <c r="K6" i="28"/>
  <c r="D19" i="28"/>
  <c r="L6" i="28"/>
  <c r="E19" i="28"/>
  <c r="M6" i="28"/>
  <c r="F19" i="28"/>
  <c r="N6" i="28"/>
  <c r="G19" i="28"/>
  <c r="I19" i="28"/>
  <c r="K7" i="28"/>
  <c r="D20" i="28"/>
  <c r="L7" i="28"/>
  <c r="E20" i="28"/>
  <c r="M7" i="28"/>
  <c r="F20" i="28"/>
  <c r="N7" i="28"/>
  <c r="G20" i="28"/>
  <c r="I20" i="28"/>
  <c r="K8" i="28"/>
  <c r="D21" i="28"/>
  <c r="L8" i="28"/>
  <c r="E21" i="28"/>
  <c r="M8" i="28"/>
  <c r="F21" i="28"/>
  <c r="N8" i="28"/>
  <c r="G21" i="28"/>
  <c r="I21" i="28"/>
  <c r="K9" i="28"/>
  <c r="D22" i="28"/>
  <c r="L9" i="28"/>
  <c r="E22" i="28"/>
  <c r="M9" i="28"/>
  <c r="F22" i="28"/>
  <c r="N9" i="28"/>
  <c r="G22" i="28"/>
  <c r="I22" i="28"/>
  <c r="K10" i="28"/>
  <c r="D23" i="28"/>
  <c r="L10" i="28"/>
  <c r="E23" i="28"/>
  <c r="M10" i="28"/>
  <c r="F23" i="28"/>
  <c r="N10" i="28"/>
  <c r="G23" i="28"/>
  <c r="I23" i="28"/>
  <c r="BR52" i="28"/>
  <c r="BS51" i="28"/>
  <c r="BT52" i="28"/>
  <c r="BU51" i="28"/>
  <c r="BU52" i="28"/>
  <c r="BV52" i="28"/>
  <c r="BW52" i="28"/>
  <c r="BX52" i="28"/>
  <c r="BY52" i="28"/>
  <c r="BZ52" i="28"/>
  <c r="CA52"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K11" i="28"/>
  <c r="D24" i="28"/>
  <c r="L11" i="28"/>
  <c r="E24" i="28"/>
  <c r="M11" i="28"/>
  <c r="F24" i="28"/>
  <c r="N11" i="28"/>
  <c r="G24" i="28"/>
  <c r="I24"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K12" i="28"/>
  <c r="D25" i="28"/>
  <c r="L12" i="28"/>
  <c r="E25" i="28"/>
  <c r="M12" i="28"/>
  <c r="F25" i="28"/>
  <c r="N12" i="28"/>
  <c r="G25" i="28"/>
  <c r="I25"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Z136" i="28"/>
  <c r="AA136" i="28"/>
  <c r="AB136" i="28"/>
  <c r="Z137" i="28"/>
  <c r="AA137" i="28"/>
  <c r="AB137" i="28"/>
  <c r="Z138" i="28"/>
  <c r="AA138" i="28"/>
  <c r="AB138" i="28"/>
  <c r="Z139" i="28"/>
  <c r="AA139" i="28"/>
  <c r="AB139" i="28"/>
  <c r="Z140" i="28"/>
  <c r="AA140" i="28"/>
  <c r="AB140" i="28"/>
  <c r="Z141" i="28"/>
  <c r="AA141" i="28"/>
  <c r="AB141" i="28"/>
  <c r="Z153" i="28"/>
  <c r="AA153" i="28"/>
  <c r="AB153" i="28"/>
  <c r="Z19" i="29"/>
  <c r="Z20" i="29"/>
  <c r="F13" i="29"/>
  <c r="B13" i="29"/>
  <c r="K4" i="29"/>
  <c r="D17" i="29"/>
  <c r="L4" i="29"/>
  <c r="E17" i="29"/>
  <c r="M4" i="29"/>
  <c r="F17" i="29"/>
  <c r="N4" i="29"/>
  <c r="G17" i="29"/>
  <c r="I17" i="29"/>
  <c r="K5" i="29"/>
  <c r="D18" i="29"/>
  <c r="L5" i="29"/>
  <c r="E18" i="29"/>
  <c r="M5" i="29"/>
  <c r="F18" i="29"/>
  <c r="N5" i="29"/>
  <c r="G18" i="29"/>
  <c r="I18" i="29"/>
  <c r="K6" i="29"/>
  <c r="D19" i="29"/>
  <c r="L6" i="29"/>
  <c r="E19" i="29"/>
  <c r="M6" i="29"/>
  <c r="F19" i="29"/>
  <c r="N6" i="29"/>
  <c r="G19" i="29"/>
  <c r="I19" i="29"/>
  <c r="K7" i="29"/>
  <c r="D20" i="29"/>
  <c r="L7" i="29"/>
  <c r="E20" i="29"/>
  <c r="M7" i="29"/>
  <c r="F20" i="29"/>
  <c r="N7" i="29"/>
  <c r="G20" i="29"/>
  <c r="I20" i="29"/>
  <c r="K8" i="29"/>
  <c r="D21" i="29"/>
  <c r="L8" i="29"/>
  <c r="E21" i="29"/>
  <c r="M8" i="29"/>
  <c r="F21" i="29"/>
  <c r="N8" i="29"/>
  <c r="G21" i="29"/>
  <c r="I21" i="29"/>
  <c r="BR52" i="29"/>
  <c r="BS51" i="29"/>
  <c r="BT52" i="29"/>
  <c r="BU51" i="29"/>
  <c r="BU52" i="29"/>
  <c r="BV52" i="29"/>
  <c r="BW52" i="29"/>
  <c r="BX52" i="29"/>
  <c r="BY52" i="29"/>
  <c r="BZ52" i="29"/>
  <c r="CA52"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K9" i="29"/>
  <c r="D22" i="29"/>
  <c r="L9" i="29"/>
  <c r="E22" i="29"/>
  <c r="M9" i="29"/>
  <c r="F22" i="29"/>
  <c r="N9" i="29"/>
  <c r="G22" i="29"/>
  <c r="I22"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K10" i="29"/>
  <c r="D23" i="29"/>
  <c r="L10" i="29"/>
  <c r="E23" i="29"/>
  <c r="M10" i="29"/>
  <c r="F23" i="29"/>
  <c r="N10" i="29"/>
  <c r="G23" i="29"/>
  <c r="I23"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K11" i="29"/>
  <c r="D24" i="29"/>
  <c r="L11" i="29"/>
  <c r="E24" i="29"/>
  <c r="M11" i="29"/>
  <c r="F24" i="29"/>
  <c r="N11" i="29"/>
  <c r="G24" i="29"/>
  <c r="I24"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K12" i="29"/>
  <c r="D25" i="29"/>
  <c r="L12" i="29"/>
  <c r="E25" i="29"/>
  <c r="M12" i="29"/>
  <c r="F25" i="29"/>
  <c r="N12" i="29"/>
  <c r="G25" i="29"/>
  <c r="I25"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Z136" i="29"/>
  <c r="AA136" i="29"/>
  <c r="AB136" i="29"/>
  <c r="Z137" i="29"/>
  <c r="AA137" i="29"/>
  <c r="AB137" i="29"/>
  <c r="Z138" i="29"/>
  <c r="AA138" i="29"/>
  <c r="AB138" i="29"/>
  <c r="Z139" i="29"/>
  <c r="AA139" i="29"/>
  <c r="AB139" i="29"/>
  <c r="Z140" i="29"/>
  <c r="AA140" i="29"/>
  <c r="AB140" i="29"/>
  <c r="Z141" i="29"/>
  <c r="AA141" i="29"/>
  <c r="AB141" i="29"/>
  <c r="Z153" i="29"/>
  <c r="AA153" i="29"/>
  <c r="AB153" i="29"/>
  <c r="F13" i="30"/>
  <c r="B13" i="30"/>
  <c r="K4" i="30"/>
  <c r="D17" i="30"/>
  <c r="L4" i="30"/>
  <c r="E17" i="30"/>
  <c r="M4" i="30"/>
  <c r="F17" i="30"/>
  <c r="N4" i="30"/>
  <c r="G17" i="30"/>
  <c r="I17" i="30"/>
  <c r="K5" i="30"/>
  <c r="D18" i="30"/>
  <c r="L5" i="30"/>
  <c r="E18" i="30"/>
  <c r="M5" i="30"/>
  <c r="F18" i="30"/>
  <c r="N5" i="30"/>
  <c r="G18" i="30"/>
  <c r="I18" i="30"/>
  <c r="K6" i="30"/>
  <c r="D19" i="30"/>
  <c r="L6" i="30"/>
  <c r="E19" i="30"/>
  <c r="M6" i="30"/>
  <c r="F19" i="30"/>
  <c r="N6" i="30"/>
  <c r="G19" i="30"/>
  <c r="I19" i="30"/>
  <c r="K7" i="30"/>
  <c r="D20" i="30"/>
  <c r="L7" i="30"/>
  <c r="E20" i="30"/>
  <c r="M7" i="30"/>
  <c r="F20" i="30"/>
  <c r="N7" i="30"/>
  <c r="G20" i="30"/>
  <c r="I20" i="30"/>
  <c r="K8" i="30"/>
  <c r="D21" i="30"/>
  <c r="L8" i="30"/>
  <c r="E21" i="30"/>
  <c r="M8" i="30"/>
  <c r="F21" i="30"/>
  <c r="N8" i="30"/>
  <c r="G21" i="30"/>
  <c r="I21" i="30"/>
  <c r="BR52" i="30"/>
  <c r="BS51" i="30"/>
  <c r="BT52" i="30"/>
  <c r="BU51" i="30"/>
  <c r="BU52" i="30"/>
  <c r="BV52" i="30"/>
  <c r="BW52" i="30"/>
  <c r="BX52" i="30"/>
  <c r="BY52" i="30"/>
  <c r="BZ52" i="30"/>
  <c r="CA52"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K9" i="30"/>
  <c r="D22" i="30"/>
  <c r="L9" i="30"/>
  <c r="E22" i="30"/>
  <c r="M9" i="30"/>
  <c r="F22" i="30"/>
  <c r="N9" i="30"/>
  <c r="G22" i="30"/>
  <c r="I22"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K10" i="30"/>
  <c r="D23" i="30"/>
  <c r="L10" i="30"/>
  <c r="E23" i="30"/>
  <c r="M10" i="30"/>
  <c r="F23" i="30"/>
  <c r="N10" i="30"/>
  <c r="G23" i="30"/>
  <c r="I23"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K11" i="30"/>
  <c r="D24" i="30"/>
  <c r="L11" i="30"/>
  <c r="E24" i="30"/>
  <c r="M11" i="30"/>
  <c r="F24" i="30"/>
  <c r="N11" i="30"/>
  <c r="G24" i="30"/>
  <c r="I24"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K12" i="30"/>
  <c r="D25" i="30"/>
  <c r="L12" i="30"/>
  <c r="E25" i="30"/>
  <c r="M12" i="30"/>
  <c r="F25" i="30"/>
  <c r="N12" i="30"/>
  <c r="G25" i="30"/>
  <c r="I25"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Z136" i="30"/>
  <c r="AA136" i="30"/>
  <c r="AB136" i="30"/>
  <c r="Z137" i="30"/>
  <c r="AA137" i="30"/>
  <c r="AB137" i="30"/>
  <c r="Z138" i="30"/>
  <c r="AA138" i="30"/>
  <c r="AB138" i="30"/>
  <c r="Z139" i="30"/>
  <c r="AA139" i="30"/>
  <c r="AB139" i="30"/>
  <c r="Z140" i="30"/>
  <c r="AA140" i="30"/>
  <c r="AB140" i="30"/>
  <c r="Z141" i="30"/>
  <c r="AA141" i="30"/>
  <c r="AB141" i="30"/>
  <c r="Z153" i="30"/>
  <c r="AA153" i="30"/>
  <c r="AB153" i="30"/>
  <c r="K13" i="28"/>
  <c r="X17" i="28"/>
  <c r="X18" i="28"/>
  <c r="X19" i="28"/>
  <c r="X20" i="28"/>
  <c r="X21" i="28"/>
  <c r="X22" i="28"/>
  <c r="X23" i="28"/>
  <c r="X24" i="28"/>
  <c r="X25" i="28"/>
  <c r="E4" i="28"/>
  <c r="D4" i="28"/>
  <c r="E5" i="28"/>
  <c r="D5" i="28"/>
  <c r="E6" i="28"/>
  <c r="D6" i="28"/>
  <c r="E7" i="28"/>
  <c r="D7" i="28"/>
  <c r="E8" i="28"/>
  <c r="D8" i="28"/>
  <c r="E9" i="28"/>
  <c r="D9" i="28"/>
  <c r="E10" i="28"/>
  <c r="D10" i="28"/>
  <c r="E11" i="28"/>
  <c r="D11" i="28"/>
  <c r="E12" i="28"/>
  <c r="D12" i="28"/>
  <c r="C4" i="28"/>
  <c r="S12" i="27"/>
  <c r="C5" i="28"/>
  <c r="C6" i="28"/>
  <c r="C7" i="28"/>
  <c r="S13" i="27"/>
  <c r="S14" i="27"/>
  <c r="S15" i="27"/>
  <c r="T12" i="27"/>
  <c r="T13" i="27"/>
  <c r="T14" i="27"/>
  <c r="T15" i="27"/>
  <c r="U12" i="27"/>
  <c r="U13" i="27"/>
  <c r="U14" i="27"/>
  <c r="U15" i="27"/>
  <c r="V14" i="27"/>
  <c r="V15" i="27"/>
  <c r="V12" i="27"/>
  <c r="V13" i="27"/>
  <c r="W12" i="27"/>
  <c r="W13" i="27"/>
  <c r="W14" i="27"/>
  <c r="W15" i="27"/>
  <c r="Y12" i="27"/>
  <c r="Y13" i="27"/>
  <c r="Y14" i="27"/>
  <c r="Y15" i="27"/>
  <c r="Z12" i="27"/>
  <c r="Z13" i="27"/>
  <c r="Z14" i="27"/>
  <c r="Z15" i="27"/>
  <c r="AA12" i="27"/>
  <c r="AA13" i="27"/>
  <c r="AA14" i="27"/>
  <c r="AA15" i="27"/>
  <c r="Q12" i="27"/>
  <c r="Q13" i="27"/>
  <c r="Q14" i="27"/>
  <c r="Q15" i="27"/>
  <c r="K13" i="29"/>
  <c r="X17" i="29"/>
  <c r="X18" i="29"/>
  <c r="X19"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Q19" i="27"/>
  <c r="Q20" i="27"/>
  <c r="Q21" i="27"/>
  <c r="Q22" i="27"/>
  <c r="K13" i="30"/>
  <c r="C4" i="30"/>
  <c r="C5" i="30"/>
  <c r="C6" i="30"/>
  <c r="Q26" i="27"/>
  <c r="Q27" i="27"/>
  <c r="C7" i="30"/>
  <c r="Q28" i="27"/>
  <c r="Q29" i="27"/>
  <c r="C7" i="29"/>
  <c r="S19" i="27"/>
  <c r="T19" i="27"/>
  <c r="U19" i="27"/>
  <c r="V19" i="27"/>
  <c r="W19" i="27"/>
  <c r="Y19" i="27"/>
  <c r="Z19" i="27"/>
  <c r="AA19" i="27"/>
  <c r="S20" i="27"/>
  <c r="T20" i="27"/>
  <c r="U20" i="27"/>
  <c r="V20" i="27"/>
  <c r="W20" i="27"/>
  <c r="Y20" i="27"/>
  <c r="Z20" i="27"/>
  <c r="AA20" i="27"/>
  <c r="S21" i="27"/>
  <c r="T21" i="27"/>
  <c r="U21" i="27"/>
  <c r="V21" i="27"/>
  <c r="W21" i="27"/>
  <c r="Y21" i="27"/>
  <c r="Z21" i="27"/>
  <c r="AA21" i="27"/>
  <c r="S22" i="27"/>
  <c r="T22" i="27"/>
  <c r="U22" i="27"/>
  <c r="V22" i="27"/>
  <c r="W22" i="27"/>
  <c r="Y22" i="27"/>
  <c r="Z22" i="27"/>
  <c r="AA22" i="27"/>
  <c r="S26" i="27"/>
  <c r="T26" i="27"/>
  <c r="U26" i="27"/>
  <c r="V26" i="27"/>
  <c r="W26" i="27"/>
  <c r="Y26" i="27"/>
  <c r="Z26" i="27"/>
  <c r="AA26" i="27"/>
  <c r="S27" i="27"/>
  <c r="T27" i="27"/>
  <c r="U27" i="27"/>
  <c r="V27" i="27"/>
  <c r="W27" i="27"/>
  <c r="Y27" i="27"/>
  <c r="Z27" i="27"/>
  <c r="AA27" i="27"/>
  <c r="S28" i="27"/>
  <c r="T28" i="27"/>
  <c r="U28" i="27"/>
  <c r="V28" i="27"/>
  <c r="W28" i="27"/>
  <c r="Y28" i="27"/>
  <c r="Z28" i="27"/>
  <c r="AA28" i="27"/>
  <c r="S29" i="27"/>
  <c r="T29" i="27"/>
  <c r="U29" i="27"/>
  <c r="V29" i="27"/>
  <c r="W29" i="27"/>
  <c r="Y29" i="27"/>
  <c r="Z29" i="27"/>
  <c r="AA29" i="27"/>
  <c r="C12" i="28"/>
  <c r="C11" i="28"/>
  <c r="C10" i="28"/>
  <c r="C9" i="28"/>
  <c r="C8" i="28"/>
  <c r="AE23" i="27" a="1"/>
  <c r="AE23" i="27"/>
  <c r="R22" i="27"/>
  <c r="I48" i="27"/>
  <c r="AE30" i="27" a="1"/>
  <c r="AE30" i="27"/>
  <c r="R27" i="27"/>
  <c r="I50" i="27"/>
  <c r="R28" i="27"/>
  <c r="I51" i="27"/>
  <c r="R29" i="27"/>
  <c r="I52" i="27"/>
  <c r="R26" i="27"/>
  <c r="I49" i="27"/>
  <c r="Z20" i="28"/>
  <c r="Z19" i="28"/>
  <c r="Z17" i="28"/>
  <c r="Z18" i="29"/>
  <c r="Z17" i="29"/>
  <c r="Z20" i="30"/>
  <c r="Z18" i="30"/>
  <c r="Z19" i="30"/>
  <c r="Z17" i="30"/>
  <c r="AD25" i="30"/>
  <c r="AG25" i="30"/>
  <c r="AE17" i="30"/>
  <c r="AE18" i="30"/>
  <c r="AE19" i="30"/>
  <c r="AE20" i="30"/>
  <c r="AF25" i="30"/>
  <c r="AH25" i="30"/>
  <c r="AD24" i="30"/>
  <c r="AG24" i="30"/>
  <c r="AF24" i="30"/>
  <c r="AH24" i="30"/>
  <c r="AD23" i="30"/>
  <c r="AG23" i="30"/>
  <c r="AF23" i="30"/>
  <c r="AH23" i="30"/>
  <c r="AD22" i="30"/>
  <c r="AG22" i="30"/>
  <c r="AF22" i="30"/>
  <c r="AH22" i="30"/>
  <c r="AD21" i="30"/>
  <c r="AG21" i="30"/>
  <c r="AF21" i="30"/>
  <c r="AH21" i="30"/>
  <c r="AD20" i="30"/>
  <c r="AG20" i="30"/>
  <c r="AF20" i="30"/>
  <c r="AH20" i="30"/>
  <c r="AD19" i="30"/>
  <c r="AG19" i="30"/>
  <c r="AF19" i="30"/>
  <c r="AH19" i="30"/>
  <c r="AD18" i="30"/>
  <c r="AG18" i="30"/>
  <c r="AF18" i="30"/>
  <c r="AH18" i="30"/>
  <c r="AD17" i="30"/>
  <c r="AG17" i="30"/>
  <c r="AF17" i="30"/>
  <c r="AH17" i="30"/>
  <c r="AE88" i="30"/>
  <c r="AE87" i="30"/>
  <c r="AE85" i="30"/>
  <c r="AE84" i="30"/>
  <c r="AE83" i="30"/>
  <c r="AE81" i="30"/>
  <c r="AE76" i="30"/>
  <c r="AE75" i="30"/>
  <c r="AE73" i="30"/>
  <c r="AE72" i="30"/>
  <c r="AE71" i="30"/>
  <c r="AE69" i="30"/>
  <c r="AE68" i="30"/>
  <c r="AE67" i="30"/>
  <c r="AE65" i="30"/>
  <c r="E13" i="32"/>
  <c r="Z17" i="33"/>
  <c r="Z18" i="33"/>
  <c r="Z19" i="33"/>
  <c r="Z20" i="33"/>
  <c r="C8" i="33"/>
  <c r="C9" i="33"/>
  <c r="C10" i="33"/>
  <c r="C11" i="33"/>
  <c r="C12" i="33"/>
  <c r="F13" i="33"/>
  <c r="B13" i="33"/>
  <c r="D17" i="33"/>
  <c r="L4" i="33"/>
  <c r="E17" i="33"/>
  <c r="M4" i="33"/>
  <c r="F17" i="33"/>
  <c r="N4" i="33"/>
  <c r="G17" i="33"/>
  <c r="I17" i="33"/>
  <c r="D18" i="33"/>
  <c r="L5" i="33"/>
  <c r="E18" i="33"/>
  <c r="M5" i="33"/>
  <c r="F18" i="33"/>
  <c r="N5" i="33"/>
  <c r="G18" i="33"/>
  <c r="I18" i="33"/>
  <c r="D19" i="33"/>
  <c r="L6" i="33"/>
  <c r="E19" i="33"/>
  <c r="M6" i="33"/>
  <c r="F19" i="33"/>
  <c r="N6" i="33"/>
  <c r="G19" i="33"/>
  <c r="I19" i="33"/>
  <c r="D20" i="33"/>
  <c r="L7" i="33"/>
  <c r="E20" i="33"/>
  <c r="M7" i="33"/>
  <c r="F20" i="33"/>
  <c r="N7" i="33"/>
  <c r="G20" i="33"/>
  <c r="I20" i="33"/>
  <c r="D21" i="33"/>
  <c r="L8" i="33"/>
  <c r="E21" i="33"/>
  <c r="M8" i="33"/>
  <c r="F21" i="33"/>
  <c r="N8" i="33"/>
  <c r="G21" i="33"/>
  <c r="I21" i="33"/>
  <c r="Z21" i="33"/>
  <c r="M21" i="33"/>
  <c r="N21" i="33" a="1"/>
  <c r="N21" i="33"/>
  <c r="O21" i="33"/>
  <c r="BR52" i="33"/>
  <c r="BS51" i="33"/>
  <c r="BT52" i="33"/>
  <c r="BU51" i="33"/>
  <c r="BU52" i="33"/>
  <c r="BV52" i="33"/>
  <c r="BW52" i="33"/>
  <c r="BX52" i="33"/>
  <c r="BY52" i="33"/>
  <c r="BZ52" i="33"/>
  <c r="CA52" i="33"/>
  <c r="BS53" i="33"/>
  <c r="BU53" i="33"/>
  <c r="BV53" i="33"/>
  <c r="BW53" i="33"/>
  <c r="BX53" i="33"/>
  <c r="BY53" i="33"/>
  <c r="BZ53" i="33"/>
  <c r="CA53" i="33"/>
  <c r="BR54" i="33"/>
  <c r="BS54" i="33"/>
  <c r="BT54" i="33"/>
  <c r="BV54" i="33"/>
  <c r="BW54" i="33"/>
  <c r="BX54" i="33"/>
  <c r="BY54" i="33"/>
  <c r="BZ54" i="33"/>
  <c r="CA54"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E34" i="33" a="1"/>
  <c r="E34" i="33"/>
  <c r="F34" i="33" a="1"/>
  <c r="F34" i="33"/>
  <c r="G34" i="33" a="1"/>
  <c r="H34" i="33" a="1"/>
  <c r="M22" i="33"/>
  <c r="N22" i="33" a="1"/>
  <c r="N22" i="33"/>
  <c r="O22" i="33"/>
  <c r="I34" i="33" a="1"/>
  <c r="M23" i="33"/>
  <c r="N23" i="33" a="1"/>
  <c r="N23" i="33"/>
  <c r="O23" i="33"/>
  <c r="J34" i="33" a="1"/>
  <c r="M24" i="33"/>
  <c r="N24" i="33" a="1"/>
  <c r="N24" i="33"/>
  <c r="O24" i="33"/>
  <c r="K34" i="33" a="1"/>
  <c r="M25" i="33"/>
  <c r="N25" i="33" a="1"/>
  <c r="N25" i="33"/>
  <c r="O25" i="33"/>
  <c r="L34" i="33" a="1"/>
  <c r="P21" i="33"/>
  <c r="M34" i="33" a="1"/>
  <c r="N34" i="33" a="1"/>
  <c r="O34" i="33" a="1"/>
  <c r="P34" i="33" a="1"/>
  <c r="P22" i="33"/>
  <c r="Q34" i="33" a="1"/>
  <c r="P23" i="33"/>
  <c r="R34" i="33" a="1"/>
  <c r="P24" i="33"/>
  <c r="S34" i="33" a="1"/>
  <c r="P25" i="33"/>
  <c r="T34" i="33" a="1"/>
  <c r="Q21" i="33"/>
  <c r="U34" i="33" a="1"/>
  <c r="V34" i="33" a="1"/>
  <c r="W34" i="33" a="1"/>
  <c r="X34" i="33" a="1"/>
  <c r="Q22" i="33"/>
  <c r="Y34" i="33" a="1"/>
  <c r="Q23" i="33"/>
  <c r="Z34" i="33" a="1"/>
  <c r="Q24" i="33"/>
  <c r="AA34" i="33" a="1"/>
  <c r="Q25" i="33"/>
  <c r="AB34" i="33" a="1"/>
  <c r="R21" i="33"/>
  <c r="AC34" i="33" a="1"/>
  <c r="AD34" i="33" a="1"/>
  <c r="AE34" i="33" a="1"/>
  <c r="AF34" i="33" a="1"/>
  <c r="R22" i="33"/>
  <c r="AG34" i="33" a="1"/>
  <c r="R23" i="33"/>
  <c r="AH34" i="33" a="1"/>
  <c r="R24" i="33"/>
  <c r="AI34" i="33" a="1"/>
  <c r="R25" i="33"/>
  <c r="AJ34" i="33" a="1"/>
  <c r="S21" i="33"/>
  <c r="AK34" i="33" a="1"/>
  <c r="AL34" i="33" a="1"/>
  <c r="AM34" i="33" a="1"/>
  <c r="AN34" i="33" a="1"/>
  <c r="S22" i="33"/>
  <c r="AO34" i="33" a="1"/>
  <c r="S23" i="33"/>
  <c r="AP34" i="33" a="1"/>
  <c r="S24" i="33"/>
  <c r="AQ34" i="33" a="1"/>
  <c r="S25" i="33"/>
  <c r="AR34" i="33" a="1"/>
  <c r="T21" i="33"/>
  <c r="AS34" i="33" a="1"/>
  <c r="AT34" i="33" a="1"/>
  <c r="AU34" i="33" a="1"/>
  <c r="AV34" i="33" a="1"/>
  <c r="T22" i="33"/>
  <c r="AW34" i="33" a="1"/>
  <c r="T23" i="33"/>
  <c r="AX34" i="33" a="1"/>
  <c r="T24" i="33"/>
  <c r="AY34" i="33" a="1"/>
  <c r="T25" i="33"/>
  <c r="AZ34" i="33" a="1"/>
  <c r="U21" i="33"/>
  <c r="BA34" i="33" a="1"/>
  <c r="BB34" i="33" a="1"/>
  <c r="BC34" i="33" a="1"/>
  <c r="BD34" i="33" a="1"/>
  <c r="U22" i="33"/>
  <c r="BE34" i="33" a="1"/>
  <c r="U23" i="33"/>
  <c r="BF34" i="33" a="1"/>
  <c r="U24" i="33"/>
  <c r="BG34" i="33" a="1"/>
  <c r="U25" i="33"/>
  <c r="BH34" i="33" a="1"/>
  <c r="V21" i="33"/>
  <c r="BI34" i="33" a="1"/>
  <c r="BJ34" i="33" a="1"/>
  <c r="BK34" i="33" a="1"/>
  <c r="BL34" i="33" a="1"/>
  <c r="V22" i="33"/>
  <c r="BM34" i="33" a="1"/>
  <c r="V23" i="33"/>
  <c r="BN34" i="33" a="1"/>
  <c r="V24" i="33"/>
  <c r="BO34" i="33" a="1"/>
  <c r="V25" i="33"/>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BR41" i="33"/>
  <c r="BS40" i="33"/>
  <c r="BR30" i="33"/>
  <c r="BT30" i="33"/>
  <c r="BS29" i="33"/>
  <c r="BS31" i="33"/>
  <c r="BT41" i="33"/>
  <c r="BU40" i="33"/>
  <c r="BU29" i="33"/>
  <c r="BU30" i="33"/>
  <c r="BR32" i="33"/>
  <c r="BS32" i="33"/>
  <c r="BU41" i="33"/>
  <c r="BV30" i="33"/>
  <c r="BS33" i="33"/>
  <c r="BV41" i="33"/>
  <c r="BW30" i="33"/>
  <c r="BS34" i="33"/>
  <c r="BW41" i="33"/>
  <c r="BX30" i="33"/>
  <c r="BS35" i="33"/>
  <c r="BX41" i="33"/>
  <c r="BY30" i="33"/>
  <c r="BS36" i="33"/>
  <c r="BY41" i="33"/>
  <c r="BZ30" i="33"/>
  <c r="BS37" i="33"/>
  <c r="BZ41" i="33"/>
  <c r="CA30" i="33"/>
  <c r="BS38" i="33"/>
  <c r="CA41" i="33"/>
  <c r="BS42" i="33"/>
  <c r="BU31" i="33"/>
  <c r="BT32" i="33"/>
  <c r="BU42" i="33"/>
  <c r="BV31" i="33"/>
  <c r="BT33" i="33"/>
  <c r="BV42" i="33"/>
  <c r="BW31" i="33"/>
  <c r="BT34" i="33"/>
  <c r="BW42" i="33"/>
  <c r="BX31" i="33"/>
  <c r="BT35" i="33"/>
  <c r="BX42" i="33"/>
  <c r="BY31" i="33"/>
  <c r="BT36" i="33"/>
  <c r="BY42" i="33"/>
  <c r="BZ31" i="33"/>
  <c r="BT37" i="33"/>
  <c r="BZ42" i="33"/>
  <c r="CA31" i="33"/>
  <c r="BT38" i="33"/>
  <c r="CA42" i="33"/>
  <c r="BR43" i="33"/>
  <c r="BS43" i="33"/>
  <c r="BT43" i="33"/>
  <c r="BV32" i="33"/>
  <c r="BU33" i="33"/>
  <c r="BV43" i="33"/>
  <c r="BW32" i="33"/>
  <c r="BU34" i="33"/>
  <c r="BW43" i="33"/>
  <c r="BX32" i="33"/>
  <c r="BU35" i="33"/>
  <c r="BX43" i="33"/>
  <c r="BY32" i="33"/>
  <c r="BU36" i="33"/>
  <c r="BY43" i="33"/>
  <c r="BZ32" i="33"/>
  <c r="BU37" i="33"/>
  <c r="BZ43" i="33"/>
  <c r="CA32" i="33"/>
  <c r="BU38" i="33"/>
  <c r="CA43" i="33"/>
  <c r="BS44" i="33"/>
  <c r="BT44" i="33"/>
  <c r="BU44" i="33"/>
  <c r="BW33" i="33"/>
  <c r="BV34" i="33"/>
  <c r="BW44" i="33"/>
  <c r="BX33" i="33"/>
  <c r="BV35" i="33"/>
  <c r="BX44" i="33"/>
  <c r="BY33" i="33"/>
  <c r="BV36" i="33"/>
  <c r="BY44" i="33"/>
  <c r="BZ33" i="33"/>
  <c r="BV37" i="33"/>
  <c r="BZ44" i="33"/>
  <c r="CA33" i="33"/>
  <c r="BV38" i="33"/>
  <c r="CA44" i="33"/>
  <c r="BS45" i="33"/>
  <c r="BT45" i="33"/>
  <c r="BU45" i="33"/>
  <c r="BV45" i="33"/>
  <c r="BX34" i="33"/>
  <c r="BW35" i="33"/>
  <c r="BX45" i="33"/>
  <c r="BY34" i="33"/>
  <c r="BW36" i="33"/>
  <c r="BY45" i="33"/>
  <c r="BZ34" i="33"/>
  <c r="BW37" i="33"/>
  <c r="BZ45" i="33"/>
  <c r="CA34" i="33"/>
  <c r="BW38" i="33"/>
  <c r="CA45" i="33"/>
  <c r="BS46" i="33"/>
  <c r="BT46" i="33"/>
  <c r="BU46" i="33"/>
  <c r="BV46" i="33"/>
  <c r="BW46" i="33"/>
  <c r="BY35" i="33"/>
  <c r="BX36" i="33"/>
  <c r="BY46" i="33"/>
  <c r="BZ35" i="33"/>
  <c r="BX37" i="33"/>
  <c r="BZ46" i="33"/>
  <c r="CA35" i="33"/>
  <c r="BX38" i="33"/>
  <c r="CA46" i="33"/>
  <c r="BS47" i="33"/>
  <c r="BT47" i="33"/>
  <c r="BU47" i="33"/>
  <c r="BV47" i="33"/>
  <c r="BW47" i="33"/>
  <c r="BX47" i="33"/>
  <c r="BZ36" i="33"/>
  <c r="BY37" i="33"/>
  <c r="BZ47" i="33"/>
  <c r="CA36" i="33"/>
  <c r="BY38" i="33"/>
  <c r="CA47" i="33"/>
  <c r="BS48" i="33"/>
  <c r="BT48" i="33"/>
  <c r="BU48" i="33"/>
  <c r="BV48" i="33"/>
  <c r="BW48" i="33"/>
  <c r="BX48" i="33"/>
  <c r="BY48" i="33"/>
  <c r="CA37" i="33"/>
  <c r="BZ38" i="33"/>
  <c r="CA48" i="33"/>
  <c r="BS49" i="33"/>
  <c r="BT49" i="33"/>
  <c r="BU49" i="33"/>
  <c r="BV49" i="33"/>
  <c r="BW49" i="33"/>
  <c r="BX49" i="33"/>
  <c r="BY49" i="33"/>
  <c r="BZ49"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D22" i="33"/>
  <c r="L9" i="33"/>
  <c r="E22" i="33"/>
  <c r="M9" i="33"/>
  <c r="F22" i="33"/>
  <c r="N9" i="33"/>
  <c r="G22" i="33"/>
  <c r="I22" i="33"/>
  <c r="Z22"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D23" i="33"/>
  <c r="L10" i="33"/>
  <c r="E23" i="33"/>
  <c r="M10" i="33"/>
  <c r="F23" i="33"/>
  <c r="N10" i="33"/>
  <c r="G23" i="33"/>
  <c r="I23" i="33"/>
  <c r="Z23" i="33"/>
  <c r="E36" i="33" a="1"/>
  <c r="E36" i="33"/>
  <c r="F36" i="33" a="1"/>
  <c r="F36" i="33"/>
  <c r="G36" i="33" a="1"/>
  <c r="H36" i="33" a="1"/>
  <c r="I36" i="33" a="1"/>
  <c r="J36" i="33" a="1"/>
  <c r="K36" i="33" a="1"/>
  <c r="L36" i="33" a="1"/>
  <c r="M36" i="33" a="1"/>
  <c r="N36" i="33" a="1"/>
  <c r="O36" i="33" a="1"/>
  <c r="P36" i="33" a="1"/>
  <c r="Q36" i="33" a="1"/>
  <c r="R36" i="33" a="1"/>
  <c r="S36" i="33" a="1"/>
  <c r="T36" i="33" a="1"/>
  <c r="U36" i="33" a="1"/>
  <c r="V36" i="33" a="1"/>
  <c r="W36" i="33" a="1"/>
  <c r="X36" i="33" a="1"/>
  <c r="Y36" i="33" a="1"/>
  <c r="Z36" i="33" a="1"/>
  <c r="AA36" i="33" a="1"/>
  <c r="AB36" i="33" a="1"/>
  <c r="AC36" i="33" a="1"/>
  <c r="AD36" i="33" a="1"/>
  <c r="AE36" i="33" a="1"/>
  <c r="AF36" i="33" a="1"/>
  <c r="AG36" i="33" a="1"/>
  <c r="AH36" i="33" a="1"/>
  <c r="AI36" i="33" a="1"/>
  <c r="AJ36" i="33" a="1"/>
  <c r="AK36" i="33" a="1"/>
  <c r="AL36" i="33" a="1"/>
  <c r="AM36" i="33" a="1"/>
  <c r="AN36" i="33" a="1"/>
  <c r="AO36" i="33" a="1"/>
  <c r="AP36" i="33" a="1"/>
  <c r="AQ36" i="33" a="1"/>
  <c r="AR36" i="33" a="1"/>
  <c r="AS36" i="33" a="1"/>
  <c r="AT36" i="33" a="1"/>
  <c r="AU36" i="33" a="1"/>
  <c r="AV36" i="33" a="1"/>
  <c r="AW36" i="33" a="1"/>
  <c r="AX36" i="33" a="1"/>
  <c r="AY36" i="33" a="1"/>
  <c r="AZ36" i="33" a="1"/>
  <c r="BA36" i="33" a="1"/>
  <c r="BB36" i="33" a="1"/>
  <c r="BC36" i="33" a="1"/>
  <c r="BD36" i="33" a="1"/>
  <c r="BE36" i="33" a="1"/>
  <c r="BF36" i="33" a="1"/>
  <c r="BG36" i="33" a="1"/>
  <c r="BH36" i="33" a="1"/>
  <c r="BI36" i="33" a="1"/>
  <c r="BJ36" i="33" a="1"/>
  <c r="BK36" i="33" a="1"/>
  <c r="BL36" i="33" a="1"/>
  <c r="BM36" i="33" a="1"/>
  <c r="BN36" i="33" a="1"/>
  <c r="BO36" i="33" a="1"/>
  <c r="BP36" i="33" a="1"/>
  <c r="G36" i="33"/>
  <c r="H36" i="33"/>
  <c r="I36" i="33"/>
  <c r="J36" i="33"/>
  <c r="K36" i="33"/>
  <c r="L36" i="33"/>
  <c r="M36" i="33"/>
  <c r="N36" i="33"/>
  <c r="O36" i="33"/>
  <c r="P36" i="33"/>
  <c r="Q36" i="33"/>
  <c r="R36" i="33"/>
  <c r="S36" i="33"/>
  <c r="T36" i="33"/>
  <c r="U36" i="33"/>
  <c r="V36" i="33"/>
  <c r="W36" i="33"/>
  <c r="X36" i="33"/>
  <c r="Y36" i="33"/>
  <c r="Z36" i="33"/>
  <c r="AA36" i="33"/>
  <c r="AB36" i="33"/>
  <c r="AC36" i="33"/>
  <c r="AD36" i="33"/>
  <c r="AE36" i="33"/>
  <c r="AF36" i="33"/>
  <c r="AG36" i="33"/>
  <c r="AH36" i="33"/>
  <c r="AI36" i="33"/>
  <c r="AJ36" i="33"/>
  <c r="AK36" i="33"/>
  <c r="AL36" i="33"/>
  <c r="AM36" i="33"/>
  <c r="AN36" i="33"/>
  <c r="AO36" i="33"/>
  <c r="AP36" i="33"/>
  <c r="AQ36" i="33"/>
  <c r="AR36" i="33"/>
  <c r="AS36" i="33"/>
  <c r="AT36" i="33"/>
  <c r="AU36" i="33"/>
  <c r="AV36" i="33"/>
  <c r="AW36" i="33"/>
  <c r="AX36" i="33"/>
  <c r="AY36" i="33"/>
  <c r="AZ36" i="33"/>
  <c r="BA36" i="33"/>
  <c r="BB36" i="33"/>
  <c r="BC36" i="33"/>
  <c r="BD36" i="33"/>
  <c r="BE36" i="33"/>
  <c r="BF36" i="33"/>
  <c r="BG36" i="33"/>
  <c r="BH36" i="33"/>
  <c r="BI36" i="33"/>
  <c r="BJ36" i="33"/>
  <c r="BK36" i="33"/>
  <c r="BL36" i="33"/>
  <c r="BM36" i="33"/>
  <c r="BN36" i="33"/>
  <c r="BO36" i="33"/>
  <c r="BP36" i="33"/>
  <c r="AA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D24" i="33"/>
  <c r="L11" i="33"/>
  <c r="E24" i="33"/>
  <c r="M11" i="33"/>
  <c r="F24" i="33"/>
  <c r="N11" i="33"/>
  <c r="G24" i="33"/>
  <c r="I24" i="33"/>
  <c r="Z24" i="33"/>
  <c r="E37" i="33" a="1"/>
  <c r="E37" i="33"/>
  <c r="F37" i="33" a="1"/>
  <c r="F37" i="33"/>
  <c r="G37" i="33" a="1"/>
  <c r="H37" i="33" a="1"/>
  <c r="I37" i="33" a="1"/>
  <c r="J37" i="33" a="1"/>
  <c r="K37" i="33" a="1"/>
  <c r="L37" i="33" a="1"/>
  <c r="M37" i="33" a="1"/>
  <c r="N37" i="33" a="1"/>
  <c r="O37" i="33" a="1"/>
  <c r="P37" i="33" a="1"/>
  <c r="Q37" i="33" a="1"/>
  <c r="R37" i="33" a="1"/>
  <c r="S37" i="33" a="1"/>
  <c r="T37" i="33" a="1"/>
  <c r="U37" i="33" a="1"/>
  <c r="V37" i="33" a="1"/>
  <c r="W37" i="33" a="1"/>
  <c r="X37" i="33" a="1"/>
  <c r="Y37" i="33" a="1"/>
  <c r="Z37" i="33" a="1"/>
  <c r="AA37" i="33" a="1"/>
  <c r="AB37" i="33" a="1"/>
  <c r="AC37" i="33" a="1"/>
  <c r="AD37" i="33" a="1"/>
  <c r="AE37" i="33" a="1"/>
  <c r="AF37" i="33" a="1"/>
  <c r="AG37" i="33" a="1"/>
  <c r="AH37" i="33" a="1"/>
  <c r="AI37" i="33" a="1"/>
  <c r="AJ37" i="33" a="1"/>
  <c r="AK37" i="33" a="1"/>
  <c r="AL37" i="33" a="1"/>
  <c r="AM37" i="33" a="1"/>
  <c r="AN37" i="33" a="1"/>
  <c r="AO37" i="33" a="1"/>
  <c r="AP37" i="33" a="1"/>
  <c r="AQ37" i="33" a="1"/>
  <c r="AR37" i="33" a="1"/>
  <c r="AS37" i="33" a="1"/>
  <c r="AT37" i="33" a="1"/>
  <c r="AU37" i="33" a="1"/>
  <c r="AV37" i="33" a="1"/>
  <c r="AW37" i="33" a="1"/>
  <c r="AX37" i="33" a="1"/>
  <c r="AY37" i="33" a="1"/>
  <c r="AZ37" i="33" a="1"/>
  <c r="BA37" i="33" a="1"/>
  <c r="BB37" i="33" a="1"/>
  <c r="BC37" i="33" a="1"/>
  <c r="BD37" i="33" a="1"/>
  <c r="BE37" i="33" a="1"/>
  <c r="BF37" i="33" a="1"/>
  <c r="BG37" i="33" a="1"/>
  <c r="BH37" i="33" a="1"/>
  <c r="BI37" i="33" a="1"/>
  <c r="BJ37" i="33" a="1"/>
  <c r="BK37" i="33" a="1"/>
  <c r="BL37" i="33" a="1"/>
  <c r="BM37" i="33" a="1"/>
  <c r="BN37" i="33" a="1"/>
  <c r="BO37" i="33" a="1"/>
  <c r="BP37" i="33" a="1"/>
  <c r="G37" i="33"/>
  <c r="H37" i="33"/>
  <c r="I37" i="33"/>
  <c r="J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AL37" i="33"/>
  <c r="AM37" i="33"/>
  <c r="AN37" i="33"/>
  <c r="AO37" i="33"/>
  <c r="AP37" i="33"/>
  <c r="AQ37" i="33"/>
  <c r="AR37" i="33"/>
  <c r="AS37" i="33"/>
  <c r="AT37" i="33"/>
  <c r="AU37" i="33"/>
  <c r="AV37" i="33"/>
  <c r="AW37" i="33"/>
  <c r="AX37" i="33"/>
  <c r="AY37" i="33"/>
  <c r="AZ37" i="33"/>
  <c r="BA37" i="33"/>
  <c r="BB37" i="33"/>
  <c r="BC37" i="33"/>
  <c r="BD37" i="33"/>
  <c r="BE37" i="33"/>
  <c r="BF37" i="33"/>
  <c r="BG37" i="33"/>
  <c r="BH37" i="33"/>
  <c r="BI37" i="33"/>
  <c r="BJ37" i="33"/>
  <c r="BK37" i="33"/>
  <c r="BL37" i="33"/>
  <c r="BM37" i="33"/>
  <c r="BN37" i="33"/>
  <c r="BO37" i="33"/>
  <c r="BP37" i="33"/>
  <c r="AA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D25" i="33"/>
  <c r="L12" i="33"/>
  <c r="E25" i="33"/>
  <c r="M12" i="33"/>
  <c r="F25" i="33"/>
  <c r="N12" i="33"/>
  <c r="G25" i="33"/>
  <c r="I25" i="33"/>
  <c r="Z25" i="33"/>
  <c r="E38" i="33" a="1"/>
  <c r="E38" i="33"/>
  <c r="F38" i="33" a="1"/>
  <c r="F38" i="33"/>
  <c r="G38" i="33" a="1"/>
  <c r="H38" i="33" a="1"/>
  <c r="I38" i="33" a="1"/>
  <c r="J38" i="33" a="1"/>
  <c r="K38" i="33" a="1"/>
  <c r="L38" i="33" a="1"/>
  <c r="M38" i="33" a="1"/>
  <c r="N38" i="33" a="1"/>
  <c r="O38" i="33" a="1"/>
  <c r="P38" i="33" a="1"/>
  <c r="Q38" i="33" a="1"/>
  <c r="R38" i="33" a="1"/>
  <c r="S38" i="33" a="1"/>
  <c r="T38" i="33" a="1"/>
  <c r="U38" i="33" a="1"/>
  <c r="V38" i="33" a="1"/>
  <c r="W38" i="33" a="1"/>
  <c r="X38" i="33" a="1"/>
  <c r="Y38" i="33" a="1"/>
  <c r="Z38" i="33" a="1"/>
  <c r="AA38" i="33" a="1"/>
  <c r="AB38" i="33" a="1"/>
  <c r="AC38" i="33" a="1"/>
  <c r="AD38" i="33" a="1"/>
  <c r="AE38" i="33" a="1"/>
  <c r="AF38" i="33" a="1"/>
  <c r="AG38" i="33" a="1"/>
  <c r="AH38" i="33" a="1"/>
  <c r="AI38" i="33" a="1"/>
  <c r="AJ38" i="33" a="1"/>
  <c r="AK38" i="33" a="1"/>
  <c r="AL38" i="33" a="1"/>
  <c r="AM38" i="33" a="1"/>
  <c r="AN38" i="33" a="1"/>
  <c r="AO38" i="33" a="1"/>
  <c r="AP38" i="33" a="1"/>
  <c r="AQ38" i="33" a="1"/>
  <c r="AR38" i="33" a="1"/>
  <c r="AS38" i="33" a="1"/>
  <c r="AT38" i="33" a="1"/>
  <c r="AU38" i="33" a="1"/>
  <c r="AV38" i="33" a="1"/>
  <c r="AW38" i="33" a="1"/>
  <c r="AX38" i="33" a="1"/>
  <c r="AY38" i="33" a="1"/>
  <c r="AZ38" i="33" a="1"/>
  <c r="BA38" i="33" a="1"/>
  <c r="BB38" i="33" a="1"/>
  <c r="BC38" i="33" a="1"/>
  <c r="BD38" i="33" a="1"/>
  <c r="BE38" i="33" a="1"/>
  <c r="BF38" i="33" a="1"/>
  <c r="BG38" i="33" a="1"/>
  <c r="BH38" i="33" a="1"/>
  <c r="BI38" i="33" a="1"/>
  <c r="BJ38" i="33" a="1"/>
  <c r="BK38" i="33" a="1"/>
  <c r="BL38" i="33" a="1"/>
  <c r="BM38" i="33" a="1"/>
  <c r="BN38" i="33" a="1"/>
  <c r="BO38" i="33" a="1"/>
  <c r="BP38" i="33" a="1"/>
  <c r="G38" i="33"/>
  <c r="H38" i="33"/>
  <c r="I38" i="33"/>
  <c r="J38" i="33"/>
  <c r="K38" i="33"/>
  <c r="L38" i="33"/>
  <c r="M38" i="33"/>
  <c r="N38" i="33"/>
  <c r="O38" i="33"/>
  <c r="P38" i="33"/>
  <c r="Q38" i="33"/>
  <c r="R38" i="33"/>
  <c r="S38" i="33"/>
  <c r="T38" i="33"/>
  <c r="U38" i="33"/>
  <c r="V38" i="33"/>
  <c r="W38" i="33"/>
  <c r="X38" i="33"/>
  <c r="Y38" i="33"/>
  <c r="Z38" i="33"/>
  <c r="AA38" i="33"/>
  <c r="AB38" i="33"/>
  <c r="AC38" i="33"/>
  <c r="AD38" i="33"/>
  <c r="AE38" i="33"/>
  <c r="AF38" i="33"/>
  <c r="AG38" i="33"/>
  <c r="AH38" i="33"/>
  <c r="AI38" i="33"/>
  <c r="AJ38" i="33"/>
  <c r="AK38" i="33"/>
  <c r="AL38" i="33"/>
  <c r="AM38" i="33"/>
  <c r="AN38" i="33"/>
  <c r="AO38" i="33"/>
  <c r="AP38" i="33"/>
  <c r="AQ38" i="33"/>
  <c r="AR38" i="33"/>
  <c r="AS38" i="33"/>
  <c r="AT38" i="33"/>
  <c r="AU38" i="33"/>
  <c r="AV38" i="33"/>
  <c r="AW38" i="33"/>
  <c r="AX38" i="33"/>
  <c r="AY38" i="33"/>
  <c r="AZ38" i="33"/>
  <c r="BA38" i="33"/>
  <c r="BB38" i="33"/>
  <c r="BC38" i="33"/>
  <c r="BD38" i="33"/>
  <c r="BE38" i="33"/>
  <c r="BF38" i="33"/>
  <c r="BG38" i="33"/>
  <c r="BH38" i="33"/>
  <c r="BI38" i="33"/>
  <c r="BJ38" i="33"/>
  <c r="BK38" i="33"/>
  <c r="BL38" i="33"/>
  <c r="BM38" i="33"/>
  <c r="BN38" i="33"/>
  <c r="BO38" i="33"/>
  <c r="BP38" i="33"/>
  <c r="AA25"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E60" i="33" a="1"/>
  <c r="E60" i="33"/>
  <c r="F60" i="33" a="1"/>
  <c r="F60" i="33"/>
  <c r="G60" i="33" a="1"/>
  <c r="H60" i="33" a="1"/>
  <c r="I60" i="33" a="1"/>
  <c r="J60" i="33" a="1"/>
  <c r="K60" i="33" a="1"/>
  <c r="L60" i="33" a="1"/>
  <c r="M60" i="33" a="1"/>
  <c r="N60" i="33" a="1"/>
  <c r="O60" i="33" a="1"/>
  <c r="P60" i="33" a="1"/>
  <c r="Q60" i="33" a="1"/>
  <c r="R60" i="33" a="1"/>
  <c r="S60" i="33" a="1"/>
  <c r="T60" i="33" a="1"/>
  <c r="U60" i="33" a="1"/>
  <c r="V60" i="33" a="1"/>
  <c r="W60" i="33" a="1"/>
  <c r="X60" i="33" a="1"/>
  <c r="Y60" i="33" a="1"/>
  <c r="Z60" i="33" a="1"/>
  <c r="AA60" i="33" a="1"/>
  <c r="AB60" i="33" a="1"/>
  <c r="AC60" i="33" a="1"/>
  <c r="AD60" i="33" a="1"/>
  <c r="AE60" i="33" a="1"/>
  <c r="AF60" i="33" a="1"/>
  <c r="AG60" i="33" a="1"/>
  <c r="AH60" i="33" a="1"/>
  <c r="AI60" i="33" a="1"/>
  <c r="AJ60" i="33" a="1"/>
  <c r="AK60" i="33" a="1"/>
  <c r="AL60" i="33" a="1"/>
  <c r="AM60" i="33" a="1"/>
  <c r="AN60" i="33" a="1"/>
  <c r="AO60" i="33" a="1"/>
  <c r="AP60" i="33" a="1"/>
  <c r="AQ60" i="33" a="1"/>
  <c r="AR60" i="33" a="1"/>
  <c r="AS60" i="33" a="1"/>
  <c r="AT60" i="33" a="1"/>
  <c r="AU60" i="33" a="1"/>
  <c r="AV60" i="33" a="1"/>
  <c r="AW60" i="33" a="1"/>
  <c r="AX60" i="33" a="1"/>
  <c r="AY60" i="33" a="1"/>
  <c r="AZ60" i="33" a="1"/>
  <c r="BA60" i="33" a="1"/>
  <c r="BB60" i="33" a="1"/>
  <c r="BC60" i="33" a="1"/>
  <c r="BD60" i="33" a="1"/>
  <c r="BE60" i="33" a="1"/>
  <c r="BF60" i="33" a="1"/>
  <c r="BG60" i="33" a="1"/>
  <c r="BH60" i="33" a="1"/>
  <c r="BI60" i="33" a="1"/>
  <c r="BJ60" i="33" a="1"/>
  <c r="BK60" i="33" a="1"/>
  <c r="BL60" i="33" a="1"/>
  <c r="BM60" i="33" a="1"/>
  <c r="BN60" i="33" a="1"/>
  <c r="BO60" i="33" a="1"/>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Z64" i="33"/>
  <c r="AB64" i="33"/>
  <c r="Z65" i="33"/>
  <c r="AB65" i="33"/>
  <c r="Z66" i="33"/>
  <c r="AA66" i="33"/>
  <c r="AB66" i="33"/>
  <c r="Z67" i="33"/>
  <c r="AA67" i="33"/>
  <c r="AB67" i="33"/>
  <c r="Z68" i="33"/>
  <c r="AA68" i="33"/>
  <c r="AB68" i="33"/>
  <c r="Z69" i="33"/>
  <c r="AB69" i="33"/>
  <c r="Z81" i="33"/>
  <c r="AB81" i="33"/>
  <c r="Z136" i="33"/>
  <c r="AA136" i="33"/>
  <c r="AB136" i="33"/>
  <c r="Z137" i="33"/>
  <c r="AA137" i="33"/>
  <c r="AB137" i="33"/>
  <c r="Z138" i="33"/>
  <c r="AA138" i="33"/>
  <c r="AB138" i="33"/>
  <c r="Z139" i="33"/>
  <c r="AA139" i="33"/>
  <c r="AB139" i="33"/>
  <c r="Z140" i="33"/>
  <c r="AA140" i="33"/>
  <c r="AB140" i="33"/>
  <c r="Z141" i="33"/>
  <c r="AA141" i="33"/>
  <c r="AB141" i="33"/>
  <c r="Z153" i="33"/>
  <c r="AA153" i="33"/>
  <c r="AB153" i="33"/>
  <c r="AA72" i="33"/>
  <c r="AA144" i="33"/>
  <c r="AB144" i="33"/>
  <c r="Z144" i="33"/>
  <c r="AA71" i="33"/>
  <c r="AA143" i="33"/>
  <c r="AB143" i="33"/>
  <c r="Z143" i="33"/>
  <c r="AA70" i="33"/>
  <c r="AA142" i="33"/>
  <c r="AB142" i="33"/>
  <c r="Z142" i="33"/>
  <c r="AB72" i="33"/>
  <c r="Z72" i="33"/>
  <c r="AB71" i="33"/>
  <c r="Z71" i="33"/>
  <c r="AB70" i="33"/>
  <c r="Z70" i="33"/>
  <c r="Z142" i="28"/>
  <c r="AA142" i="28"/>
  <c r="AB142" i="28"/>
  <c r="Z143" i="28"/>
  <c r="AA143" i="28"/>
  <c r="AB143" i="28"/>
  <c r="Z144" i="28"/>
  <c r="AA144" i="28"/>
  <c r="AB144" i="28"/>
  <c r="Z142" i="29"/>
  <c r="AA142" i="29"/>
  <c r="AB142" i="29"/>
  <c r="Z143" i="29"/>
  <c r="AA143" i="29"/>
  <c r="AB143" i="29"/>
  <c r="Z144" i="29"/>
  <c r="AA144" i="29"/>
  <c r="AB144" i="29"/>
  <c r="Z142" i="30"/>
  <c r="AA142" i="30"/>
  <c r="AB142" i="30"/>
  <c r="Z143" i="30"/>
  <c r="AA143" i="30"/>
  <c r="AB143" i="30"/>
  <c r="Z144" i="30"/>
  <c r="AA144" i="30"/>
  <c r="AB144" i="30"/>
  <c r="Z70" i="34"/>
  <c r="AA70" i="34"/>
  <c r="AB70" i="34"/>
  <c r="Z71" i="34"/>
  <c r="AA71" i="34"/>
  <c r="AB71" i="34"/>
  <c r="Z72" i="34"/>
  <c r="AA72" i="34"/>
  <c r="AB72" i="34"/>
  <c r="Z142" i="34"/>
  <c r="AA142" i="34"/>
  <c r="AB142" i="34"/>
  <c r="Z143" i="34"/>
  <c r="AA143" i="34"/>
  <c r="AB143" i="34"/>
  <c r="Z144" i="34"/>
  <c r="AA144" i="34"/>
  <c r="AB144" i="34"/>
  <c r="C6" i="33"/>
  <c r="C7" i="33"/>
  <c r="S33" i="27"/>
  <c r="T33" i="27"/>
  <c r="U33" i="27"/>
  <c r="V33" i="27"/>
  <c r="W33" i="27"/>
  <c r="Y33" i="27"/>
  <c r="Z33" i="27"/>
  <c r="AA33" i="27"/>
  <c r="S34" i="27"/>
  <c r="T34" i="27"/>
  <c r="U34" i="27"/>
  <c r="V34" i="27"/>
  <c r="W34" i="27"/>
  <c r="Y34" i="27"/>
  <c r="Z34" i="27"/>
  <c r="AA34" i="27"/>
  <c r="S35" i="27"/>
  <c r="T35" i="27"/>
  <c r="U35" i="27"/>
  <c r="V35" i="27"/>
  <c r="W35" i="27"/>
  <c r="Y35" i="27"/>
  <c r="Z35" i="27"/>
  <c r="AA35" i="27"/>
  <c r="Q33" i="27"/>
  <c r="Q34" i="27"/>
  <c r="Q35" i="27"/>
  <c r="Q36" i="27"/>
  <c r="S36" i="27"/>
  <c r="T36" i="27"/>
  <c r="U36" i="27"/>
  <c r="V36" i="27"/>
  <c r="W36" i="27"/>
  <c r="Y36" i="27"/>
  <c r="Z36" i="27"/>
  <c r="AA36" i="27"/>
  <c r="R21" i="27"/>
  <c r="I47" i="27"/>
  <c r="R20" i="27"/>
  <c r="I46" i="27"/>
  <c r="R19" i="27"/>
  <c r="I45" i="27"/>
  <c r="C12" i="29"/>
  <c r="C11" i="29"/>
  <c r="C10" i="29"/>
  <c r="C9" i="29"/>
  <c r="C8" i="29"/>
  <c r="AD25" i="29"/>
  <c r="AG25" i="29"/>
  <c r="AE17" i="29"/>
  <c r="AE18" i="29"/>
  <c r="AE19" i="29"/>
  <c r="AE20" i="29"/>
  <c r="AF25" i="29"/>
  <c r="AH25" i="29"/>
  <c r="AD24" i="29"/>
  <c r="AG24" i="29"/>
  <c r="AF24" i="29"/>
  <c r="AH24" i="29"/>
  <c r="AD23" i="29"/>
  <c r="AG23" i="29"/>
  <c r="AF23" i="29"/>
  <c r="AH23" i="29"/>
  <c r="AD22" i="29"/>
  <c r="AG22" i="29"/>
  <c r="AF22" i="29"/>
  <c r="AH22" i="29"/>
  <c r="AD20" i="29"/>
  <c r="AG20" i="29"/>
  <c r="AF20" i="29"/>
  <c r="AH20" i="29"/>
  <c r="AD19" i="29"/>
  <c r="AG19" i="29"/>
  <c r="AF19" i="29"/>
  <c r="AH19" i="29"/>
  <c r="AD18" i="29"/>
  <c r="AG18" i="29"/>
  <c r="AF18" i="29"/>
  <c r="AH18" i="29"/>
  <c r="AD17" i="29"/>
  <c r="AG17" i="29"/>
  <c r="AF17" i="29"/>
  <c r="AH17" i="29"/>
  <c r="AD21" i="29"/>
  <c r="AG21" i="29"/>
  <c r="AF21" i="29"/>
  <c r="AH21" i="29"/>
  <c r="AF76" i="29"/>
  <c r="AF74" i="29"/>
  <c r="AF73" i="29"/>
  <c r="AF88" i="29"/>
  <c r="AF86" i="29"/>
  <c r="AF85" i="29"/>
  <c r="AF84" i="29"/>
  <c r="AF82" i="29"/>
  <c r="AF81" i="29"/>
  <c r="AF72" i="29"/>
  <c r="AF70" i="29"/>
  <c r="AF69" i="29"/>
  <c r="AF68" i="29"/>
  <c r="AF66" i="29"/>
  <c r="AF65" i="29"/>
  <c r="R15" i="27"/>
  <c r="I44" i="27"/>
  <c r="R14" i="27"/>
  <c r="I43" i="27"/>
  <c r="R13" i="27"/>
  <c r="I42" i="27"/>
  <c r="R12" i="27"/>
  <c r="I41" i="27"/>
  <c r="AD25" i="28"/>
  <c r="AG25" i="28"/>
  <c r="AE17" i="28"/>
  <c r="AE18" i="28"/>
  <c r="AE19" i="28"/>
  <c r="AE20" i="28"/>
  <c r="AF25" i="28"/>
  <c r="AH25" i="28"/>
  <c r="AD24" i="28"/>
  <c r="AG24" i="28"/>
  <c r="AF24" i="28"/>
  <c r="AH24" i="28"/>
  <c r="AD23" i="28"/>
  <c r="AG23" i="28"/>
  <c r="AF23" i="28"/>
  <c r="AH23" i="28"/>
  <c r="AD22" i="28"/>
  <c r="AG22" i="28"/>
  <c r="AF22" i="28"/>
  <c r="AH22" i="28"/>
  <c r="AD21" i="28"/>
  <c r="AG21" i="28"/>
  <c r="AF21" i="28"/>
  <c r="AH21" i="28"/>
  <c r="AD20" i="28"/>
  <c r="AG20" i="28"/>
  <c r="AF20" i="28"/>
  <c r="AH20" i="28"/>
  <c r="AD19" i="28"/>
  <c r="AG19" i="28"/>
  <c r="AF19" i="28"/>
  <c r="AH19" i="28"/>
  <c r="AD18" i="28"/>
  <c r="AG18" i="28"/>
  <c r="AF18" i="28"/>
  <c r="AH18" i="28"/>
  <c r="AD17" i="28"/>
  <c r="AG17" i="28"/>
  <c r="AF17" i="28"/>
  <c r="AH17" i="28"/>
  <c r="AE75" i="28"/>
  <c r="AE74" i="28"/>
  <c r="AE73" i="28"/>
  <c r="AE87" i="28"/>
  <c r="AE86" i="28"/>
  <c r="AE85" i="28"/>
  <c r="AE83" i="28"/>
  <c r="AE82" i="28"/>
  <c r="AE81" i="28"/>
  <c r="AE71" i="28"/>
  <c r="AE70" i="28"/>
  <c r="AE69" i="28"/>
  <c r="AE67" i="28"/>
  <c r="AE66" i="28"/>
  <c r="AE65" i="28"/>
  <c r="S40" i="27"/>
  <c r="T40" i="27"/>
  <c r="U40" i="27"/>
  <c r="V40" i="27"/>
  <c r="W40" i="27"/>
  <c r="Y40" i="27"/>
  <c r="Z40" i="27"/>
  <c r="AA40" i="27"/>
  <c r="R41" i="27"/>
  <c r="S41" i="27"/>
  <c r="T41" i="27"/>
  <c r="U41" i="27"/>
  <c r="V41" i="27"/>
  <c r="W41" i="27"/>
  <c r="Y41" i="27"/>
  <c r="Z41" i="27"/>
  <c r="AA41" i="27"/>
  <c r="Q41" i="27"/>
  <c r="Q40" i="27"/>
  <c r="X18" i="34"/>
  <c r="X17" i="34"/>
  <c r="X19" i="34"/>
  <c r="X20" i="34"/>
  <c r="X21" i="34"/>
  <c r="X22" i="34"/>
  <c r="X23" i="34"/>
  <c r="X24" i="34"/>
  <c r="X25" i="34"/>
  <c r="E5" i="34"/>
  <c r="D5" i="34"/>
  <c r="E4" i="34"/>
  <c r="D4" i="34"/>
  <c r="E6" i="34"/>
  <c r="D6" i="34"/>
  <c r="E7" i="34"/>
  <c r="D7" i="34"/>
  <c r="E8" i="34"/>
  <c r="D8" i="34"/>
  <c r="E9" i="34"/>
  <c r="D9" i="34"/>
  <c r="E10" i="34"/>
  <c r="D10" i="34"/>
  <c r="E11" i="34"/>
  <c r="D11" i="34"/>
  <c r="E12" i="34"/>
  <c r="D12" i="34"/>
  <c r="C5" i="34"/>
  <c r="C7" i="34"/>
  <c r="C6" i="34"/>
  <c r="C12" i="34"/>
  <c r="C11" i="34"/>
  <c r="C10" i="34"/>
  <c r="C9" i="34"/>
  <c r="C8" i="34"/>
  <c r="Z154" i="29"/>
  <c r="AA154" i="29"/>
  <c r="AB154" i="29"/>
  <c r="Z155" i="29"/>
  <c r="AA155" i="29"/>
  <c r="AB155" i="29"/>
  <c r="Z156" i="29"/>
  <c r="AA156" i="29"/>
  <c r="AB156" i="29"/>
  <c r="Z157" i="29"/>
  <c r="AA157" i="29"/>
  <c r="AB157" i="29"/>
  <c r="Z158" i="29"/>
  <c r="AA158" i="29"/>
  <c r="AB158" i="29"/>
  <c r="Z159" i="29"/>
  <c r="AA159" i="29"/>
  <c r="AB159" i="29"/>
  <c r="Z160" i="29"/>
  <c r="AA160" i="29"/>
  <c r="AB160" i="29"/>
  <c r="Z64" i="29"/>
  <c r="AB64" i="29"/>
  <c r="Z65" i="29"/>
  <c r="AB65" i="29"/>
  <c r="Z66" i="29"/>
  <c r="AB66" i="29"/>
  <c r="Z67" i="29"/>
  <c r="AB67" i="29"/>
  <c r="Z68" i="29"/>
  <c r="AB68" i="29"/>
  <c r="Z69" i="29"/>
  <c r="AB69" i="29"/>
  <c r="Z70" i="29"/>
  <c r="AB70" i="29"/>
  <c r="Z71" i="29"/>
  <c r="AB71" i="29"/>
  <c r="Z72" i="29"/>
  <c r="AB72" i="29"/>
  <c r="Z81" i="29"/>
  <c r="AB81" i="29"/>
  <c r="Z82" i="29"/>
  <c r="AB82" i="29"/>
  <c r="Z83" i="29"/>
  <c r="AB83" i="29"/>
  <c r="Z84" i="29"/>
  <c r="AB84" i="29"/>
  <c r="Z85" i="29"/>
  <c r="AB85" i="29"/>
  <c r="Z86" i="29"/>
  <c r="AB86" i="29"/>
  <c r="Z87" i="29"/>
  <c r="AB87" i="29"/>
  <c r="Z88" i="29"/>
  <c r="AB88" i="29"/>
  <c r="R33" i="27"/>
  <c r="I53" i="27"/>
  <c r="R36" i="27"/>
  <c r="I56" i="27"/>
  <c r="AD25" i="33"/>
  <c r="AG25" i="33"/>
  <c r="AE17" i="33"/>
  <c r="AE18" i="33"/>
  <c r="AE19" i="33"/>
  <c r="AE20" i="33"/>
  <c r="AF25" i="33"/>
  <c r="AH25" i="33"/>
  <c r="AD24" i="33"/>
  <c r="AG24" i="33"/>
  <c r="AF24" i="33"/>
  <c r="AH24" i="33"/>
  <c r="AD23" i="33"/>
  <c r="AG23" i="33"/>
  <c r="AF23" i="33"/>
  <c r="AH23" i="33"/>
  <c r="AD22" i="33"/>
  <c r="AG22" i="33"/>
  <c r="AF22" i="33"/>
  <c r="AH22" i="33"/>
  <c r="AD21" i="33"/>
  <c r="AG21" i="33"/>
  <c r="AF21" i="33"/>
  <c r="AH21" i="33"/>
  <c r="AD20" i="33"/>
  <c r="AG20" i="33"/>
  <c r="AF20" i="33"/>
  <c r="AH20" i="33"/>
  <c r="AD19" i="33"/>
  <c r="AG19" i="33"/>
  <c r="AF19" i="33"/>
  <c r="AH19" i="33"/>
  <c r="AD18" i="33"/>
  <c r="AG18" i="33"/>
  <c r="AF18" i="33"/>
  <c r="AH18" i="33"/>
  <c r="AD17" i="33"/>
  <c r="AG17" i="33"/>
  <c r="AF17" i="33"/>
  <c r="AH17" i="33"/>
  <c r="AE76" i="33"/>
  <c r="AE75" i="33"/>
  <c r="AE74" i="33"/>
  <c r="AF88" i="33"/>
  <c r="AF87" i="33"/>
  <c r="AF86" i="33"/>
  <c r="AF84" i="33"/>
  <c r="AF83" i="33"/>
  <c r="AF82" i="33"/>
  <c r="AF72" i="33"/>
  <c r="AF71" i="33"/>
  <c r="AF70" i="33"/>
  <c r="AF68" i="33"/>
  <c r="AF67" i="33"/>
  <c r="AF66" i="33"/>
  <c r="AE88" i="33"/>
  <c r="AE87" i="33"/>
  <c r="AE86" i="33"/>
  <c r="AE84" i="33"/>
  <c r="AE83" i="33"/>
  <c r="AE82" i="33"/>
  <c r="AE72" i="33"/>
  <c r="AE71" i="33"/>
  <c r="AE70" i="33"/>
  <c r="AE68" i="33"/>
  <c r="AE67" i="33"/>
  <c r="AE66" i="33"/>
  <c r="R40" i="27"/>
  <c r="I57" i="27"/>
  <c r="C4" i="34"/>
  <c r="AD25" i="34"/>
  <c r="AG25" i="34"/>
  <c r="AE17" i="34"/>
  <c r="AE18" i="34"/>
  <c r="AE19" i="34"/>
  <c r="AE20" i="34"/>
  <c r="AF25" i="34"/>
  <c r="AH25" i="34"/>
  <c r="AD24" i="34"/>
  <c r="AG24" i="34"/>
  <c r="AF24" i="34"/>
  <c r="AH24" i="34"/>
  <c r="AD23" i="34"/>
  <c r="AG23" i="34"/>
  <c r="AF23" i="34"/>
  <c r="AH23" i="34"/>
  <c r="AD22" i="34"/>
  <c r="AG22" i="34"/>
  <c r="AF22" i="34"/>
  <c r="AH22" i="34"/>
  <c r="AD21" i="34"/>
  <c r="AG21" i="34"/>
  <c r="AF21" i="34"/>
  <c r="AH21" i="34"/>
  <c r="AD20" i="34"/>
  <c r="AG20" i="34"/>
  <c r="AF20" i="34"/>
  <c r="AH20" i="34"/>
  <c r="AD19" i="34"/>
  <c r="AG19" i="34"/>
  <c r="AF19" i="34"/>
  <c r="AH19" i="34"/>
  <c r="AD18" i="34"/>
  <c r="AG18" i="34"/>
  <c r="AF18" i="34"/>
  <c r="AH18" i="34"/>
  <c r="AD17" i="34"/>
  <c r="AG17" i="34"/>
  <c r="AF17" i="34"/>
  <c r="AH17" i="34"/>
  <c r="AE76" i="34"/>
  <c r="AE75" i="34"/>
  <c r="AE74" i="34"/>
  <c r="AE73" i="34"/>
  <c r="AF88" i="34"/>
  <c r="AF87" i="34"/>
  <c r="AF86" i="34"/>
  <c r="AF85" i="34"/>
  <c r="AF84" i="34"/>
  <c r="AF83" i="34"/>
  <c r="AF82" i="34"/>
  <c r="AF72" i="34"/>
  <c r="AF71" i="34"/>
  <c r="AF70" i="34"/>
  <c r="AF68" i="34"/>
  <c r="AF67" i="34"/>
  <c r="AF66" i="34"/>
  <c r="AE88" i="34"/>
  <c r="AE87" i="34"/>
  <c r="AE86" i="34"/>
  <c r="AE85" i="34"/>
  <c r="AE84" i="34"/>
  <c r="AE83" i="34"/>
  <c r="AE82" i="34"/>
  <c r="AE72" i="34"/>
  <c r="AE71" i="34"/>
  <c r="AE70" i="34"/>
  <c r="AE69" i="34"/>
  <c r="AE68" i="34"/>
  <c r="AE67" i="34"/>
  <c r="AE66" i="34"/>
  <c r="AE65" i="34"/>
  <c r="AF69" i="34"/>
  <c r="AE81" i="34"/>
  <c r="AF81" i="34"/>
  <c r="AF65" i="34"/>
  <c r="V12" i="21"/>
  <c r="V13" i="21"/>
  <c r="V14" i="21"/>
  <c r="V15" i="21"/>
  <c r="V16" i="21"/>
  <c r="V17" i="21"/>
  <c r="T20" i="21"/>
  <c r="G26" i="21"/>
  <c r="U20" i="21"/>
  <c r="G27" i="21"/>
  <c r="T19" i="21"/>
  <c r="G28" i="21"/>
  <c r="U19" i="21"/>
  <c r="G29" i="21"/>
  <c r="T17" i="21"/>
  <c r="G32" i="21"/>
  <c r="T15" i="21"/>
  <c r="G36" i="21"/>
  <c r="T13" i="21"/>
  <c r="G40" i="21"/>
  <c r="V12" i="32"/>
  <c r="S13" i="32"/>
  <c r="V13" i="32"/>
  <c r="V14" i="32"/>
  <c r="S15" i="32"/>
  <c r="V15" i="32"/>
  <c r="V16" i="32"/>
  <c r="S17" i="32"/>
  <c r="V17" i="32"/>
  <c r="V18" i="32"/>
  <c r="V23" i="32"/>
  <c r="T20" i="32"/>
  <c r="G24" i="32"/>
  <c r="T21" i="32"/>
  <c r="I24" i="32"/>
  <c r="S24" i="32"/>
  <c r="V24" i="32"/>
  <c r="T24" i="32"/>
  <c r="G30" i="32"/>
  <c r="U24" i="32"/>
  <c r="G31" i="32"/>
  <c r="U23" i="32"/>
  <c r="G33" i="32"/>
  <c r="T17" i="32"/>
  <c r="G36" i="32"/>
  <c r="U17" i="32"/>
  <c r="G37" i="32"/>
  <c r="T15" i="32"/>
  <c r="G40" i="32"/>
  <c r="U15" i="32"/>
  <c r="G41" i="32"/>
  <c r="T13" i="32"/>
  <c r="G44" i="32"/>
  <c r="U13" i="32"/>
  <c r="G45" i="32"/>
  <c r="S12" i="26"/>
  <c r="T12" i="26"/>
  <c r="U12" i="26"/>
  <c r="V12" i="26"/>
  <c r="S13" i="26"/>
  <c r="T13" i="26"/>
  <c r="U13" i="26"/>
  <c r="V13" i="26"/>
  <c r="T16" i="26"/>
  <c r="G22" i="26"/>
  <c r="U16" i="26"/>
  <c r="G23" i="26"/>
  <c r="T15" i="26"/>
  <c r="G24" i="26"/>
  <c r="U15" i="26"/>
  <c r="G25" i="26"/>
  <c r="AS12" i="35"/>
  <c r="AS13" i="35"/>
  <c r="AS16" i="35"/>
  <c r="AS17" i="35"/>
  <c r="AS19" i="35"/>
  <c r="AS20" i="35"/>
  <c r="AS29" i="35"/>
  <c r="BH12" i="35"/>
  <c r="BH13" i="35"/>
  <c r="BH14" i="35"/>
  <c r="BH16" i="35"/>
  <c r="BH17" i="35"/>
  <c r="BH19" i="35"/>
  <c r="BH20" i="35"/>
  <c r="BH29" i="35"/>
  <c r="BM15" i="35"/>
  <c r="BM31" i="35"/>
  <c r="BR14" i="35"/>
  <c r="BR30" i="35"/>
  <c r="CG36" i="35"/>
  <c r="CB36" i="35"/>
  <c r="CG35" i="35"/>
  <c r="CB35" i="35"/>
  <c r="BW35" i="35"/>
  <c r="CG34" i="35"/>
  <c r="CB34" i="35"/>
  <c r="BW34" i="35"/>
  <c r="CG33" i="35"/>
  <c r="CB33" i="35"/>
  <c r="BW33" i="35"/>
  <c r="CB32" i="35"/>
  <c r="CB31" i="35"/>
  <c r="BW31" i="35"/>
  <c r="CG30" i="35"/>
  <c r="BW30" i="35"/>
  <c r="CG29" i="35"/>
  <c r="CB29" i="35"/>
  <c r="BW29" i="35"/>
  <c r="CG20" i="35"/>
  <c r="CB20" i="35"/>
  <c r="CG19" i="35"/>
  <c r="CB19" i="35"/>
  <c r="BW19" i="35"/>
  <c r="CG18" i="35"/>
  <c r="CB18" i="35"/>
  <c r="BW18" i="35"/>
  <c r="CG17" i="35"/>
  <c r="CB17" i="35"/>
  <c r="BW17" i="35"/>
  <c r="CB16" i="35"/>
  <c r="CB15" i="35"/>
  <c r="BW15" i="35"/>
  <c r="CG14" i="35"/>
  <c r="BW14" i="35"/>
  <c r="CG13" i="35"/>
  <c r="CB13" i="35"/>
  <c r="BW13" i="35"/>
  <c r="CG12" i="35"/>
  <c r="BW12" i="35"/>
  <c r="CL36" i="35"/>
  <c r="CL35" i="35"/>
  <c r="CL34" i="35"/>
  <c r="CL32" i="35"/>
  <c r="CL31" i="35"/>
  <c r="CL30" i="35"/>
  <c r="CL29" i="35"/>
  <c r="CL20" i="35"/>
  <c r="CL19" i="35"/>
  <c r="CL18" i="35"/>
  <c r="CL16" i="35"/>
  <c r="CL15" i="35"/>
  <c r="CL14" i="35"/>
  <c r="CL13" i="35"/>
  <c r="CL12" i="35"/>
  <c r="CV36" i="35"/>
  <c r="CV35" i="35"/>
  <c r="CV34" i="35"/>
  <c r="CV33" i="35"/>
  <c r="CV32" i="35"/>
  <c r="CV31" i="35"/>
  <c r="CV29" i="35"/>
  <c r="CV20" i="35"/>
  <c r="CV19" i="35"/>
  <c r="CV18" i="35"/>
  <c r="CV17" i="35"/>
  <c r="CV16" i="35"/>
  <c r="CV15" i="35"/>
  <c r="CV13" i="35"/>
  <c r="CV12" i="35"/>
  <c r="S12" i="36"/>
  <c r="V12" i="36"/>
  <c r="S13" i="36"/>
  <c r="V13" i="36"/>
  <c r="S14" i="36"/>
  <c r="V14" i="36"/>
  <c r="S15" i="36"/>
  <c r="V15" i="36"/>
  <c r="S16" i="36"/>
  <c r="V16" i="36"/>
  <c r="V24" i="36"/>
  <c r="V25" i="36"/>
  <c r="G21" i="36"/>
  <c r="S21" i="36"/>
  <c r="U21" i="36"/>
  <c r="G27" i="36"/>
  <c r="I22" i="36"/>
  <c r="S22" i="36"/>
  <c r="U22" i="36"/>
  <c r="I27" i="36"/>
  <c r="S27" i="36"/>
  <c r="V27" i="36"/>
  <c r="T21" i="36"/>
  <c r="G28" i="36"/>
  <c r="T22" i="36"/>
  <c r="I28" i="36"/>
  <c r="S28" i="36"/>
  <c r="V28" i="36"/>
  <c r="T28" i="36"/>
  <c r="G34" i="36"/>
  <c r="U28" i="36"/>
  <c r="G35" i="36"/>
  <c r="T24" i="36"/>
  <c r="T27" i="36"/>
  <c r="G36" i="36"/>
  <c r="U27" i="36"/>
  <c r="G37" i="36"/>
  <c r="T16" i="36"/>
  <c r="G42" i="36"/>
  <c r="U16" i="36"/>
  <c r="G43" i="36"/>
  <c r="T15" i="36"/>
  <c r="G44" i="36"/>
  <c r="U15" i="36"/>
  <c r="G45" i="36"/>
  <c r="T14" i="36"/>
  <c r="G46" i="36"/>
  <c r="U14" i="36"/>
  <c r="G47" i="36"/>
  <c r="T13" i="36"/>
  <c r="G48" i="36"/>
  <c r="U13" i="36"/>
  <c r="G49" i="36"/>
  <c r="T12" i="36"/>
  <c r="G50" i="36"/>
  <c r="U12" i="36"/>
  <c r="G51" i="36"/>
  <c r="V21" i="36"/>
  <c r="V22" i="36"/>
  <c r="G40" i="36"/>
</calcChain>
</file>

<file path=xl/sharedStrings.xml><?xml version="1.0" encoding="utf-8"?>
<sst xmlns="http://schemas.openxmlformats.org/spreadsheetml/2006/main" count="2635" uniqueCount="393">
  <si>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</si>
  <si>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</si>
  <si>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</si>
  <si>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</si>
  <si>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</si>
  <si>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</si>
  <si>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</si>
  <si>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</si>
  <si>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</si>
  <si>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</si>
  <si>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</si>
  <si>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</si>
  <si>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</si>
  <si>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</si>
  <si>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</si>
  <si>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</si>
  <si>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</si>
  <si>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</si>
  <si>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</si>
  <si>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</si>
  <si>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</si>
  <si>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</si>
  <si>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</si>
  <si>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</si>
  <si>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</si>
  <si>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</si>
  <si>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</si>
  <si>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</si>
  <si>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</si>
  <si>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</si>
  <si>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</si>
  <si>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</si>
  <si>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</si>
  <si>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</si>
  <si>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</si>
  <si>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</si>
  <si>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</si>
  <si>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</si>
  <si>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</si>
  <si>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</si>
  <si>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</si>
  <si>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</si>
  <si>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</si>
  <si>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</si>
  <si>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</si>
  <si>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</si>
  <si>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</si>
  <si>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</si>
  <si>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</si>
  <si>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</si>
  <si>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</si>
  <si>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</si>
  <si>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</si>
  <si>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</si>
  <si>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</si>
  <si>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</si>
  <si>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</si>
  <si>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</si>
  <si>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</si>
  <si>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</si>
  <si>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</si>
  <si>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</si>
  <si>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</si>
  <si>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</si>
  <si>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</si>
  <si>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</si>
  <si>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</si>
  <si>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</si>
  <si>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</si>
  <si>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</si>
  <si>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</si>
  <si>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</si>
  <si>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</si>
  <si>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</si>
  <si>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</si>
  <si>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</si>
  <si>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</si>
  <si>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</si>
  <si>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</si>
  <si>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</si>
  <si>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</si>
  <si>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</si>
  <si>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</si>
  <si>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</si>
  <si>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</si>
  <si>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</si>
  <si>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</si>
  <si>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</si>
  <si>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</si>
  <si>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</si>
  <si>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</si>
  <si>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</si>
  <si>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</si>
  <si>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</si>
  <si>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</si>
  <si>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</si>
  <si>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</si>
  <si>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</si>
  <si>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</si>
  <si>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</si>
  <si>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</si>
  <si>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</si>
  <si>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</si>
  <si>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</si>
  <si>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</si>
  <si>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</si>
  <si>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</si>
  <si>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</si>
  <si>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</si>
  <si>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</si>
  <si>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</si>
  <si>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</si>
  <si>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</si>
  <si>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</si>
  <si>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</si>
  <si>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</si>
  <si>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</si>
  <si>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</si>
  <si>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</si>
  <si>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</si>
  <si>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</si>
  <si>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</si>
  <si>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</si>
  <si>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</si>
  <si>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</si>
  <si>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</si>
  <si>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</si>
  <si>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</si>
  <si>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</si>
  <si>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</si>
  <si>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</si>
  <si>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</si>
  <si>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</si>
  <si>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</si>
  <si>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</si>
  <si>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</si>
  <si>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</si>
  <si>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</si>
  <si>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</si>
  <si>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</si>
  <si>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</si>
  <si>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</si>
  <si>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</si>
  <si>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</si>
  <si>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</si>
  <si>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</si>
  <si>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</si>
  <si>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</si>
  <si>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</si>
  <si>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</si>
  <si>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</si>
  <si>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</si>
  <si>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</si>
  <si>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</si>
  <si>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</si>
  <si>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</si>
  <si>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</si>
  <si>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</si>
  <si>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</si>
  <si>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</si>
  <si>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</si>
  <si>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</si>
  <si>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</si>
  <si>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</si>
  <si>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</si>
  <si>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</si>
  <si>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</si>
  <si>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</si>
  <si>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</si>
  <si>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</si>
  <si>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</si>
  <si>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</si>
  <si>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</si>
  <si>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</si>
  <si>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</si>
  <si>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</si>
  <si>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</si>
  <si>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</si>
  <si>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</si>
  <si>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</si>
  <si>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</si>
  <si>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</si>
  <si>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</si>
  <si>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</si>
  <si>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</si>
  <si>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</si>
  <si>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</si>
  <si>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</si>
  <si>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</si>
  <si>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</si>
  <si>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</si>
  <si>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</si>
  <si>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</si>
  <si>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</si>
  <si>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</si>
  <si>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</si>
  <si>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</si>
  <si>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</si>
  <si>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</si>
  <si>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</si>
  <si>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</si>
  <si>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</si>
  <si>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</si>
  <si>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</si>
  <si>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</si>
  <si>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</si>
  <si>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</si>
  <si>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</si>
  <si>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</si>
  <si>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</si>
  <si>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</si>
  <si>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</si>
  <si>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</si>
  <si>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</si>
  <si>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</si>
  <si>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</si>
  <si>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</si>
  <si>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</si>
  <si>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</si>
  <si>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</si>
  <si>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</si>
  <si>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</si>
  <si>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</si>
  <si>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TieBr.</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</si>
  <si>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</si>
  <si>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</si>
  <si>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</si>
  <si>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</si>
  <si>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</si>
  <si>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</si>
  <si>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</si>
  <si>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</si>
  <si>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</si>
  <si>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</si>
  <si>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</si>
  <si>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</si>
  <si>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</si>
  <si>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</si>
  <si>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</si>
  <si>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</si>
  <si>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</si>
  <si>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</si>
  <si>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</si>
  <si>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</si>
  <si>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</si>
  <si>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</si>
  <si>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</si>
  <si>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</si>
  <si>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</si>
  <si>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</si>
  <si>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</si>
  <si>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</si>
  <si>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</si>
  <si>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</si>
  <si>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</si>
  <si>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</si>
  <si>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</si>
  <si>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</si>
  <si>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</si>
  <si>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</si>
  <si>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</si>
  <si>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</si>
  <si>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</si>
  <si>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</si>
  <si>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</si>
  <si>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</si>
  <si>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</si>
  <si>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</si>
  <si>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</si>
  <si>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</si>
  <si>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</si>
  <si>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</si>
  <si>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</si>
  <si>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</si>
  <si>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</si>
  <si>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</si>
  <si>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</si>
  <si>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</si>
  <si>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</si>
  <si>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</si>
  <si>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</si>
  <si>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</si>
  <si>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</si>
  <si>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</si>
  <si>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</si>
  <si>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</si>
  <si>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</si>
  <si>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</si>
  <si>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</si>
  <si>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</si>
  <si>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</si>
  <si>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</si>
  <si>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</si>
  <si>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</si>
  <si>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</si>
  <si>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</si>
  <si>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</si>
  <si>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</si>
  <si>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</si>
  <si>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</si>
  <si>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</si>
  <si>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</si>
  <si>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</si>
  <si>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</si>
  <si>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</si>
  <si>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</si>
  <si>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</si>
  <si>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</si>
  <si>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</si>
  <si>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</si>
  <si>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</si>
  <si>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</si>
  <si>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GDz</t>
  </si>
  <si>
    <t>3A</t>
  </si>
  <si>
    <t>1B</t>
  </si>
  <si>
    <t>Gruppenerste und -zweite</t>
  </si>
  <si>
    <t>Gruppendritte und -vierte</t>
  </si>
  <si>
    <t>Gruppenfünfte und -sechste</t>
  </si>
  <si>
    <t>1A</t>
  </si>
  <si>
    <t>2A</t>
  </si>
  <si>
    <t>2B</t>
  </si>
  <si>
    <t>3B</t>
  </si>
  <si>
    <t>4A</t>
  </si>
  <si>
    <t>4B</t>
  </si>
  <si>
    <t>5A</t>
  </si>
  <si>
    <t>5B</t>
  </si>
  <si>
    <t>6A</t>
  </si>
  <si>
    <t>6B</t>
  </si>
  <si>
    <t>End of tournament (final round 4):</t>
  </si>
  <si>
    <t>Turnierende (Endrunde 4):</t>
  </si>
  <si>
    <t>VFB Essenheim</t>
  </si>
  <si>
    <t>A7</t>
  </si>
  <si>
    <t>A8</t>
  </si>
  <si>
    <t>A9</t>
  </si>
  <si>
    <t>B7</t>
  </si>
  <si>
    <t>B8</t>
  </si>
  <si>
    <t>B9</t>
  </si>
  <si>
    <t>n = 7</t>
  </si>
  <si>
    <t>n = 8</t>
  </si>
  <si>
    <t>n = 9</t>
  </si>
  <si>
    <t>Aktuelle Anzahl der Spielplätze</t>
  </si>
  <si>
    <t>Zeiten und Spielplätze ausblenden</t>
  </si>
  <si>
    <t>Maximal mögliche Anzahl der Spielplätze</t>
  </si>
  <si>
    <t>9A -9B</t>
  </si>
  <si>
    <t>8A - 8B</t>
  </si>
  <si>
    <t>7A - 7B</t>
  </si>
  <si>
    <t>Gruppensiebte und -achte</t>
  </si>
  <si>
    <t>Gruppenneunte</t>
  </si>
  <si>
    <t>Seventh and eighth placed</t>
  </si>
  <si>
    <t>Ninth placed</t>
  </si>
  <si>
    <t>Fifth and sixth placed</t>
  </si>
  <si>
    <t>First and second placed</t>
  </si>
  <si>
    <t>Third and fourth placed</t>
  </si>
  <si>
    <t>7A</t>
  </si>
  <si>
    <t>7B</t>
  </si>
  <si>
    <t>8A</t>
  </si>
  <si>
    <t>8B</t>
  </si>
  <si>
    <t>9A</t>
  </si>
  <si>
    <t>9B</t>
  </si>
  <si>
    <t>Fun Kickers Oes</t>
  </si>
  <si>
    <t>Raslo Winners</t>
  </si>
  <si>
    <t>AC Roma</t>
  </si>
  <si>
    <t>VFL Ronsdorf</t>
  </si>
  <si>
    <t>Knock Out Rangers</t>
  </si>
  <si>
    <t>Borussia Heine</t>
  </si>
  <si>
    <t>Winner</t>
  </si>
  <si>
    <t>penalty</t>
  </si>
  <si>
    <t>Loser</t>
  </si>
  <si>
    <t>Match No.</t>
  </si>
  <si>
    <t>Spiel Nr.</t>
  </si>
  <si>
    <t>Kick-off times finals 4</t>
  </si>
  <si>
    <t>Anstoßzeiten Endrunde 4</t>
  </si>
  <si>
    <t>3A - 4B</t>
  </si>
  <si>
    <t>3B - 4A</t>
  </si>
  <si>
    <t>Version  1.3
05.06.2025</t>
  </si>
  <si>
    <t>Semifinal places 1 - 4</t>
  </si>
  <si>
    <t>Halbfinale Plätze 1 - 4</t>
  </si>
  <si>
    <t>Semifinal places 5 - 8</t>
  </si>
  <si>
    <t>Halbfinale Plätze 5 - 8</t>
  </si>
  <si>
    <t>Finals places 1 - 4</t>
  </si>
  <si>
    <t>Endspiele Plätze 1 - 4</t>
  </si>
  <si>
    <t>Finals places 5 - 8</t>
  </si>
  <si>
    <t>Endspiele Plätze 5 - 8</t>
  </si>
  <si>
    <t>Turnierende (Endrunde 2a):</t>
  </si>
  <si>
    <t>End of tournament (final round 2a):</t>
  </si>
  <si>
    <t>5. Platz</t>
  </si>
  <si>
    <t>7. Platz</t>
  </si>
  <si>
    <t>5th place</t>
  </si>
  <si>
    <t>7th place</t>
  </si>
  <si>
    <t>International tournament U10 on Jun. 6th, 2025</t>
  </si>
  <si>
    <t>Organizer:  1. FC Riedwald</t>
  </si>
  <si>
    <t>Sports hall Wiesengrund, Wendiger Str. 51, 65432 Riedwald</t>
  </si>
  <si>
    <t>Start:  9:00 Uhr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</si>
</sst>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5"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b/>
      <sz val="18"/>
      <color rgb="FF0070C0"/>
      <name val="Calibri"/>
      <family val="2"/>
    </font>
    <font>
      <sz val="12"/>
      <color theme="2" tint="-0.749992370372631"/>
      <name val="Calibri"/>
      <family val="2"/>
    </font>
    <font>
      <sz val="10"/>
      <color rgb="FF0070C0"/>
      <name val="Calibri"/>
      <family val="2"/>
      <scheme val="minor"/>
    </font>
    <font>
      <b/>
      <sz val="20"/>
      <color rgb="FF0070C0"/>
      <name val="Arial"/>
      <family val="2"/>
    </font>
    <font>
      <b/>
      <sz val="8"/>
      <name val="Arial"/>
      <family val="2"/>
    </font>
    <font>
      <b/>
      <sz val="9"/>
      <name val="Arial"/>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5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style="thick">
        <color theme="2" tint="-0.499984740745262"/>
      </left>
      <right/>
      <top style="medium">
        <color theme="2" tint="-0.499984740745262"/>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right style="thick">
        <color theme="2" tint="-0.499984740745262"/>
      </right>
      <top/>
      <bottom style="thick">
        <color theme="0" tint="-0.499984740745262"/>
      </bottom>
      <diagonal/>
    </border>
    <border>
      <left style="thin">
        <color theme="2" tint="-0.24994659260841701"/>
      </left>
      <right/>
      <top style="thin">
        <color theme="2" tint="-0.24994659260841701"/>
      </top>
      <bottom/>
      <diagonal/>
    </border>
    <border>
      <left style="thick">
        <color theme="2" tint="-0.499984740745262"/>
      </left>
      <right style="medium">
        <color theme="2" tint="-0.499984740745262"/>
      </right>
      <top style="medium">
        <color theme="2" tint="-0.499984740745262"/>
      </top>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s>
  <cellStyleXfs count="4">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cellStyleXfs>
  <cellXfs count="806">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2" xfId="0" applyNumberFormat="1" applyFont="1" applyFill="1" applyBorder="1" applyAlignment="1" applyProtection="1">
      <alignment horizontal="right" vertical="center" indent="1"/>
      <protection hidden="1"/>
    </xf>
    <xf numFmtId="0" fontId="7" fillId="0" borderId="35" xfId="0" applyNumberFormat="1" applyFont="1" applyFill="1" applyBorder="1" applyAlignment="1" applyProtection="1">
      <alignment horizontal="right" vertical="center" indent="1"/>
      <protection hidden="1"/>
    </xf>
    <xf numFmtId="0" fontId="7" fillId="0" borderId="37" xfId="0" applyNumberFormat="1" applyFont="1" applyFill="1" applyBorder="1" applyAlignment="1" applyProtection="1">
      <alignment horizontal="right" vertical="center" indent="1"/>
      <protection hidden="1"/>
    </xf>
    <xf numFmtId="0" fontId="18" fillId="0" borderId="0" xfId="0" applyFont="1"/>
    <xf numFmtId="0" fontId="21" fillId="0" borderId="51" xfId="0" applyFont="1" applyBorder="1" applyAlignment="1">
      <alignment horizontal="center" vertical="center"/>
    </xf>
    <xf numFmtId="0" fontId="21" fillId="0" borderId="65" xfId="0" applyFont="1" applyBorder="1" applyAlignment="1">
      <alignment horizontal="left" vertical="center"/>
    </xf>
    <xf numFmtId="0" fontId="21" fillId="0" borderId="46"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68" xfId="0" applyNumberFormat="1" applyFont="1" applyFill="1" applyBorder="1" applyAlignment="1" applyProtection="1">
      <alignment vertical="center"/>
      <protection hidden="1"/>
    </xf>
    <xf numFmtId="0" fontId="7" fillId="0" borderId="69" xfId="0" applyNumberFormat="1" applyFont="1" applyFill="1" applyBorder="1" applyAlignment="1" applyProtection="1">
      <alignment vertical="center"/>
      <protection hidden="1"/>
    </xf>
    <xf numFmtId="0" fontId="7" fillId="0" borderId="70" xfId="0"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34" xfId="0" applyNumberFormat="1" applyFont="1" applyFill="1" applyBorder="1" applyAlignment="1" applyProtection="1">
      <alignment horizontal="left" vertical="center"/>
      <protection hidden="1"/>
    </xf>
    <xf numFmtId="0" fontId="7" fillId="0" borderId="36" xfId="0" applyNumberFormat="1" applyFont="1" applyFill="1" applyBorder="1" applyAlignment="1" applyProtection="1">
      <alignment horizontal="left" vertical="center"/>
      <protection hidden="1"/>
    </xf>
    <xf numFmtId="0" fontId="7" fillId="0" borderId="38"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77" xfId="0" applyNumberFormat="1" applyFont="1" applyFill="1" applyBorder="1" applyAlignment="1" applyProtection="1">
      <alignment horizontal="right" vertical="center" indent="1"/>
      <protection hidden="1"/>
    </xf>
    <xf numFmtId="0" fontId="7" fillId="0" borderId="78" xfId="0" applyNumberFormat="1" applyFont="1" applyFill="1" applyBorder="1" applyAlignment="1" applyProtection="1">
      <alignment horizontal="right" vertical="center" indent="1"/>
      <protection hidden="1"/>
    </xf>
    <xf numFmtId="0" fontId="7" fillId="0" borderId="79"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2" xfId="0" applyFill="1" applyBorder="1" applyAlignment="1" applyProtection="1">
      <alignment horizontal="left" indent="1"/>
      <protection locked="0"/>
    </xf>
    <xf numFmtId="0" fontId="0" fillId="13" borderId="93" xfId="0" applyFill="1" applyBorder="1" applyAlignment="1" applyProtection="1">
      <alignment horizontal="left" indent="1"/>
      <protection locked="0"/>
    </xf>
    <xf numFmtId="0" fontId="0" fillId="14" borderId="94" xfId="0" applyFill="1" applyBorder="1" applyAlignment="1" applyProtection="1">
      <alignment horizontal="left" indent="1"/>
      <protection locked="0"/>
    </xf>
    <xf numFmtId="0" fontId="36" fillId="0" borderId="87" xfId="0" applyFont="1" applyFill="1" applyBorder="1" applyAlignment="1">
      <alignment horizontal="left" indent="1"/>
    </xf>
    <xf numFmtId="0" fontId="0" fillId="0" borderId="88" xfId="0" applyBorder="1" applyAlignment="1">
      <alignment horizontal="left" indent="1"/>
    </xf>
    <xf numFmtId="0" fontId="0" fillId="0" borderId="95" xfId="0" applyBorder="1" applyAlignment="1">
      <alignment horizontal="left" indent="1"/>
    </xf>
    <xf numFmtId="0" fontId="36" fillId="0" borderId="90" xfId="0" applyFont="1" applyFill="1" applyBorder="1" applyAlignment="1">
      <alignment horizontal="left" indent="1"/>
    </xf>
    <xf numFmtId="0" fontId="0" fillId="0" borderId="0" xfId="0" applyBorder="1" applyAlignment="1">
      <alignment horizontal="left" indent="1"/>
    </xf>
    <xf numFmtId="0" fontId="0" fillId="0" borderId="86"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4" xfId="0" applyFill="1" applyBorder="1" applyAlignment="1" applyProtection="1">
      <alignment horizontal="left" vertical="top" wrapText="1" indent="1"/>
      <protection locked="0"/>
    </xf>
    <xf numFmtId="0" fontId="0" fillId="12" borderId="92" xfId="0" applyFill="1" applyBorder="1" applyAlignment="1" applyProtection="1">
      <alignment horizontal="left" vertical="top" wrapText="1" indent="1"/>
      <protection locked="0"/>
    </xf>
    <xf numFmtId="0" fontId="0" fillId="13" borderId="93"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91" xfId="0" applyFill="1" applyBorder="1" applyAlignment="1" applyProtection="1">
      <alignment horizontal="left" vertical="top" indent="1"/>
      <protection locked="0"/>
    </xf>
    <xf numFmtId="0" fontId="4" fillId="12" borderId="92"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top" wrapText="1" indent="1"/>
      <protection locked="0"/>
    </xf>
    <xf numFmtId="0" fontId="4" fillId="12" borderId="92" xfId="0" applyFont="1" applyFill="1" applyBorder="1" applyAlignment="1" applyProtection="1">
      <alignment horizontal="left" indent="1"/>
      <protection locked="0"/>
    </xf>
    <xf numFmtId="0" fontId="4" fillId="14" borderId="94" xfId="0" applyFont="1" applyFill="1" applyBorder="1" applyAlignment="1" applyProtection="1">
      <alignment horizontal="left" indent="1"/>
      <protection locked="0"/>
    </xf>
    <xf numFmtId="0" fontId="4" fillId="14" borderId="94" xfId="0" applyFont="1" applyFill="1" applyBorder="1" applyAlignment="1">
      <alignment horizontal="left" indent="1"/>
    </xf>
    <xf numFmtId="0" fontId="4" fillId="13" borderId="93" xfId="0" applyFont="1" applyFill="1" applyBorder="1" applyAlignment="1" applyProtection="1">
      <alignment horizontal="left" indent="1"/>
      <protection locked="0"/>
    </xf>
    <xf numFmtId="0" fontId="4" fillId="12" borderId="96" xfId="0" applyFont="1" applyFill="1" applyBorder="1" applyAlignment="1" applyProtection="1">
      <alignment horizontal="left" vertical="top" indent="1"/>
      <protection locked="0"/>
    </xf>
    <xf numFmtId="0" fontId="4" fillId="14" borderId="94" xfId="0" applyFont="1" applyFill="1" applyBorder="1" applyAlignment="1" applyProtection="1">
      <alignment horizontal="left" vertical="top" indent="1"/>
      <protection locked="0"/>
    </xf>
    <xf numFmtId="0" fontId="4" fillId="0" borderId="0" xfId="0" applyFont="1"/>
    <xf numFmtId="0" fontId="27" fillId="0" borderId="0" xfId="0" applyFont="1"/>
    <xf numFmtId="0" fontId="32" fillId="0" borderId="0" xfId="0" applyFont="1" applyBorder="1" applyAlignment="1">
      <alignment horizontal="left" vertical="center" wrapText="1"/>
    </xf>
    <xf numFmtId="0" fontId="4" fillId="12" borderId="98" xfId="0" applyFont="1" applyFill="1" applyBorder="1" applyAlignment="1" applyProtection="1">
      <alignment horizontal="left" vertical="top" indent="1"/>
      <protection locked="0"/>
    </xf>
    <xf numFmtId="0" fontId="1" fillId="13" borderId="85" xfId="0" applyFont="1" applyFill="1" applyBorder="1" applyAlignment="1" applyProtection="1">
      <alignment horizontal="center" vertical="center"/>
      <protection locked="0"/>
    </xf>
    <xf numFmtId="0" fontId="4" fillId="14" borderId="90" xfId="0" applyFont="1" applyFill="1" applyBorder="1" applyAlignment="1" applyProtection="1">
      <alignment horizontal="left" vertical="top" indent="1"/>
      <protection locked="0"/>
    </xf>
    <xf numFmtId="0" fontId="7" fillId="0" borderId="28" xfId="0" applyNumberFormat="1" applyFont="1" applyFill="1" applyBorder="1" applyAlignment="1" applyProtection="1">
      <alignment horizontal="center" vertical="center"/>
      <protection hidden="1"/>
    </xf>
    <xf numFmtId="0" fontId="7" fillId="0" borderId="27" xfId="0" applyNumberFormat="1" applyFont="1" applyFill="1" applyBorder="1" applyAlignment="1" applyProtection="1">
      <alignment horizontal="center" vertical="center"/>
      <protection hidden="1"/>
    </xf>
    <xf numFmtId="0" fontId="20" fillId="0" borderId="106" xfId="0" applyFont="1" applyBorder="1" applyAlignment="1">
      <alignment horizontal="center" vertical="center"/>
    </xf>
    <xf numFmtId="0" fontId="20" fillId="0" borderId="40" xfId="0" applyFont="1" applyBorder="1" applyAlignment="1">
      <alignment horizontal="center" vertical="center"/>
    </xf>
    <xf numFmtId="0" fontId="20" fillId="0" borderId="43" xfId="0" applyFont="1" applyBorder="1" applyAlignment="1">
      <alignment horizontal="center" vertical="center"/>
    </xf>
    <xf numFmtId="0" fontId="31" fillId="13" borderId="107" xfId="0" applyFont="1" applyFill="1" applyBorder="1" applyAlignment="1">
      <alignment horizontal="center" vertical="center"/>
    </xf>
    <xf numFmtId="164" fontId="20" fillId="0" borderId="30" xfId="0" applyNumberFormat="1" applyFont="1" applyBorder="1" applyAlignment="1">
      <alignment horizontal="center" vertical="center"/>
    </xf>
    <xf numFmtId="164" fontId="20" fillId="0" borderId="31" xfId="0" applyNumberFormat="1" applyFont="1" applyBorder="1" applyAlignment="1">
      <alignment horizontal="center" vertical="center"/>
    </xf>
    <xf numFmtId="0" fontId="18" fillId="13" borderId="29" xfId="0" applyFont="1" applyFill="1" applyBorder="1"/>
    <xf numFmtId="3" fontId="7" fillId="0" borderId="28"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0" xfId="0" applyFont="1" applyFill="1" applyBorder="1" applyAlignment="1">
      <alignment horizontal="center" vertical="center"/>
    </xf>
    <xf numFmtId="0" fontId="31" fillId="13" borderId="111" xfId="0" applyFont="1" applyFill="1" applyBorder="1" applyAlignment="1">
      <alignment horizontal="left" vertical="center" indent="1"/>
    </xf>
    <xf numFmtId="0" fontId="20" fillId="0" borderId="112" xfId="0" applyFont="1" applyBorder="1" applyAlignment="1">
      <alignment horizontal="left" vertical="center" indent="1"/>
    </xf>
    <xf numFmtId="0" fontId="20" fillId="0" borderId="113" xfId="0" applyFont="1" applyBorder="1" applyAlignment="1">
      <alignment horizontal="left" vertical="center" indent="1"/>
    </xf>
    <xf numFmtId="0" fontId="20" fillId="0" borderId="114" xfId="0" applyFont="1" applyBorder="1" applyAlignment="1">
      <alignment horizontal="left" vertical="center" indent="1"/>
    </xf>
    <xf numFmtId="0" fontId="31" fillId="13" borderId="109" xfId="0" applyFont="1" applyFill="1" applyBorder="1" applyAlignment="1">
      <alignment horizontal="center" vertical="center"/>
    </xf>
    <xf numFmtId="0" fontId="40" fillId="0" borderId="110" xfId="0" applyFont="1" applyBorder="1" applyAlignment="1">
      <alignment horizontal="center" vertical="center"/>
    </xf>
    <xf numFmtId="0" fontId="40" fillId="0" borderId="45" xfId="0" applyFont="1" applyBorder="1" applyAlignment="1">
      <alignment horizontal="center" vertical="center"/>
    </xf>
    <xf numFmtId="0" fontId="40" fillId="0" borderId="47" xfId="0" applyFont="1" applyBorder="1" applyAlignment="1">
      <alignment horizontal="center" vertical="center"/>
    </xf>
    <xf numFmtId="165" fontId="21" fillId="13" borderId="115" xfId="0" applyNumberFormat="1" applyFont="1" applyFill="1" applyBorder="1" applyAlignment="1">
      <alignment horizontal="center" vertical="center"/>
    </xf>
    <xf numFmtId="165" fontId="21" fillId="13" borderId="107"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17" xfId="0" applyFont="1" applyFill="1" applyBorder="1" applyAlignment="1">
      <alignment horizontal="center" vertical="center"/>
    </xf>
    <xf numFmtId="0" fontId="20" fillId="0" borderId="118" xfId="0" applyFont="1" applyBorder="1" applyAlignment="1">
      <alignment horizontal="center" vertical="center"/>
    </xf>
    <xf numFmtId="0" fontId="20" fillId="0" borderId="120" xfId="0" applyFont="1" applyBorder="1" applyAlignment="1">
      <alignment horizontal="center" vertical="center"/>
    </xf>
    <xf numFmtId="0" fontId="4" fillId="12" borderId="92" xfId="0" applyFont="1" applyFill="1" applyBorder="1" applyAlignment="1" applyProtection="1">
      <alignment horizontal="left" vertical="top" wrapText="1" indent="1"/>
      <protection locked="0"/>
    </xf>
    <xf numFmtId="0" fontId="7" fillId="0" borderId="33" xfId="0" applyNumberFormat="1" applyFont="1" applyFill="1" applyBorder="1" applyAlignment="1" applyProtection="1">
      <alignment horizontal="center" vertical="center"/>
      <protection hidden="1"/>
    </xf>
    <xf numFmtId="0" fontId="7" fillId="0" borderId="34" xfId="0" applyNumberFormat="1" applyFont="1" applyFill="1" applyBorder="1" applyAlignment="1" applyProtection="1">
      <alignment horizontal="center" vertical="center"/>
      <protection hidden="1"/>
    </xf>
    <xf numFmtId="0" fontId="7" fillId="0" borderId="36" xfId="0" applyNumberFormat="1" applyFont="1" applyFill="1" applyBorder="1" applyAlignment="1" applyProtection="1">
      <alignment horizontal="center" vertical="center"/>
      <protection hidden="1"/>
    </xf>
    <xf numFmtId="0" fontId="7" fillId="0" borderId="67" xfId="0" applyNumberFormat="1" applyFont="1" applyFill="1" applyBorder="1" applyAlignment="1" applyProtection="1">
      <alignment horizontal="center" vertical="center"/>
      <protection hidden="1"/>
    </xf>
    <xf numFmtId="0" fontId="7" fillId="0" borderId="38" xfId="0" applyNumberFormat="1" applyFont="1" applyFill="1" applyBorder="1" applyAlignment="1" applyProtection="1">
      <alignment horizontal="center" vertical="center"/>
      <protection hidden="1"/>
    </xf>
    <xf numFmtId="0" fontId="7" fillId="0" borderId="67" xfId="0" applyNumberFormat="1" applyFont="1" applyFill="1" applyBorder="1" applyAlignment="1" applyProtection="1">
      <alignment vertical="center"/>
      <protection hidden="1"/>
    </xf>
    <xf numFmtId="0" fontId="7" fillId="0" borderId="32" xfId="0" applyNumberFormat="1" applyFont="1" applyFill="1" applyBorder="1" applyAlignment="1" applyProtection="1">
      <alignment horizontal="center" vertical="center"/>
      <protection hidden="1"/>
    </xf>
    <xf numFmtId="0" fontId="7" fillId="0" borderId="35" xfId="0" applyNumberFormat="1" applyFont="1" applyFill="1" applyBorder="1" applyAlignment="1" applyProtection="1">
      <alignment horizontal="center" vertical="center"/>
      <protection hidden="1"/>
    </xf>
    <xf numFmtId="0" fontId="7" fillId="0" borderId="37" xfId="0" applyNumberFormat="1" applyFont="1" applyFill="1" applyBorder="1" applyAlignment="1" applyProtection="1">
      <alignment horizontal="center" vertical="center"/>
      <protection hidden="1"/>
    </xf>
    <xf numFmtId="0" fontId="31" fillId="13" borderId="126" xfId="0" applyFont="1" applyFill="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165" fontId="21" fillId="13" borderId="129" xfId="0" applyNumberFormat="1" applyFont="1" applyFill="1" applyBorder="1" applyAlignment="1">
      <alignment horizontal="center" vertical="center"/>
    </xf>
    <xf numFmtId="0" fontId="20" fillId="0" borderId="130" xfId="0" applyFont="1" applyBorder="1" applyAlignment="1">
      <alignment horizontal="center" vertical="center"/>
    </xf>
    <xf numFmtId="0" fontId="20" fillId="0" borderId="41" xfId="0" applyFont="1" applyBorder="1" applyAlignment="1">
      <alignment horizontal="center" vertical="center"/>
    </xf>
    <xf numFmtId="0" fontId="20" fillId="8" borderId="44"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2" fillId="0" borderId="0" xfId="0" applyNumberFormat="1" applyFont="1" applyFill="1" applyAlignment="1" applyProtection="1">
      <alignment horizontal="center" vertical="center"/>
      <protection hidden="1"/>
    </xf>
    <xf numFmtId="0" fontId="42" fillId="0" borderId="67" xfId="0" applyNumberFormat="1" applyFont="1" applyFill="1" applyBorder="1" applyAlignment="1" applyProtection="1">
      <alignment horizontal="center" vertical="center"/>
      <protection hidden="1"/>
    </xf>
    <xf numFmtId="0" fontId="4" fillId="12" borderId="98" xfId="0" applyFont="1" applyFill="1" applyBorder="1" applyAlignment="1" applyProtection="1">
      <alignment horizontal="left" vertical="top" wrapText="1" indent="1"/>
      <protection locked="0"/>
    </xf>
    <xf numFmtId="0" fontId="4" fillId="14" borderId="90"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xf numFmtId="0" fontId="18" fillId="0" borderId="0" xfId="0" applyFont="1" applyProtection="1"/>
    <xf numFmtId="0" fontId="21" fillId="0" borderId="0" xfId="0" applyFont="1" applyProtection="1"/>
    <xf numFmtId="0" fontId="46" fillId="0" borderId="0" xfId="0" applyFont="1" applyBorder="1" applyAlignment="1">
      <alignment horizontal="left" vertical="center" wrapText="1"/>
    </xf>
    <xf numFmtId="0" fontId="47" fillId="0" borderId="0" xfId="0" applyFont="1" applyAlignment="1">
      <alignment horizontal="right" indent="1"/>
    </xf>
    <xf numFmtId="167" fontId="23" fillId="0" borderId="40" xfId="0" applyNumberFormat="1" applyFont="1" applyBorder="1" applyAlignment="1">
      <alignment horizontal="center" vertical="center"/>
    </xf>
    <xf numFmtId="0" fontId="23" fillId="0" borderId="106" xfId="0" applyNumberFormat="1" applyFont="1" applyBorder="1" applyAlignment="1">
      <alignment horizontal="center" vertical="center"/>
    </xf>
    <xf numFmtId="0" fontId="23" fillId="0" borderId="40" xfId="0" applyNumberFormat="1" applyFont="1" applyBorder="1" applyAlignment="1">
      <alignment horizontal="center" vertical="center"/>
    </xf>
    <xf numFmtId="167" fontId="23" fillId="0" borderId="43"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1" fillId="0" borderId="52" xfId="0" applyFont="1" applyBorder="1" applyAlignment="1">
      <alignment horizontal="center"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0" fontId="21" fillId="0" borderId="145" xfId="0" applyFont="1" applyBorder="1" applyAlignment="1">
      <alignment horizontal="left" vertical="center"/>
    </xf>
    <xf numFmtId="0" fontId="19" fillId="9" borderId="146" xfId="0" applyFont="1" applyFill="1" applyBorder="1" applyAlignment="1">
      <alignment horizontal="center"/>
    </xf>
    <xf numFmtId="0" fontId="19" fillId="9" borderId="109" xfId="0" applyFont="1" applyFill="1" applyBorder="1" applyAlignment="1">
      <alignment horizontal="center"/>
    </xf>
    <xf numFmtId="167" fontId="23" fillId="0" borderId="106" xfId="0" applyNumberFormat="1" applyFont="1" applyBorder="1" applyAlignment="1">
      <alignment horizontal="center" vertical="center"/>
    </xf>
    <xf numFmtId="0" fontId="20" fillId="0" borderId="127" xfId="0" applyFont="1" applyBorder="1" applyAlignment="1">
      <alignment horizontal="left" vertical="center"/>
    </xf>
    <xf numFmtId="0" fontId="20" fillId="0" borderId="119" xfId="0" applyFont="1" applyBorder="1" applyAlignment="1">
      <alignment horizontal="left" vertical="center"/>
    </xf>
    <xf numFmtId="0" fontId="20" fillId="0" borderId="128" xfId="0" applyFont="1" applyBorder="1" applyAlignment="1">
      <alignment horizontal="left" vertical="center"/>
    </xf>
    <xf numFmtId="0" fontId="48" fillId="0" borderId="0" xfId="0" applyNumberFormat="1" applyFont="1" applyAlignment="1">
      <alignment horizontal="center" vertical="center"/>
    </xf>
    <xf numFmtId="0" fontId="0" fillId="0" borderId="149" xfId="0" applyBorder="1"/>
    <xf numFmtId="0" fontId="0" fillId="0" borderId="150" xfId="0" applyBorder="1" applyAlignment="1">
      <alignment horizontal="left" indent="1"/>
    </xf>
    <xf numFmtId="0" fontId="0" fillId="0" borderId="101" xfId="0" applyBorder="1"/>
    <xf numFmtId="0" fontId="0" fillId="0" borderId="102" xfId="0" applyBorder="1" applyAlignment="1">
      <alignment horizontal="left" indent="1"/>
    </xf>
    <xf numFmtId="0" fontId="0" fillId="0" borderId="103" xfId="0" applyBorder="1"/>
    <xf numFmtId="0" fontId="0" fillId="0" borderId="105" xfId="0" applyBorder="1" applyAlignment="1">
      <alignment horizontal="left" indent="1"/>
    </xf>
    <xf numFmtId="0" fontId="7" fillId="0" borderId="152" xfId="0" applyNumberFormat="1" applyFont="1" applyFill="1" applyBorder="1" applyAlignment="1" applyProtection="1">
      <alignment vertical="center"/>
      <protection hidden="1"/>
    </xf>
    <xf numFmtId="0" fontId="7" fillId="0" borderId="151" xfId="0" applyNumberFormat="1" applyFont="1" applyFill="1" applyBorder="1" applyAlignment="1" applyProtection="1">
      <alignment horizontal="center" vertical="center"/>
      <protection hidden="1"/>
    </xf>
    <xf numFmtId="0" fontId="6" fillId="0" borderId="40"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57"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61" xfId="0" applyFont="1" applyFill="1" applyBorder="1" applyAlignment="1">
      <alignment horizontal="center" vertical="center" shrinkToFit="1"/>
    </xf>
    <xf numFmtId="165" fontId="14" fillId="9" borderId="57" xfId="0" applyNumberFormat="1" applyFont="1" applyFill="1" applyBorder="1" applyAlignment="1">
      <alignment vertical="center" shrinkToFit="1"/>
    </xf>
    <xf numFmtId="165" fontId="14" fillId="9" borderId="66" xfId="0" applyNumberFormat="1" applyFont="1" applyFill="1" applyBorder="1" applyAlignment="1">
      <alignment vertical="center" shrinkToFit="1"/>
    </xf>
    <xf numFmtId="0" fontId="6" fillId="0" borderId="131" xfId="0" applyFont="1" applyBorder="1" applyAlignment="1">
      <alignment horizontal="center" vertical="center" shrinkToFit="1"/>
    </xf>
    <xf numFmtId="0" fontId="6" fillId="0" borderId="132"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3" xfId="0" applyFont="1" applyBorder="1" applyAlignment="1">
      <alignment horizontal="right" vertical="center" shrinkToFit="1"/>
    </xf>
    <xf numFmtId="0" fontId="6" fillId="0" borderId="134" xfId="0" applyFont="1" applyBorder="1" applyAlignment="1">
      <alignment horizontal="center" vertical="center" shrinkToFit="1"/>
    </xf>
    <xf numFmtId="0" fontId="6" fillId="0" borderId="131" xfId="0" applyFont="1" applyBorder="1" applyAlignment="1">
      <alignment horizontal="left" vertical="center" shrinkToFit="1"/>
    </xf>
    <xf numFmtId="0" fontId="16" fillId="0" borderId="135" xfId="0" applyFont="1" applyBorder="1" applyAlignment="1">
      <alignment horizontal="center" vertical="center" shrinkToFit="1"/>
    </xf>
    <xf numFmtId="0" fontId="6" fillId="8" borderId="136" xfId="0" applyFont="1" applyFill="1" applyBorder="1" applyAlignment="1">
      <alignment horizontal="center" vertical="center" shrinkToFit="1"/>
    </xf>
    <xf numFmtId="0" fontId="6" fillId="0" borderId="135" xfId="0" applyFont="1" applyBorder="1" applyAlignment="1">
      <alignment horizontal="center" vertical="center" shrinkToFit="1"/>
    </xf>
    <xf numFmtId="0" fontId="6" fillId="0" borderId="124" xfId="0" applyFont="1" applyBorder="1" applyAlignment="1">
      <alignment horizontal="left"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6" xfId="0" applyFont="1" applyBorder="1" applyAlignment="1">
      <alignment horizontal="right" vertical="center" shrinkToFit="1"/>
    </xf>
    <xf numFmtId="0" fontId="6" fillId="0" borderId="51" xfId="0" applyFont="1" applyBorder="1" applyAlignment="1">
      <alignment horizontal="center" vertical="center" shrinkToFit="1"/>
    </xf>
    <xf numFmtId="0" fontId="6" fillId="0" borderId="45" xfId="0" applyFont="1" applyBorder="1" applyAlignment="1">
      <alignment horizontal="left" vertical="center" shrinkToFit="1"/>
    </xf>
    <xf numFmtId="0" fontId="16" fillId="0" borderId="41" xfId="0" applyFont="1" applyBorder="1" applyAlignment="1">
      <alignment horizontal="center" vertical="center" shrinkToFit="1"/>
    </xf>
    <xf numFmtId="0" fontId="6" fillId="0" borderId="39" xfId="0" applyFont="1" applyBorder="1" applyAlignment="1">
      <alignment horizontal="center" vertical="center" shrinkToFit="1"/>
    </xf>
    <xf numFmtId="0" fontId="6" fillId="8" borderId="40" xfId="0" applyFont="1" applyFill="1" applyBorder="1" applyAlignment="1">
      <alignment horizontal="center" vertical="center" shrinkToFit="1"/>
    </xf>
    <xf numFmtId="0" fontId="6" fillId="0" borderId="41" xfId="0" applyFont="1" applyBorder="1" applyAlignment="1">
      <alignment horizontal="center" vertical="center" shrinkToFit="1"/>
    </xf>
    <xf numFmtId="0" fontId="6" fillId="0" borderId="125" xfId="0" applyFont="1" applyBorder="1" applyAlignment="1">
      <alignment horizontal="left" vertical="center" shrinkToFit="1"/>
    </xf>
    <xf numFmtId="0" fontId="6" fillId="0" borderId="47"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8" xfId="0" applyFont="1" applyBorder="1" applyAlignment="1">
      <alignment horizontal="right" vertical="center" shrinkToFit="1"/>
    </xf>
    <xf numFmtId="0" fontId="6" fillId="0" borderId="52" xfId="0" applyFont="1" applyBorder="1" applyAlignment="1">
      <alignment horizontal="center" vertical="center" shrinkToFit="1"/>
    </xf>
    <xf numFmtId="0" fontId="6" fillId="0" borderId="47"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4"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86" xfId="0" applyFill="1" applyBorder="1" applyAlignment="1" applyProtection="1">
      <alignment horizontal="left" indent="1"/>
      <protection locked="0"/>
    </xf>
    <xf numFmtId="0" fontId="7" fillId="0" borderId="0" xfId="0" quotePrefix="1" applyNumberFormat="1" applyFont="1" applyFill="1" applyAlignment="1" applyProtection="1">
      <alignment vertical="center"/>
      <protection hidden="1"/>
    </xf>
    <xf numFmtId="0" fontId="50" fillId="0" borderId="0" xfId="0" applyFont="1"/>
    <xf numFmtId="0" fontId="39" fillId="15" borderId="155" xfId="0"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56" xfId="0" applyNumberFormat="1" applyFont="1" applyFill="1" applyBorder="1" applyAlignment="1" applyProtection="1">
      <alignment horizontal="center" vertical="center"/>
      <protection hidden="1"/>
    </xf>
    <xf numFmtId="0" fontId="51" fillId="0" borderId="156"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57" xfId="2" applyNumberFormat="1" applyBorder="1" applyAlignment="1" applyProtection="1">
      <alignment horizontal="center" vertical="center" readingOrder="1"/>
    </xf>
    <xf numFmtId="0" fontId="7" fillId="13" borderId="161" xfId="0" applyNumberFormat="1" applyFont="1" applyFill="1" applyBorder="1" applyAlignment="1" applyProtection="1">
      <alignment horizontal="center" vertical="center"/>
      <protection hidden="1"/>
    </xf>
    <xf numFmtId="0" fontId="4" fillId="14" borderId="162" xfId="0" applyFont="1" applyFill="1" applyBorder="1" applyAlignment="1" applyProtection="1">
      <alignment horizontal="left" vertical="top" wrapText="1" indent="1"/>
      <protection locked="0"/>
    </xf>
    <xf numFmtId="0" fontId="4" fillId="12" borderId="163" xfId="0" applyFont="1" applyFill="1" applyBorder="1" applyAlignment="1" applyProtection="1">
      <alignment horizontal="left" vertical="top" wrapText="1" indent="1"/>
      <protection locked="0"/>
    </xf>
    <xf numFmtId="0" fontId="4" fillId="14" borderId="164" xfId="0" applyFont="1" applyFill="1" applyBorder="1" applyAlignment="1" applyProtection="1">
      <alignment horizontal="left" vertical="top" wrapText="1" indent="1"/>
      <protection locked="0"/>
    </xf>
    <xf numFmtId="0" fontId="4" fillId="12" borderId="165" xfId="0" applyFont="1" applyFill="1" applyBorder="1" applyAlignment="1" applyProtection="1">
      <alignment horizontal="left" vertical="top" wrapText="1" indent="1"/>
      <protection locked="0"/>
    </xf>
    <xf numFmtId="0" fontId="0" fillId="13" borderId="166" xfId="0" applyFill="1" applyBorder="1" applyAlignment="1" applyProtection="1">
      <alignment horizontal="left" vertical="top" wrapText="1" indent="1"/>
      <protection locked="0"/>
    </xf>
    <xf numFmtId="0" fontId="0" fillId="14" borderId="164" xfId="0" applyFill="1" applyBorder="1" applyAlignment="1" applyProtection="1">
      <alignment horizontal="left" vertical="top" indent="1"/>
      <protection locked="0"/>
    </xf>
    <xf numFmtId="0" fontId="0" fillId="12" borderId="169" xfId="0" applyFill="1" applyBorder="1" applyAlignment="1" applyProtection="1">
      <alignment horizontal="left" vertical="top" indent="1"/>
      <protection locked="0"/>
    </xf>
    <xf numFmtId="0" fontId="0" fillId="13" borderId="170" xfId="0" applyFill="1" applyBorder="1" applyAlignment="1" applyProtection="1">
      <alignment horizontal="left" vertical="top" wrapText="1" indent="1"/>
      <protection locked="0"/>
    </xf>
    <xf numFmtId="0" fontId="0" fillId="14" borderId="171" xfId="0" applyFill="1" applyBorder="1" applyAlignment="1" applyProtection="1">
      <alignment horizontal="left" vertical="top" indent="1"/>
      <protection locked="0"/>
    </xf>
    <xf numFmtId="0" fontId="0" fillId="13" borderId="172" xfId="0" applyFill="1" applyBorder="1" applyAlignment="1" applyProtection="1">
      <alignment horizontal="left" vertical="top" wrapText="1" indent="1"/>
      <protection locked="0"/>
    </xf>
    <xf numFmtId="0" fontId="0" fillId="14" borderId="164" xfId="0" applyFill="1" applyBorder="1" applyAlignment="1" applyProtection="1">
      <alignment horizontal="left" vertical="top" wrapText="1" indent="1"/>
      <protection locked="0"/>
    </xf>
    <xf numFmtId="0" fontId="0" fillId="12" borderId="168" xfId="0" applyFill="1" applyBorder="1" applyAlignment="1" applyProtection="1">
      <alignment horizontal="left" vertical="top" wrapText="1" indent="1"/>
      <protection locked="0"/>
    </xf>
    <xf numFmtId="0" fontId="0" fillId="0" borderId="0" xfId="0" applyAlignment="1"/>
    <xf numFmtId="0" fontId="0" fillId="14" borderId="173"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13" borderId="175" xfId="0" applyFill="1" applyBorder="1" applyAlignment="1" applyProtection="1">
      <alignment horizontal="left" vertical="top" wrapText="1" indent="1"/>
      <protection locked="0"/>
    </xf>
    <xf numFmtId="0" fontId="0" fillId="0" borderId="0" xfId="0" applyAlignment="1">
      <alignment horizontal="right"/>
    </xf>
    <xf numFmtId="0" fontId="52" fillId="15" borderId="155" xfId="0" applyFont="1" applyFill="1" applyBorder="1" applyAlignment="1" applyProtection="1">
      <alignment horizontal="left" vertical="center" indent="1"/>
      <protection locked="0"/>
    </xf>
    <xf numFmtId="0" fontId="39" fillId="0" borderId="0" xfId="0" applyFont="1"/>
    <xf numFmtId="0" fontId="39" fillId="0" borderId="0" xfId="0" applyFont="1" applyAlignment="1"/>
    <xf numFmtId="0" fontId="39" fillId="0" borderId="0" xfId="0" applyFont="1" applyAlignment="1">
      <alignment horizontal="right"/>
    </xf>
    <xf numFmtId="0" fontId="53" fillId="0" borderId="0" xfId="0" applyFont="1"/>
    <xf numFmtId="0" fontId="4" fillId="12" borderId="167" xfId="0" applyFont="1" applyFill="1" applyBorder="1" applyAlignment="1" applyProtection="1">
      <alignment horizontal="left" vertical="top" indent="1"/>
      <protection locked="0"/>
    </xf>
    <xf numFmtId="0" fontId="14" fillId="9" borderId="49" xfId="0" applyFont="1" applyFill="1" applyBorder="1" applyAlignment="1">
      <alignment horizontal="center" vertical="center" shrinkToFit="1"/>
    </xf>
    <xf numFmtId="0" fontId="42" fillId="0" borderId="67" xfId="0" applyNumberFormat="1" applyFont="1" applyFill="1" applyBorder="1" applyAlignment="1" applyProtection="1">
      <alignment horizontal="center" vertical="center"/>
      <protection hidden="1"/>
    </xf>
    <xf numFmtId="0" fontId="5" fillId="0" borderId="0" xfId="0" applyFont="1" applyBorder="1"/>
    <xf numFmtId="0" fontId="38" fillId="0" borderId="0" xfId="0" applyFont="1" applyAlignment="1"/>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4" fillId="0" borderId="0" xfId="0" applyFont="1" applyAlignment="1">
      <alignment vertical="center"/>
    </xf>
    <xf numFmtId="0" fontId="54" fillId="0" borderId="121" xfId="0" applyFont="1" applyBorder="1" applyAlignment="1">
      <alignment horizontal="center" vertical="center" shrinkToFit="1"/>
    </xf>
    <xf numFmtId="0" fontId="54" fillId="0" borderId="122" xfId="0" applyFont="1" applyBorder="1" applyAlignment="1">
      <alignment horizontal="center" vertical="center" shrinkToFit="1"/>
    </xf>
    <xf numFmtId="0" fontId="54" fillId="0" borderId="123" xfId="0" applyFont="1" applyBorder="1" applyAlignment="1">
      <alignment horizontal="center" vertical="center" shrinkToFit="1"/>
    </xf>
    <xf numFmtId="0" fontId="41" fillId="0" borderId="0" xfId="0" applyNumberFormat="1" applyFont="1" applyBorder="1" applyAlignment="1">
      <alignment vertical="top"/>
    </xf>
    <xf numFmtId="0" fontId="23" fillId="0" borderId="142"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6" fillId="0" borderId="176" xfId="0" applyFont="1" applyBorder="1" applyAlignment="1">
      <alignment horizontal="left" vertical="center" shrinkToFit="1"/>
    </xf>
    <xf numFmtId="0" fontId="38" fillId="0" borderId="0" xfId="0" applyFont="1" applyAlignment="1" applyProtection="1">
      <alignment horizontal="center" vertical="center" wrapText="1"/>
    </xf>
    <xf numFmtId="0" fontId="44" fillId="0" borderId="67"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55" fillId="0" borderId="0" xfId="0" applyFont="1" applyAlignment="1" applyProtection="1"/>
    <xf numFmtId="0" fontId="57" fillId="0" borderId="67" xfId="0" applyFont="1" applyFill="1" applyBorder="1" applyAlignment="1"/>
    <xf numFmtId="0" fontId="57"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8" fillId="0" borderId="0" xfId="0" applyFont="1" applyAlignment="1" applyProtection="1">
      <alignment vertical="top" wrapText="1"/>
    </xf>
    <xf numFmtId="165" fontId="29" fillId="0" borderId="67"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2" xfId="0" applyFont="1" applyFill="1" applyBorder="1" applyAlignment="1" applyProtection="1">
      <alignment horizontal="right" vertical="center"/>
    </xf>
    <xf numFmtId="0" fontId="22" fillId="17" borderId="143" xfId="0" applyFont="1" applyFill="1" applyBorder="1" applyAlignment="1" applyProtection="1">
      <alignment horizontal="center" vertical="center"/>
    </xf>
    <xf numFmtId="0" fontId="22" fillId="17" borderId="144" xfId="0" applyFont="1" applyFill="1" applyBorder="1" applyAlignment="1" applyProtection="1">
      <alignment horizontal="left" vertical="center"/>
    </xf>
    <xf numFmtId="0" fontId="22" fillId="17" borderId="46" xfId="0" applyFont="1" applyFill="1" applyBorder="1" applyAlignment="1" applyProtection="1">
      <alignment horizontal="right" vertical="center"/>
    </xf>
    <xf numFmtId="0" fontId="22" fillId="17" borderId="51" xfId="0" applyFont="1" applyFill="1" applyBorder="1" applyAlignment="1" applyProtection="1">
      <alignment horizontal="center" vertical="center"/>
    </xf>
    <xf numFmtId="0" fontId="22" fillId="17" borderId="45" xfId="0" applyFont="1" applyFill="1" applyBorder="1" applyAlignment="1" applyProtection="1">
      <alignment horizontal="left" vertical="center"/>
    </xf>
    <xf numFmtId="0" fontId="22" fillId="17" borderId="52" xfId="0" applyFont="1" applyFill="1" applyBorder="1" applyAlignment="1" applyProtection="1">
      <alignment horizontal="center" vertical="center"/>
    </xf>
    <xf numFmtId="0" fontId="18" fillId="0" borderId="0" xfId="0" applyFont="1" applyAlignment="1">
      <alignment vertical="center"/>
    </xf>
    <xf numFmtId="0" fontId="21" fillId="10" borderId="124" xfId="0" applyFont="1" applyFill="1" applyBorder="1" applyAlignment="1" applyProtection="1">
      <alignment horizontal="center"/>
      <protection locked="0"/>
    </xf>
    <xf numFmtId="0" fontId="21" fillId="10" borderId="125" xfId="0" applyFont="1" applyFill="1" applyBorder="1" applyAlignment="1" applyProtection="1">
      <alignment horizontal="center"/>
      <protection locked="0"/>
    </xf>
    <xf numFmtId="0" fontId="21" fillId="10" borderId="183" xfId="0" applyFont="1" applyFill="1" applyBorder="1" applyAlignment="1" applyProtection="1">
      <alignment horizontal="center"/>
      <protection locked="0"/>
    </xf>
    <xf numFmtId="0" fontId="20" fillId="10" borderId="65" xfId="0" applyFont="1" applyFill="1" applyBorder="1" applyAlignment="1" applyProtection="1">
      <alignment horizontal="center" vertical="center"/>
      <protection locked="0"/>
    </xf>
    <xf numFmtId="0" fontId="20" fillId="10" borderId="185" xfId="0" applyFont="1" applyFill="1" applyBorder="1" applyAlignment="1" applyProtection="1">
      <alignment horizontal="center" vertical="center"/>
      <protection locked="0"/>
    </xf>
    <xf numFmtId="0" fontId="20" fillId="0" borderId="46" xfId="0" applyFont="1" applyBorder="1" applyAlignment="1">
      <alignment horizontal="left" vertical="center"/>
    </xf>
    <xf numFmtId="0" fontId="20" fillId="0" borderId="48" xfId="0" applyFont="1" applyBorder="1" applyAlignment="1">
      <alignment horizontal="left" vertical="center"/>
    </xf>
    <xf numFmtId="0" fontId="20" fillId="0" borderId="45" xfId="0" applyFont="1" applyBorder="1" applyAlignment="1">
      <alignment horizontal="left" vertical="center"/>
    </xf>
    <xf numFmtId="0" fontId="20" fillId="0" borderId="47" xfId="0" applyFont="1" applyBorder="1" applyAlignment="1">
      <alignment horizontal="left" vertical="center"/>
    </xf>
    <xf numFmtId="0" fontId="60" fillId="0" borderId="40" xfId="0" applyFont="1" applyBorder="1" applyAlignment="1">
      <alignment horizontal="center" vertical="center"/>
    </xf>
    <xf numFmtId="0" fontId="60" fillId="0" borderId="43" xfId="0" applyFont="1" applyBorder="1" applyAlignment="1">
      <alignment horizontal="center" vertical="center"/>
    </xf>
    <xf numFmtId="0" fontId="60" fillId="0" borderId="186" xfId="0" applyFont="1" applyBorder="1" applyAlignment="1">
      <alignment horizontal="center" vertical="center"/>
    </xf>
    <xf numFmtId="0" fontId="20" fillId="0" borderId="142" xfId="0" applyFont="1" applyBorder="1" applyAlignment="1">
      <alignment horizontal="left" vertical="center"/>
    </xf>
    <xf numFmtId="0" fontId="20" fillId="0" borderId="143" xfId="0" applyFont="1" applyBorder="1" applyAlignment="1">
      <alignment horizontal="center" vertical="center"/>
    </xf>
    <xf numFmtId="0" fontId="20" fillId="0" borderId="144" xfId="0" applyFont="1" applyBorder="1" applyAlignment="1">
      <alignment horizontal="left" vertical="center"/>
    </xf>
    <xf numFmtId="0" fontId="14" fillId="9" borderId="107" xfId="0" applyFont="1" applyFill="1" applyBorder="1" applyAlignment="1">
      <alignment horizontal="center" vertical="center"/>
    </xf>
    <xf numFmtId="0" fontId="20" fillId="10" borderId="142" xfId="0" applyFont="1" applyFill="1" applyBorder="1" applyAlignment="1" applyProtection="1">
      <alignment horizontal="center" vertical="center"/>
      <protection locked="0"/>
    </xf>
    <xf numFmtId="0" fontId="20" fillId="10" borderId="145" xfId="0" applyFont="1" applyFill="1" applyBorder="1" applyAlignment="1" applyProtection="1">
      <alignment horizontal="center" vertical="center"/>
      <protection locked="0"/>
    </xf>
    <xf numFmtId="0" fontId="20" fillId="10" borderId="46" xfId="0" applyFont="1" applyFill="1" applyBorder="1" applyAlignment="1" applyProtection="1">
      <alignment horizontal="center" vertical="center"/>
      <protection locked="0"/>
    </xf>
    <xf numFmtId="0" fontId="20" fillId="10" borderId="48"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51" xfId="0" applyFont="1" applyFill="1" applyBorder="1" applyAlignment="1">
      <alignment horizontal="center" vertical="center"/>
    </xf>
    <xf numFmtId="0" fontId="21" fillId="0" borderId="186" xfId="0" applyFont="1" applyBorder="1" applyAlignment="1">
      <alignment horizontal="center" vertical="center"/>
    </xf>
    <xf numFmtId="0" fontId="21" fillId="10" borderId="124" xfId="0" applyFont="1" applyFill="1" applyBorder="1" applyAlignment="1" applyProtection="1">
      <alignment horizontal="center" vertical="center"/>
      <protection locked="0"/>
    </xf>
    <xf numFmtId="0" fontId="21" fillId="10" borderId="125" xfId="0" applyFont="1" applyFill="1" applyBorder="1" applyAlignment="1" applyProtection="1">
      <alignment horizontal="center" vertical="center"/>
      <protection locked="0"/>
    </xf>
    <xf numFmtId="0" fontId="21" fillId="0" borderId="187" xfId="0" applyFont="1" applyBorder="1" applyAlignment="1">
      <alignment horizontal="center" vertical="center"/>
    </xf>
    <xf numFmtId="0" fontId="14" fillId="9" borderId="109" xfId="0" applyFont="1" applyFill="1" applyBorder="1" applyAlignment="1">
      <alignment horizontal="center" vertical="center"/>
    </xf>
    <xf numFmtId="167" fontId="21" fillId="0" borderId="144"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14" fillId="0" borderId="36"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183" xfId="0" applyFont="1" applyFill="1" applyBorder="1" applyAlignment="1" applyProtection="1">
      <alignment horizontal="center" vertical="center"/>
      <protection locked="0"/>
    </xf>
    <xf numFmtId="0" fontId="18" fillId="0" borderId="176" xfId="0" applyFont="1" applyBorder="1" applyAlignment="1">
      <alignment vertical="center"/>
    </xf>
    <xf numFmtId="0" fontId="21" fillId="0" borderId="189"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2" xfId="0" applyFont="1" applyBorder="1" applyAlignment="1">
      <alignment horizontal="center" vertical="center"/>
    </xf>
    <xf numFmtId="0" fontId="60" fillId="0" borderId="192" xfId="0" applyFont="1" applyBorder="1" applyAlignment="1">
      <alignment horizontal="center" vertical="center"/>
    </xf>
    <xf numFmtId="0" fontId="20" fillId="0" borderId="193" xfId="0" applyFont="1" applyBorder="1" applyAlignment="1">
      <alignment horizontal="left" vertical="center"/>
    </xf>
    <xf numFmtId="0" fontId="20" fillId="0" borderId="138" xfId="0" applyFont="1" applyBorder="1" applyAlignment="1">
      <alignment horizontal="center" vertical="center"/>
    </xf>
    <xf numFmtId="0" fontId="20" fillId="0" borderId="194" xfId="0" applyFont="1" applyBorder="1" applyAlignment="1">
      <alignment horizontal="left" vertical="center"/>
    </xf>
    <xf numFmtId="0" fontId="20" fillId="10" borderId="193" xfId="0" applyFont="1" applyFill="1" applyBorder="1" applyAlignment="1" applyProtection="1">
      <alignment horizontal="center" vertical="center"/>
      <protection locked="0"/>
    </xf>
    <xf numFmtId="0" fontId="20" fillId="10" borderId="138" xfId="0" applyFont="1" applyFill="1" applyBorder="1" applyAlignment="1">
      <alignment horizontal="center" vertical="center"/>
    </xf>
    <xf numFmtId="0" fontId="20" fillId="10" borderId="139" xfId="0" applyFont="1" applyFill="1" applyBorder="1" applyAlignment="1" applyProtection="1">
      <alignment horizontal="center" vertical="center"/>
      <protection locked="0"/>
    </xf>
    <xf numFmtId="0" fontId="21" fillId="0" borderId="43" xfId="0" applyFont="1" applyBorder="1" applyAlignment="1">
      <alignment horizontal="center" vertical="center"/>
    </xf>
    <xf numFmtId="0" fontId="20" fillId="10" borderId="52" xfId="0" applyFont="1" applyFill="1" applyBorder="1" applyAlignment="1">
      <alignment horizontal="center" vertical="center"/>
    </xf>
    <xf numFmtId="0" fontId="21" fillId="10" borderId="176" xfId="0" applyFont="1" applyFill="1" applyBorder="1" applyAlignment="1" applyProtection="1">
      <alignment horizontal="center" vertical="center"/>
      <protection locked="0"/>
    </xf>
    <xf numFmtId="164" fontId="6" fillId="0" borderId="136" xfId="0" applyNumberFormat="1" applyFont="1" applyBorder="1" applyAlignment="1">
      <alignment vertical="center" shrinkToFit="1"/>
    </xf>
    <xf numFmtId="0" fontId="6" fillId="0" borderId="135" xfId="0" applyFont="1" applyBorder="1" applyAlignment="1">
      <alignment horizontal="left" vertical="center" shrinkToFit="1"/>
    </xf>
    <xf numFmtId="164" fontId="6" fillId="0" borderId="39" xfId="0" applyNumberFormat="1" applyFont="1" applyBorder="1" applyAlignment="1">
      <alignment vertical="center" shrinkToFit="1"/>
    </xf>
    <xf numFmtId="0" fontId="6" fillId="0" borderId="41"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0" fontId="21" fillId="0" borderId="36"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39" xfId="0" applyNumberFormat="1" applyFont="1" applyBorder="1" applyAlignment="1">
      <alignment horizontal="center" vertical="center"/>
    </xf>
    <xf numFmtId="0" fontId="21" fillId="0" borderId="42" xfId="0" applyNumberFormat="1" applyFont="1" applyBorder="1" applyAlignment="1">
      <alignment horizontal="center" vertical="center"/>
    </xf>
    <xf numFmtId="0" fontId="21" fillId="0" borderId="184" xfId="0" applyNumberFormat="1" applyFont="1" applyBorder="1" applyAlignment="1">
      <alignment horizontal="center" vertical="center"/>
    </xf>
    <xf numFmtId="167" fontId="21" fillId="0" borderId="43" xfId="0" applyNumberFormat="1" applyFont="1" applyBorder="1" applyAlignment="1">
      <alignment horizontal="center" vertical="center"/>
    </xf>
    <xf numFmtId="0" fontId="21" fillId="0" borderId="137" xfId="0" applyNumberFormat="1" applyFont="1" applyBorder="1" applyAlignment="1">
      <alignment horizontal="center" vertical="center"/>
    </xf>
    <xf numFmtId="167" fontId="21" fillId="0" borderId="192" xfId="0" applyNumberFormat="1" applyFont="1" applyBorder="1" applyAlignment="1">
      <alignment horizontal="center" vertical="center"/>
    </xf>
    <xf numFmtId="0" fontId="21" fillId="0" borderId="53" xfId="0" applyNumberFormat="1" applyFont="1" applyBorder="1" applyAlignment="1">
      <alignment horizontal="center" vertical="center"/>
    </xf>
    <xf numFmtId="0" fontId="14" fillId="9" borderId="146" xfId="0" applyFont="1" applyFill="1" applyBorder="1" applyAlignment="1">
      <alignment horizontal="center" vertical="center"/>
    </xf>
    <xf numFmtId="164" fontId="20" fillId="18" borderId="137" xfId="0" applyNumberFormat="1" applyFont="1" applyFill="1" applyBorder="1" applyAlignment="1">
      <alignment horizontal="center" vertical="center"/>
    </xf>
    <xf numFmtId="164" fontId="20" fillId="19" borderId="140" xfId="0" applyNumberFormat="1" applyFont="1" applyFill="1" applyBorder="1" applyAlignment="1">
      <alignment horizontal="center" vertical="center"/>
    </xf>
    <xf numFmtId="164" fontId="20" fillId="11" borderId="140" xfId="0" applyNumberFormat="1" applyFont="1" applyFill="1" applyBorder="1" applyAlignment="1">
      <alignment horizontal="center" vertical="center"/>
    </xf>
    <xf numFmtId="164" fontId="20" fillId="0" borderId="140" xfId="0" applyNumberFormat="1" applyFont="1" applyBorder="1" applyAlignment="1">
      <alignment horizontal="center" vertical="center"/>
    </xf>
    <xf numFmtId="164" fontId="20" fillId="0" borderId="184" xfId="0" applyNumberFormat="1" applyFont="1" applyBorder="1" applyAlignment="1">
      <alignment horizontal="center" vertical="center"/>
    </xf>
    <xf numFmtId="0" fontId="18" fillId="0" borderId="0" xfId="0" applyFont="1" applyFill="1" applyBorder="1" applyProtection="1"/>
    <xf numFmtId="0" fontId="0" fillId="0" borderId="0" xfId="0" applyFill="1" applyBorder="1"/>
    <xf numFmtId="0" fontId="30" fillId="0" borderId="0" xfId="3" applyFill="1" applyBorder="1" applyAlignment="1" applyProtection="1">
      <alignment vertical="center"/>
      <protection locked="0"/>
    </xf>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0" xfId="0" applyFont="1" applyFill="1" applyBorder="1" applyAlignment="1">
      <alignment horizontal="center" vertical="center" shrinkToFit="1"/>
    </xf>
    <xf numFmtId="0" fontId="21" fillId="15" borderId="145" xfId="0" applyFont="1" applyFill="1" applyBorder="1" applyAlignment="1" applyProtection="1"/>
    <xf numFmtId="0" fontId="21" fillId="15" borderId="185" xfId="0" applyFont="1" applyFill="1" applyBorder="1" applyAlignment="1" applyProtection="1"/>
    <xf numFmtId="164" fontId="15" fillId="0" borderId="39" xfId="0" applyNumberFormat="1" applyFont="1" applyBorder="1" applyAlignment="1">
      <alignment horizontal="center" vertical="center" shrinkToFit="1"/>
    </xf>
    <xf numFmtId="164" fontId="15" fillId="0" borderId="42" xfId="0" applyNumberFormat="1" applyFont="1" applyBorder="1" applyAlignment="1">
      <alignment horizontal="center" vertical="center" shrinkToFit="1"/>
    </xf>
    <xf numFmtId="0" fontId="6" fillId="0" borderId="40" xfId="0" applyFont="1" applyBorder="1" applyAlignment="1">
      <alignment horizontal="left" vertical="center" shrinkToFit="1"/>
    </xf>
    <xf numFmtId="0" fontId="6" fillId="0" borderId="43" xfId="0" applyFont="1" applyBorder="1" applyAlignment="1">
      <alignment horizontal="left" vertical="center" shrinkToFit="1"/>
    </xf>
    <xf numFmtId="164" fontId="15" fillId="0" borderId="53" xfId="0" applyNumberFormat="1" applyFont="1" applyBorder="1" applyAlignment="1">
      <alignment horizontal="center" vertical="center" shrinkToFit="1"/>
    </xf>
    <xf numFmtId="0" fontId="6" fillId="0" borderId="186" xfId="0" applyFont="1" applyBorder="1" applyAlignment="1">
      <alignment horizontal="left" vertical="center" shrinkToFit="1"/>
    </xf>
    <xf numFmtId="0" fontId="14" fillId="9" borderId="146" xfId="0" applyFont="1" applyFill="1" applyBorder="1" applyAlignment="1">
      <alignment horizontal="center" vertical="center" shrinkToFit="1"/>
    </xf>
    <xf numFmtId="0" fontId="14" fillId="9" borderId="107" xfId="0" applyFont="1" applyFill="1" applyBorder="1" applyAlignment="1">
      <alignment vertical="center" shrinkToFit="1"/>
    </xf>
    <xf numFmtId="0" fontId="14" fillId="9" borderId="129" xfId="0" applyFont="1" applyFill="1" applyBorder="1" applyAlignment="1">
      <alignment horizontal="center" vertical="center" shrinkToFit="1"/>
    </xf>
    <xf numFmtId="0" fontId="5" fillId="0" borderId="0" xfId="0" applyFont="1" applyAlignment="1">
      <alignment wrapText="1"/>
    </xf>
    <xf numFmtId="0" fontId="6" fillId="10" borderId="54" xfId="0" applyFont="1" applyFill="1" applyBorder="1" applyAlignment="1" applyProtection="1">
      <alignment horizontal="center" vertical="center"/>
      <protection locked="0"/>
    </xf>
    <xf numFmtId="0" fontId="6" fillId="10" borderId="41" xfId="0" applyFont="1" applyFill="1" applyBorder="1" applyAlignment="1" applyProtection="1">
      <alignment horizontal="center" vertical="center"/>
      <protection locked="0"/>
    </xf>
    <xf numFmtId="0" fontId="6" fillId="10" borderId="44"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203" xfId="0" applyFont="1" applyBorder="1" applyAlignment="1">
      <alignment horizontal="center" vertical="center"/>
    </xf>
    <xf numFmtId="0" fontId="18" fillId="0" borderId="0" xfId="0" applyFont="1" applyAlignment="1">
      <alignment horizontal="center" vertical="top"/>
    </xf>
    <xf numFmtId="0" fontId="23" fillId="0" borderId="53" xfId="0" applyNumberFormat="1" applyFont="1" applyBorder="1" applyAlignment="1">
      <alignment horizontal="center" vertical="center"/>
    </xf>
    <xf numFmtId="0" fontId="23" fillId="0" borderId="39"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21" fillId="10" borderId="204" xfId="0" applyFont="1" applyFill="1" applyBorder="1" applyAlignment="1" applyProtection="1">
      <alignment horizontal="center"/>
      <protection locked="0"/>
    </xf>
    <xf numFmtId="0" fontId="6" fillId="0" borderId="116" xfId="0" applyFont="1" applyBorder="1" applyAlignment="1">
      <alignment horizontal="center" vertical="center" shrinkToFit="1"/>
    </xf>
    <xf numFmtId="0" fontId="6" fillId="10" borderId="116" xfId="0" applyFont="1" applyFill="1" applyBorder="1" applyAlignment="1">
      <alignment horizontal="center" vertical="center" shrinkToFit="1"/>
    </xf>
    <xf numFmtId="0" fontId="6" fillId="10" borderId="196" xfId="0" applyFont="1" applyFill="1" applyBorder="1" applyAlignment="1" applyProtection="1">
      <alignment horizontal="left" vertical="center" shrinkToFit="1"/>
      <protection locked="0"/>
    </xf>
    <xf numFmtId="0" fontId="6" fillId="10" borderId="51" xfId="0" applyFont="1" applyFill="1" applyBorder="1" applyAlignment="1">
      <alignment horizontal="center" vertical="center" shrinkToFit="1"/>
    </xf>
    <xf numFmtId="0" fontId="6" fillId="10" borderId="65" xfId="0" applyFont="1" applyFill="1" applyBorder="1" applyAlignment="1" applyProtection="1">
      <alignment horizontal="left" vertical="center" shrinkToFit="1"/>
      <protection locked="0"/>
    </xf>
    <xf numFmtId="0" fontId="6" fillId="10" borderId="52" xfId="0" applyFont="1" applyFill="1" applyBorder="1" applyAlignment="1">
      <alignment horizontal="center" vertical="center" shrinkToFit="1"/>
    </xf>
    <xf numFmtId="0" fontId="6" fillId="10" borderId="185" xfId="0" applyFont="1" applyFill="1" applyBorder="1" applyAlignment="1" applyProtection="1">
      <alignment horizontal="left" vertical="center" shrinkToFit="1"/>
      <protection locked="0"/>
    </xf>
    <xf numFmtId="0" fontId="13" fillId="0" borderId="197" xfId="0" applyFont="1" applyBorder="1" applyAlignment="1">
      <alignment horizontal="center" vertical="center" shrinkToFit="1"/>
    </xf>
    <xf numFmtId="0" fontId="13" fillId="0" borderId="140" xfId="0" applyFont="1" applyBorder="1" applyAlignment="1">
      <alignment horizontal="center" vertical="center" shrinkToFit="1"/>
    </xf>
    <xf numFmtId="0" fontId="13" fillId="0" borderId="184" xfId="0" applyFont="1" applyBorder="1" applyAlignment="1">
      <alignment horizontal="center" vertical="center" shrinkToFit="1"/>
    </xf>
    <xf numFmtId="0" fontId="6" fillId="10" borderId="116" xfId="0" applyFont="1" applyFill="1" applyBorder="1" applyAlignment="1" applyProtection="1">
      <alignment horizontal="right" vertical="center" shrinkToFit="1"/>
      <protection locked="0"/>
    </xf>
    <xf numFmtId="0" fontId="6" fillId="10" borderId="51"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0" borderId="195" xfId="0" applyFont="1" applyBorder="1" applyAlignment="1">
      <alignment vertical="center" shrinkToFit="1"/>
    </xf>
    <xf numFmtId="0" fontId="6" fillId="0" borderId="46" xfId="0" applyFont="1" applyBorder="1" applyAlignment="1">
      <alignment vertical="center" shrinkToFit="1"/>
    </xf>
    <xf numFmtId="0" fontId="6" fillId="0" borderId="48" xfId="0" applyFont="1" applyBorder="1" applyAlignment="1">
      <alignment vertical="center" shrinkToFit="1"/>
    </xf>
    <xf numFmtId="0" fontId="6" fillId="0" borderId="110" xfId="0" applyFont="1" applyBorder="1" applyAlignment="1">
      <alignment vertical="center" shrinkToFit="1"/>
    </xf>
    <xf numFmtId="0" fontId="6" fillId="0" borderId="45" xfId="0" applyFont="1" applyBorder="1" applyAlignment="1">
      <alignment vertical="center" shrinkToFit="1"/>
    </xf>
    <xf numFmtId="0" fontId="6" fillId="0" borderId="47" xfId="0" applyFont="1" applyBorder="1" applyAlignment="1">
      <alignment vertical="center" shrinkToFit="1"/>
    </xf>
    <xf numFmtId="0" fontId="20" fillId="0" borderId="0" xfId="0" applyNumberFormat="1" applyFont="1" applyBorder="1" applyAlignment="1">
      <alignment horizontal="left" vertical="center"/>
    </xf>
    <xf numFmtId="0" fontId="21" fillId="0" borderId="121"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05" xfId="0" applyFont="1" applyBorder="1" applyAlignment="1">
      <alignment horizontal="center" vertical="center"/>
    </xf>
    <xf numFmtId="0" fontId="20" fillId="0" borderId="206" xfId="0" applyFont="1" applyBorder="1" applyAlignment="1">
      <alignment horizontal="center" vertical="center"/>
    </xf>
    <xf numFmtId="0" fontId="20" fillId="0" borderId="207" xfId="0" applyFont="1" applyBorder="1" applyAlignment="1">
      <alignment horizontal="center" vertical="center"/>
    </xf>
    <xf numFmtId="0" fontId="0" fillId="0" borderId="217" xfId="0" applyBorder="1"/>
    <xf numFmtId="0" fontId="0" fillId="0" borderId="217"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18" xfId="0" applyFont="1" applyBorder="1" applyAlignment="1">
      <alignment horizontal="center" vertical="center"/>
    </xf>
    <xf numFmtId="165" fontId="18" fillId="0" borderId="0" xfId="0" applyNumberFormat="1" applyFont="1" applyAlignment="1">
      <alignment horizontal="right" indent="1"/>
    </xf>
    <xf numFmtId="0" fontId="21" fillId="0" borderId="202" xfId="0" applyNumberFormat="1" applyFont="1" applyBorder="1" applyAlignment="1">
      <alignment horizontal="center" vertical="center"/>
    </xf>
    <xf numFmtId="167" fontId="21" fillId="0" borderId="186" xfId="0" applyNumberFormat="1" applyFont="1" applyBorder="1" applyAlignment="1">
      <alignment horizontal="center" vertical="center"/>
    </xf>
    <xf numFmtId="0" fontId="21" fillId="15" borderId="65" xfId="0" applyFont="1" applyFill="1" applyBorder="1" applyAlignment="1" applyProtection="1"/>
    <xf numFmtId="0" fontId="18" fillId="15" borderId="202" xfId="0" applyFont="1" applyFill="1" applyBorder="1" applyAlignment="1" applyProtection="1">
      <alignment horizontal="left" vertical="center" indent="1" shrinkToFit="1"/>
    </xf>
    <xf numFmtId="0" fontId="18" fillId="15" borderId="140" xfId="0" applyFont="1" applyFill="1" applyBorder="1" applyAlignment="1" applyProtection="1">
      <alignment horizontal="left" vertical="center" indent="1" shrinkToFit="1"/>
    </xf>
    <xf numFmtId="0" fontId="18" fillId="15" borderId="184" xfId="0" applyFont="1" applyFill="1" applyBorder="1" applyAlignment="1" applyProtection="1">
      <alignment horizontal="left" vertical="center" indent="1" shrinkToFit="1"/>
    </xf>
    <xf numFmtId="167" fontId="51" fillId="15" borderId="143" xfId="0" applyNumberFormat="1" applyFont="1" applyFill="1" applyBorder="1" applyAlignment="1" applyProtection="1">
      <alignment horizontal="right" indent="1"/>
    </xf>
    <xf numFmtId="167" fontId="51" fillId="15" borderId="51" xfId="0" applyNumberFormat="1" applyFont="1" applyFill="1" applyBorder="1" applyAlignment="1" applyProtection="1">
      <alignment horizontal="right" indent="1"/>
    </xf>
    <xf numFmtId="167" fontId="51" fillId="15" borderId="52" xfId="0" applyNumberFormat="1" applyFont="1" applyFill="1" applyBorder="1" applyAlignment="1" applyProtection="1">
      <alignment horizontal="right" indent="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42" fillId="0" borderId="67" xfId="0" applyNumberFormat="1" applyFont="1" applyFill="1" applyBorder="1" applyAlignment="1" applyProtection="1">
      <alignment horizontal="center" vertical="center"/>
      <protection hidden="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14" fillId="9" borderId="49"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26" xfId="0" applyFont="1" applyFill="1" applyBorder="1" applyAlignment="1">
      <alignment horizontal="center" vertical="center"/>
    </xf>
    <xf numFmtId="0" fontId="20" fillId="0" borderId="143" xfId="0" applyFont="1" applyBorder="1" applyAlignment="1">
      <alignment horizontal="left" vertical="center"/>
    </xf>
    <xf numFmtId="0" fontId="20" fillId="0" borderId="51" xfId="0" applyFont="1" applyBorder="1" applyAlignment="1">
      <alignment horizontal="left" vertical="center"/>
    </xf>
    <xf numFmtId="0" fontId="14" fillId="9" borderId="219" xfId="0" applyFont="1" applyFill="1" applyBorder="1" applyAlignment="1">
      <alignment horizontal="center" vertical="center"/>
    </xf>
    <xf numFmtId="0" fontId="19" fillId="9" borderId="146" xfId="0" applyFont="1" applyFill="1" applyBorder="1" applyAlignment="1">
      <alignment vertical="center"/>
    </xf>
    <xf numFmtId="0" fontId="19" fillId="9" borderId="129" xfId="0" applyFont="1" applyFill="1" applyBorder="1" applyAlignment="1">
      <alignment vertical="center" shrinkToFit="1"/>
    </xf>
    <xf numFmtId="164" fontId="6" fillId="0" borderId="136" xfId="0" applyNumberFormat="1"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4" xfId="0" applyFont="1" applyBorder="1" applyAlignment="1">
      <alignment horizontal="center" vertical="center"/>
    </xf>
    <xf numFmtId="0" fontId="20" fillId="0" borderId="54" xfId="0" applyFont="1" applyFill="1" applyBorder="1" applyAlignment="1" applyProtection="1">
      <alignment vertical="center" shrinkToFit="1"/>
    </xf>
    <xf numFmtId="164" fontId="6" fillId="0" borderId="39" xfId="0" applyNumberFormat="1" applyFont="1" applyBorder="1" applyAlignment="1">
      <alignment horizontal="center" vertical="center" shrinkToFit="1"/>
    </xf>
    <xf numFmtId="0" fontId="6" fillId="0" borderId="51" xfId="0" applyFont="1" applyBorder="1" applyAlignment="1">
      <alignment horizontal="center" vertical="center"/>
    </xf>
    <xf numFmtId="49" fontId="24" fillId="0" borderId="39" xfId="0" applyNumberFormat="1" applyFont="1" applyBorder="1" applyAlignment="1">
      <alignment horizontal="center" vertical="center"/>
    </xf>
    <xf numFmtId="0" fontId="20" fillId="0" borderId="41" xfId="0" applyFont="1" applyFill="1" applyBorder="1" applyAlignment="1" applyProtection="1">
      <alignment vertical="center" shrinkToFit="1"/>
    </xf>
    <xf numFmtId="164" fontId="6" fillId="0" borderId="42" xfId="0" applyNumberFormat="1" applyFont="1" applyBorder="1" applyAlignment="1">
      <alignment horizontal="center" vertical="center" shrinkToFit="1"/>
    </xf>
    <xf numFmtId="0" fontId="6" fillId="0" borderId="52" xfId="0" applyFont="1" applyBorder="1" applyAlignment="1">
      <alignment horizontal="center" vertical="center"/>
    </xf>
    <xf numFmtId="49" fontId="24" fillId="0" borderId="42" xfId="0" applyNumberFormat="1" applyFont="1" applyBorder="1" applyAlignment="1">
      <alignment horizontal="center" vertical="center"/>
    </xf>
    <xf numFmtId="0" fontId="20" fillId="0" borderId="44"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25"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0" borderId="226" xfId="0" applyFont="1" applyFill="1" applyBorder="1" applyAlignment="1" applyProtection="1">
      <alignment horizontal="center" vertical="center"/>
    </xf>
    <xf numFmtId="0" fontId="21" fillId="17" borderId="142" xfId="0" applyFont="1" applyFill="1" applyBorder="1" applyAlignment="1">
      <alignment horizontal="right" vertical="center"/>
    </xf>
    <xf numFmtId="0" fontId="21" fillId="17" borderId="143" xfId="0" applyFont="1" applyFill="1" applyBorder="1" applyAlignment="1">
      <alignment horizontal="center" vertical="center"/>
    </xf>
    <xf numFmtId="0" fontId="21" fillId="17" borderId="144" xfId="0" applyFont="1" applyFill="1" applyBorder="1" applyAlignment="1">
      <alignment horizontal="left" vertical="center"/>
    </xf>
    <xf numFmtId="0" fontId="21" fillId="17" borderId="46" xfId="0" applyFont="1" applyFill="1" applyBorder="1" applyAlignment="1">
      <alignment horizontal="right" vertical="center"/>
    </xf>
    <xf numFmtId="0" fontId="21" fillId="17" borderId="51" xfId="0" applyFont="1" applyFill="1" applyBorder="1" applyAlignment="1">
      <alignment horizontal="center" vertical="center"/>
    </xf>
    <xf numFmtId="0" fontId="21" fillId="17" borderId="45" xfId="0" applyFont="1" applyFill="1" applyBorder="1" applyAlignment="1">
      <alignment horizontal="left" vertical="center"/>
    </xf>
    <xf numFmtId="0" fontId="21" fillId="17" borderId="48" xfId="0" applyFont="1" applyFill="1" applyBorder="1" applyAlignment="1">
      <alignment horizontal="right" vertical="center"/>
    </xf>
    <xf numFmtId="0" fontId="21" fillId="17" borderId="52" xfId="0" applyFont="1" applyFill="1" applyBorder="1" applyAlignment="1">
      <alignment horizontal="center" vertical="center"/>
    </xf>
    <xf numFmtId="0" fontId="21" fillId="17" borderId="47" xfId="0" applyFont="1" applyFill="1" applyBorder="1" applyAlignment="1">
      <alignment horizontal="left" vertical="center"/>
    </xf>
    <xf numFmtId="0" fontId="21" fillId="0" borderId="40" xfId="0" applyFont="1" applyBorder="1" applyAlignment="1">
      <alignment horizontal="center" vertical="center"/>
    </xf>
    <xf numFmtId="0" fontId="20" fillId="0" borderId="67" xfId="0" applyFont="1" applyBorder="1" applyAlignment="1">
      <alignment horizontal="left" vertical="center"/>
    </xf>
    <xf numFmtId="0" fontId="20" fillId="0" borderId="67" xfId="0" applyFont="1" applyBorder="1" applyAlignment="1">
      <alignment horizontal="center" vertical="center"/>
    </xf>
    <xf numFmtId="0" fontId="20" fillId="0" borderId="227" xfId="0" applyFont="1" applyBorder="1" applyAlignment="1">
      <alignment horizontal="left" vertical="center"/>
    </xf>
    <xf numFmtId="0" fontId="59" fillId="0" borderId="0" xfId="0" applyFont="1" applyBorder="1" applyAlignment="1">
      <alignment vertical="center"/>
    </xf>
    <xf numFmtId="0" fontId="59" fillId="0" borderId="231" xfId="0" applyFont="1" applyBorder="1" applyAlignment="1">
      <alignment vertical="center"/>
    </xf>
    <xf numFmtId="14" fontId="61" fillId="0" borderId="0" xfId="0" applyNumberFormat="1" applyFont="1" applyBorder="1" applyAlignment="1">
      <alignment vertical="center"/>
    </xf>
    <xf numFmtId="14" fontId="61" fillId="0" borderId="231" xfId="0" applyNumberFormat="1" applyFont="1" applyBorder="1" applyAlignment="1">
      <alignment vertical="center"/>
    </xf>
    <xf numFmtId="0" fontId="61" fillId="0" borderId="0" xfId="0" applyFont="1" applyBorder="1" applyAlignment="1">
      <alignment vertical="center"/>
    </xf>
    <xf numFmtId="0" fontId="61" fillId="0" borderId="231" xfId="0" applyFont="1" applyBorder="1" applyAlignment="1">
      <alignment vertical="center"/>
    </xf>
    <xf numFmtId="165" fontId="21" fillId="0" borderId="0" xfId="0" applyNumberFormat="1" applyFont="1" applyAlignment="1">
      <alignment horizontal="center" vertical="center"/>
    </xf>
    <xf numFmtId="165" fontId="14" fillId="9" borderId="238" xfId="0" applyNumberFormat="1" applyFont="1" applyFill="1" applyBorder="1" applyAlignment="1">
      <alignment vertical="center" shrinkToFit="1"/>
    </xf>
    <xf numFmtId="49" fontId="24" fillId="0" borderId="56" xfId="0" applyNumberFormat="1" applyFont="1" applyBorder="1" applyAlignment="1">
      <alignment horizontal="center" vertical="center"/>
    </xf>
    <xf numFmtId="49" fontId="24" fillId="0" borderId="53" xfId="0" applyNumberFormat="1" applyFont="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7" xfId="0" applyNumberFormat="1" applyFont="1" applyFill="1" applyBorder="1" applyAlignment="1">
      <alignment horizontal="center" vertical="center"/>
    </xf>
    <xf numFmtId="0" fontId="7" fillId="0" borderId="149" xfId="1" applyNumberFormat="1" applyFont="1" applyFill="1" applyBorder="1" applyAlignment="1" applyProtection="1">
      <alignment vertical="center"/>
      <protection hidden="1"/>
    </xf>
    <xf numFmtId="0" fontId="7" fillId="0" borderId="239" xfId="1" applyNumberFormat="1" applyFont="1" applyFill="1" applyBorder="1" applyAlignment="1" applyProtection="1">
      <alignment vertical="center"/>
      <protection hidden="1"/>
    </xf>
    <xf numFmtId="0" fontId="7" fillId="0" borderId="239"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0" xfId="1" applyNumberFormat="1" applyFont="1" applyFill="1" applyBorder="1" applyAlignment="1" applyProtection="1">
      <alignment horizontal="center" vertical="center"/>
      <protection hidden="1"/>
    </xf>
    <xf numFmtId="0" fontId="7" fillId="0" borderId="101"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2" xfId="1" applyNumberFormat="1" applyFont="1" applyFill="1" applyBorder="1" applyAlignment="1" applyProtection="1">
      <alignment horizontal="center" vertical="center"/>
      <protection hidden="1"/>
    </xf>
    <xf numFmtId="0" fontId="7" fillId="0" borderId="103"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166" fontId="7" fillId="0" borderId="104" xfId="1" applyNumberFormat="1" applyFont="1" applyFill="1" applyBorder="1" applyAlignment="1" applyProtection="1">
      <alignment horizontal="center" vertical="center"/>
      <protection hidden="1"/>
    </xf>
    <xf numFmtId="0" fontId="22" fillId="17" borderId="51" xfId="0" applyFont="1" applyFill="1" applyBorder="1" applyAlignment="1" applyProtection="1">
      <alignment horizontal="right" vertical="center"/>
    </xf>
    <xf numFmtId="0" fontId="22" fillId="17" borderId="51" xfId="0" applyFont="1" applyFill="1" applyBorder="1" applyAlignment="1" applyProtection="1">
      <alignment horizontal="left" vertical="center"/>
    </xf>
    <xf numFmtId="0" fontId="22" fillId="17" borderId="51" xfId="0" applyFont="1" applyFill="1" applyBorder="1" applyAlignment="1">
      <alignment horizontal="right"/>
    </xf>
    <xf numFmtId="0" fontId="22" fillId="17" borderId="51" xfId="0" applyFont="1" applyFill="1" applyBorder="1"/>
    <xf numFmtId="0" fontId="23" fillId="0" borderId="48" xfId="0" applyNumberFormat="1" applyFont="1" applyBorder="1" applyAlignment="1">
      <alignment horizontal="center" vertical="center"/>
    </xf>
    <xf numFmtId="0" fontId="22" fillId="17" borderId="52" xfId="0" applyFont="1" applyFill="1" applyBorder="1" applyAlignment="1">
      <alignment horizontal="right"/>
    </xf>
    <xf numFmtId="0" fontId="22" fillId="17" borderId="52" xfId="0" applyFont="1" applyFill="1" applyBorder="1"/>
    <xf numFmtId="0" fontId="21" fillId="0" borderId="48" xfId="0" applyFont="1" applyBorder="1" applyAlignment="1">
      <alignment horizontal="right" vertical="center"/>
    </xf>
    <xf numFmtId="0" fontId="21" fillId="0" borderId="185" xfId="0" applyFont="1" applyBorder="1" applyAlignment="1">
      <alignment horizontal="left" vertical="center"/>
    </xf>
    <xf numFmtId="0" fontId="7" fillId="0" borderId="25" xfId="0" applyNumberFormat="1" applyFont="1" applyFill="1" applyBorder="1" applyAlignment="1" applyProtection="1">
      <alignment vertical="center"/>
      <protection hidden="1"/>
    </xf>
    <xf numFmtId="0" fontId="7" fillId="0" borderId="240" xfId="0" applyNumberFormat="1" applyFont="1" applyFill="1" applyBorder="1" applyAlignment="1" applyProtection="1">
      <alignment horizontal="center" vertical="center"/>
      <protection hidden="1"/>
    </xf>
    <xf numFmtId="166" fontId="7" fillId="0" borderId="239" xfId="1" applyNumberFormat="1" applyFont="1" applyFill="1" applyBorder="1" applyAlignment="1" applyProtection="1">
      <alignment horizontal="center" vertical="center"/>
      <protection hidden="1"/>
    </xf>
    <xf numFmtId="0" fontId="54" fillId="0" borderId="228" xfId="0" applyFont="1" applyBorder="1" applyAlignment="1">
      <alignment horizontal="center" vertical="center" shrinkToFit="1"/>
    </xf>
    <xf numFmtId="165" fontId="14" fillId="9" borderId="49" xfId="0" applyNumberFormat="1" applyFont="1" applyFill="1" applyBorder="1" applyAlignment="1">
      <alignment vertical="center" shrinkToFit="1"/>
    </xf>
    <xf numFmtId="0" fontId="6" fillId="8" borderId="46" xfId="0" applyFont="1" applyFill="1" applyBorder="1" applyAlignment="1">
      <alignment horizontal="center" vertical="center" shrinkToFit="1"/>
    </xf>
    <xf numFmtId="165" fontId="21" fillId="13" borderId="219" xfId="0" applyNumberFormat="1" applyFont="1" applyFill="1" applyBorder="1" applyAlignment="1">
      <alignment horizontal="center" vertical="center"/>
    </xf>
    <xf numFmtId="0" fontId="20" fillId="0" borderId="195" xfId="0" applyFont="1" applyBorder="1" applyAlignment="1">
      <alignment horizontal="center" vertical="center"/>
    </xf>
    <xf numFmtId="0" fontId="20" fillId="0" borderId="46" xfId="0" applyFont="1" applyBorder="1" applyAlignment="1">
      <alignment horizontal="center" vertical="center"/>
    </xf>
    <xf numFmtId="0" fontId="20" fillId="8" borderId="241" xfId="0" applyFont="1" applyFill="1" applyBorder="1" applyAlignment="1">
      <alignment horizontal="center" vertical="center"/>
    </xf>
    <xf numFmtId="0" fontId="20" fillId="0" borderId="48" xfId="0" applyFont="1" applyBorder="1" applyAlignment="1">
      <alignment horizontal="center" vertical="center"/>
    </xf>
    <xf numFmtId="49" fontId="21" fillId="13" borderId="107" xfId="0" applyNumberFormat="1" applyFont="1" applyFill="1" applyBorder="1" applyAlignment="1">
      <alignment horizontal="center" vertical="center"/>
    </xf>
    <xf numFmtId="0" fontId="18" fillId="0" borderId="121" xfId="0" applyFont="1" applyBorder="1" applyAlignment="1">
      <alignment horizontal="left" vertical="center"/>
    </xf>
    <xf numFmtId="0" fontId="18" fillId="0" borderId="122" xfId="0" applyFont="1" applyBorder="1" applyAlignment="1">
      <alignment horizontal="left" vertical="center"/>
    </xf>
    <xf numFmtId="0" fontId="18" fillId="0" borderId="228" xfId="0" applyFont="1" applyBorder="1" applyAlignment="1">
      <alignment horizontal="left" vertical="center"/>
    </xf>
    <xf numFmtId="0" fontId="18" fillId="0" borderId="123" xfId="0" applyFont="1" applyBorder="1" applyAlignment="1">
      <alignment horizontal="left" vertical="center"/>
    </xf>
    <xf numFmtId="0" fontId="58" fillId="0" borderId="0" xfId="0" applyFont="1" applyAlignment="1" applyProtection="1">
      <alignment horizontal="left" vertical="top" wrapText="1" indent="1"/>
    </xf>
    <xf numFmtId="0" fontId="13" fillId="0" borderId="0" xfId="0" applyFont="1" applyAlignment="1">
      <alignment horizontal="left" vertical="center" indent="1"/>
    </xf>
    <xf numFmtId="0" fontId="0" fillId="0" borderId="0" xfId="0" applyFill="1" applyBorder="1" applyAlignment="1">
      <alignment horizontal="center" vertical="center"/>
    </xf>
    <xf numFmtId="0" fontId="68" fillId="0" borderId="0" xfId="0" applyFont="1" applyFill="1" applyBorder="1" applyAlignment="1" applyProtection="1">
      <alignment horizontal="center" vertical="center"/>
      <protection locked="0"/>
    </xf>
    <xf numFmtId="0" fontId="21" fillId="0" borderId="63" xfId="0" applyNumberFormat="1" applyFont="1" applyBorder="1" applyAlignment="1">
      <alignment horizontal="center" vertical="center"/>
    </xf>
    <xf numFmtId="0" fontId="21" fillId="10" borderId="242" xfId="0" applyFont="1" applyFill="1" applyBorder="1" applyAlignment="1" applyProtection="1">
      <alignment horizontal="center" vertical="center"/>
      <protection locked="0"/>
    </xf>
    <xf numFmtId="0" fontId="21" fillId="0" borderId="243" xfId="0" applyNumberFormat="1" applyFont="1" applyBorder="1" applyAlignment="1">
      <alignment horizontal="center" vertical="center"/>
    </xf>
    <xf numFmtId="167" fontId="21" fillId="0" borderId="194"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14" fillId="9" borderId="49" xfId="0" applyFont="1" applyFill="1" applyBorder="1" applyAlignment="1">
      <alignment horizontal="center" vertical="center" shrinkToFit="1"/>
    </xf>
    <xf numFmtId="0" fontId="13" fillId="9" borderId="220" xfId="0" applyFont="1" applyFill="1" applyBorder="1" applyAlignment="1">
      <alignment horizontal="center" vertical="center" shrinkToFit="1"/>
    </xf>
    <xf numFmtId="0" fontId="13" fillId="9" borderId="221" xfId="0" applyFont="1" applyFill="1" applyBorder="1" applyAlignment="1">
      <alignment horizontal="center" vertical="center" shrinkToFit="1"/>
    </xf>
    <xf numFmtId="0" fontId="14" fillId="9" borderId="222" xfId="0" applyFont="1" applyFill="1" applyBorder="1" applyAlignment="1">
      <alignment horizontal="center" vertical="center" shrinkToFit="1"/>
    </xf>
    <xf numFmtId="0" fontId="14" fillId="9" borderId="223" xfId="0" applyFont="1" applyFill="1" applyBorder="1" applyAlignment="1">
      <alignment horizontal="center" vertical="center" shrinkToFit="1"/>
    </xf>
    <xf numFmtId="0" fontId="14" fillId="9" borderId="224" xfId="0" applyFont="1" applyFill="1" applyBorder="1" applyAlignment="1">
      <alignment horizontal="center" vertical="center" shrinkToFit="1"/>
    </xf>
    <xf numFmtId="0" fontId="42" fillId="0" borderId="67" xfId="0" applyNumberFormat="1" applyFont="1" applyFill="1" applyBorder="1" applyAlignment="1" applyProtection="1">
      <alignment horizontal="center" vertical="center"/>
      <protection hidden="1"/>
    </xf>
    <xf numFmtId="165" fontId="18" fillId="0" borderId="0" xfId="0" applyNumberFormat="1" applyFont="1"/>
    <xf numFmtId="164" fontId="6" fillId="0" borderId="0"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horizontal="center" vertical="center"/>
    </xf>
    <xf numFmtId="0" fontId="20" fillId="0" borderId="0" xfId="0" applyFont="1" applyFill="1" applyBorder="1" applyAlignment="1" applyProtection="1">
      <alignment vertical="center" shrinkToFit="1"/>
    </xf>
    <xf numFmtId="0" fontId="6" fillId="0" borderId="0" xfId="0" applyFont="1" applyFill="1" applyBorder="1" applyAlignment="1" applyProtection="1">
      <alignment horizontal="center" vertical="center"/>
      <protection locked="0"/>
    </xf>
    <xf numFmtId="167" fontId="70" fillId="0" borderId="106" xfId="0" applyNumberFormat="1" applyFont="1" applyBorder="1" applyAlignment="1">
      <alignment horizontal="center" vertical="center" shrinkToFit="1"/>
    </xf>
    <xf numFmtId="0" fontId="70" fillId="0" borderId="106" xfId="0" applyFont="1" applyBorder="1" applyAlignment="1">
      <alignment horizontal="center" vertical="center" shrinkToFit="1"/>
    </xf>
    <xf numFmtId="167" fontId="70" fillId="0" borderId="40" xfId="0" applyNumberFormat="1" applyFont="1" applyBorder="1" applyAlignment="1">
      <alignment horizontal="center" vertical="center" shrinkToFit="1"/>
    </xf>
    <xf numFmtId="0" fontId="70" fillId="0" borderId="40" xfId="0" applyFont="1" applyBorder="1" applyAlignment="1">
      <alignment horizontal="center" vertical="center" shrinkToFit="1"/>
    </xf>
    <xf numFmtId="167" fontId="70" fillId="0" borderId="43" xfId="0" applyNumberFormat="1" applyFont="1" applyBorder="1" applyAlignment="1">
      <alignment horizontal="center" vertical="center" shrinkToFit="1"/>
    </xf>
    <xf numFmtId="0" fontId="70" fillId="0" borderId="43" xfId="0" applyFont="1" applyBorder="1" applyAlignment="1">
      <alignment horizontal="center" vertical="center" shrinkToFit="1"/>
    </xf>
    <xf numFmtId="0" fontId="20" fillId="10" borderId="110" xfId="0" applyFont="1" applyFill="1" applyBorder="1" applyAlignment="1" applyProtection="1">
      <alignment horizontal="center" vertical="center"/>
      <protection locked="0"/>
    </xf>
    <xf numFmtId="0" fontId="20" fillId="10" borderId="195" xfId="0" applyFont="1" applyFill="1" applyBorder="1" applyAlignment="1" applyProtection="1">
      <alignment horizontal="center" vertical="center"/>
      <protection locked="0"/>
    </xf>
    <xf numFmtId="0" fontId="20" fillId="10" borderId="45" xfId="0" applyFont="1" applyFill="1" applyBorder="1" applyAlignment="1" applyProtection="1">
      <alignment horizontal="center" vertical="center"/>
      <protection locked="0"/>
    </xf>
    <xf numFmtId="0" fontId="20" fillId="10" borderId="47" xfId="0" applyFont="1" applyFill="1" applyBorder="1" applyAlignment="1" applyProtection="1">
      <alignment horizontal="center" vertical="center"/>
      <protection locked="0"/>
    </xf>
    <xf numFmtId="0" fontId="21" fillId="0" borderId="244" xfId="0" applyNumberFormat="1" applyFont="1" applyBorder="1" applyAlignment="1">
      <alignment horizontal="center" vertical="center"/>
    </xf>
    <xf numFmtId="167" fontId="21" fillId="0" borderId="106" xfId="0" applyNumberFormat="1" applyFont="1" applyBorder="1" applyAlignment="1">
      <alignment horizontal="center" vertical="center"/>
    </xf>
    <xf numFmtId="0" fontId="21" fillId="0" borderId="106" xfId="0" applyFont="1" applyBorder="1" applyAlignment="1">
      <alignment horizontal="center" vertical="center"/>
    </xf>
    <xf numFmtId="0" fontId="60" fillId="0" borderId="106" xfId="0" applyFont="1" applyBorder="1" applyAlignment="1">
      <alignment horizontal="center" vertical="center"/>
    </xf>
    <xf numFmtId="0" fontId="20" fillId="0" borderId="195" xfId="0" applyFont="1" applyBorder="1" applyAlignment="1">
      <alignment horizontal="left" vertical="center"/>
    </xf>
    <xf numFmtId="167" fontId="21" fillId="0" borderId="40" xfId="0" applyNumberFormat="1" applyFont="1" applyBorder="1" applyAlignment="1">
      <alignment horizontal="center" vertical="center"/>
    </xf>
    <xf numFmtId="0" fontId="20" fillId="10" borderId="144" xfId="0" applyFont="1" applyFill="1" applyBorder="1" applyAlignment="1" applyProtection="1">
      <alignment horizontal="center" vertical="center"/>
      <protection locked="0"/>
    </xf>
    <xf numFmtId="0" fontId="20" fillId="10" borderId="194" xfId="0" applyFont="1" applyFill="1" applyBorder="1" applyAlignment="1" applyProtection="1">
      <alignment horizontal="center" vertical="center"/>
      <protection locked="0"/>
    </xf>
    <xf numFmtId="0" fontId="71" fillId="0" borderId="0" xfId="0" applyNumberFormat="1" applyFont="1" applyAlignment="1">
      <alignment horizontal="center"/>
    </xf>
    <xf numFmtId="0" fontId="71" fillId="0" borderId="0" xfId="0" applyNumberFormat="1" applyFont="1" applyAlignment="1"/>
    <xf numFmtId="0" fontId="0" fillId="0" borderId="0" xfId="0"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73" fillId="9" borderId="245" xfId="0" applyFont="1" applyFill="1" applyBorder="1" applyAlignment="1">
      <alignment horizontal="center" vertical="center"/>
    </xf>
    <xf numFmtId="0" fontId="73" fillId="9" borderId="246" xfId="0" applyFont="1" applyFill="1" applyBorder="1" applyAlignment="1">
      <alignment horizontal="center" vertical="center"/>
    </xf>
    <xf numFmtId="0" fontId="73" fillId="9" borderId="247" xfId="0" applyFont="1" applyFill="1" applyBorder="1" applyAlignment="1">
      <alignment horizontal="center" vertical="center"/>
    </xf>
    <xf numFmtId="0" fontId="73" fillId="9" borderId="248" xfId="0" applyFont="1" applyFill="1" applyBorder="1" applyAlignment="1">
      <alignment horizontal="center" vertical="center"/>
    </xf>
    <xf numFmtId="0" fontId="3" fillId="0" borderId="249" xfId="0" applyFont="1" applyBorder="1" applyAlignment="1">
      <alignment horizontal="center" vertical="center"/>
    </xf>
    <xf numFmtId="167" fontId="0" fillId="0" borderId="186" xfId="0" applyNumberFormat="1" applyBorder="1" applyAlignment="1">
      <alignment horizontal="center" vertical="center"/>
    </xf>
    <xf numFmtId="0" fontId="0" fillId="0" borderId="142" xfId="0" applyBorder="1" applyAlignment="1">
      <alignment horizontal="center" vertical="center"/>
    </xf>
    <xf numFmtId="0" fontId="0" fillId="0" borderId="250" xfId="0" applyBorder="1" applyAlignment="1">
      <alignment vertical="center"/>
    </xf>
    <xf numFmtId="167" fontId="0" fillId="0" borderId="40" xfId="0" applyNumberFormat="1" applyBorder="1" applyAlignment="1">
      <alignment horizontal="center" vertical="center"/>
    </xf>
    <xf numFmtId="0" fontId="0" fillId="0" borderId="46" xfId="0" applyBorder="1" applyAlignment="1">
      <alignment horizontal="center" vertical="center"/>
    </xf>
    <xf numFmtId="0" fontId="0" fillId="0" borderId="206" xfId="0" applyBorder="1" applyAlignment="1">
      <alignment vertical="center"/>
    </xf>
    <xf numFmtId="0" fontId="3" fillId="0" borderId="103" xfId="0" applyFont="1" applyBorder="1" applyAlignment="1">
      <alignment horizontal="center" vertical="center"/>
    </xf>
    <xf numFmtId="167" fontId="0" fillId="0" borderId="251" xfId="0" applyNumberFormat="1" applyBorder="1" applyAlignment="1">
      <alignment horizontal="center" vertical="center"/>
    </xf>
    <xf numFmtId="0" fontId="0" fillId="0" borderId="252" xfId="0" applyBorder="1" applyAlignment="1">
      <alignment horizontal="center" vertical="center"/>
    </xf>
    <xf numFmtId="0" fontId="0" fillId="0" borderId="253" xfId="0" applyBorder="1" applyAlignment="1">
      <alignment vertical="center"/>
    </xf>
    <xf numFmtId="0" fontId="74" fillId="0" borderId="0" xfId="0" applyFont="1" applyAlignment="1">
      <alignment horizontal="center"/>
    </xf>
    <xf numFmtId="0" fontId="0" fillId="0" borderId="68" xfId="0" applyBorder="1" applyAlignment="1">
      <alignment horizontal="center"/>
    </xf>
    <xf numFmtId="0" fontId="0" fillId="0" borderId="69" xfId="0" applyNumberFormat="1" applyBorder="1" applyAlignment="1">
      <alignment horizontal="center"/>
    </xf>
    <xf numFmtId="0" fontId="0" fillId="0" borderId="69" xfId="0" applyBorder="1" applyAlignment="1">
      <alignment horizontal="center"/>
    </xf>
    <xf numFmtId="0" fontId="0" fillId="0" borderId="69" xfId="0" applyBorder="1"/>
    <xf numFmtId="0" fontId="0" fillId="0" borderId="70"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0" xfId="0" applyBorder="1" applyAlignment="1">
      <alignment horizontal="left"/>
    </xf>
    <xf numFmtId="0" fontId="0" fillId="0" borderId="73" xfId="0" applyBorder="1" applyAlignment="1">
      <alignment horizontal="left"/>
    </xf>
    <xf numFmtId="0" fontId="14" fillId="9" borderId="107" xfId="0" applyFont="1" applyFill="1" applyBorder="1" applyAlignment="1">
      <alignment horizontal="center" vertical="center"/>
    </xf>
    <xf numFmtId="0" fontId="18" fillId="10" borderId="176" xfId="0" applyFont="1" applyFill="1" applyBorder="1" applyAlignment="1" applyProtection="1">
      <alignment vertical="center"/>
      <protection locked="0"/>
    </xf>
    <xf numFmtId="0" fontId="20" fillId="10" borderId="59"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20" fillId="10" borderId="60" xfId="0" applyFont="1" applyFill="1" applyBorder="1" applyAlignment="1" applyProtection="1">
      <alignment horizontal="left" vertical="center"/>
      <protection locked="0"/>
    </xf>
    <xf numFmtId="0" fontId="21" fillId="0" borderId="140" xfId="0" applyFont="1" applyBorder="1" applyAlignment="1">
      <alignment horizontal="left" vertical="center" indent="1"/>
    </xf>
    <xf numFmtId="0" fontId="21" fillId="15" borderId="198" xfId="0" applyFont="1" applyFill="1" applyBorder="1" applyAlignment="1">
      <alignment horizontal="left" vertical="center" indent="1"/>
    </xf>
    <xf numFmtId="0" fontId="21" fillId="15" borderId="200" xfId="0" applyFont="1" applyFill="1" applyBorder="1" applyAlignment="1">
      <alignment horizontal="left" vertical="center" indent="1"/>
    </xf>
    <xf numFmtId="0" fontId="21" fillId="0" borderId="141" xfId="0" applyFont="1" applyBorder="1" applyAlignment="1">
      <alignment horizontal="left" vertical="center" indent="1"/>
    </xf>
    <xf numFmtId="49" fontId="24" fillId="0" borderId="56" xfId="0" applyNumberFormat="1" applyFont="1" applyBorder="1" applyAlignment="1">
      <alignment horizontal="center" vertical="center"/>
    </xf>
    <xf numFmtId="0" fontId="20" fillId="10" borderId="51" xfId="0" applyFont="1" applyFill="1" applyBorder="1" applyAlignment="1" applyProtection="1">
      <alignment horizontal="right" vertical="center" indent="1"/>
      <protection locked="0"/>
    </xf>
    <xf numFmtId="0" fontId="20" fillId="0" borderId="65" xfId="0" applyFont="1" applyBorder="1" applyAlignment="1">
      <alignment horizontal="left" vertical="center"/>
    </xf>
    <xf numFmtId="0" fontId="19" fillId="9" borderId="57" xfId="0" applyFont="1" applyFill="1" applyBorder="1" applyAlignment="1">
      <alignment horizontal="center" vertical="center"/>
    </xf>
    <xf numFmtId="0" fontId="19" fillId="9" borderId="58" xfId="0" applyFont="1" applyFill="1" applyBorder="1" applyAlignment="1">
      <alignment horizontal="center" vertical="center"/>
    </xf>
    <xf numFmtId="0" fontId="19" fillId="9" borderId="61" xfId="0" applyFont="1" applyFill="1" applyBorder="1" applyAlignment="1">
      <alignment horizontal="left" vertical="center"/>
    </xf>
    <xf numFmtId="0" fontId="19" fillId="9" borderId="62" xfId="0" applyFont="1" applyFill="1" applyBorder="1" applyAlignment="1">
      <alignment horizontal="left" vertical="center"/>
    </xf>
    <xf numFmtId="0" fontId="19" fillId="9" borderId="107" xfId="0" applyFont="1" applyFill="1" applyBorder="1" applyAlignment="1">
      <alignment horizontal="center"/>
    </xf>
    <xf numFmtId="0" fontId="19" fillId="9" borderId="129" xfId="0" applyFont="1" applyFill="1" applyBorder="1" applyAlignment="1">
      <alignment horizontal="center"/>
    </xf>
    <xf numFmtId="0" fontId="21" fillId="0" borderId="137" xfId="0" applyFont="1" applyBorder="1" applyAlignment="1">
      <alignment horizontal="left" vertical="center" indent="1"/>
    </xf>
    <xf numFmtId="0" fontId="67"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67" xfId="0" applyFont="1" applyBorder="1" applyAlignment="1">
      <alignment horizontal="left" vertical="center"/>
    </xf>
    <xf numFmtId="0" fontId="18" fillId="0" borderId="0" xfId="0" applyFont="1" applyAlignment="1">
      <alignment horizontal="center" wrapText="1"/>
    </xf>
    <xf numFmtId="0" fontId="18" fillId="0" borderId="104" xfId="0" applyFont="1" applyBorder="1" applyAlignment="1">
      <alignment horizontal="center" wrapText="1"/>
    </xf>
    <xf numFmtId="167" fontId="20" fillId="10" borderId="138" xfId="0" applyNumberFormat="1" applyFont="1" applyFill="1" applyBorder="1" applyAlignment="1" applyProtection="1">
      <alignment horizontal="right" vertical="center" indent="1"/>
      <protection locked="0"/>
    </xf>
    <xf numFmtId="167" fontId="20" fillId="10" borderId="51" xfId="0" applyNumberFormat="1" applyFont="1" applyFill="1" applyBorder="1" applyAlignment="1" applyProtection="1">
      <alignment horizontal="right" vertical="center" indent="1"/>
      <protection locked="0"/>
    </xf>
    <xf numFmtId="0" fontId="20" fillId="0" borderId="139" xfId="0" applyFont="1" applyBorder="1" applyAlignment="1">
      <alignment horizontal="left" vertical="center"/>
    </xf>
    <xf numFmtId="167" fontId="20" fillId="15" borderId="239" xfId="0" applyNumberFormat="1" applyFont="1" applyFill="1" applyBorder="1" applyAlignment="1">
      <alignment horizontal="right" vertical="center" indent="1"/>
    </xf>
    <xf numFmtId="167" fontId="20" fillId="15" borderId="104" xfId="0" applyNumberFormat="1" applyFont="1" applyFill="1" applyBorder="1" applyAlignment="1">
      <alignment horizontal="right" vertical="center" indent="1"/>
    </xf>
    <xf numFmtId="0" fontId="20" fillId="15" borderId="199" xfId="0" applyFont="1" applyFill="1" applyBorder="1" applyAlignment="1">
      <alignment horizontal="center" vertical="center"/>
    </xf>
    <xf numFmtId="0" fontId="20" fillId="15" borderId="201" xfId="0" applyFont="1" applyFill="1" applyBorder="1" applyAlignment="1">
      <alignment horizontal="center" vertical="center"/>
    </xf>
    <xf numFmtId="165" fontId="65" fillId="0" borderId="0" xfId="0" applyNumberFormat="1" applyFont="1" applyAlignment="1" applyProtection="1">
      <alignment horizontal="left" vertical="top" wrapText="1" indent="1"/>
    </xf>
    <xf numFmtId="0" fontId="20" fillId="10" borderId="75" xfId="0" applyFont="1" applyFill="1" applyBorder="1" applyAlignment="1" applyProtection="1">
      <alignment horizontal="right" vertical="center" indent="1"/>
      <protection locked="0"/>
    </xf>
    <xf numFmtId="0" fontId="64" fillId="0" borderId="65" xfId="0" applyFont="1" applyBorder="1" applyAlignment="1">
      <alignment horizontal="left" vertical="center"/>
    </xf>
    <xf numFmtId="0" fontId="64" fillId="0" borderId="76" xfId="0" applyFont="1" applyBorder="1" applyAlignment="1">
      <alignment horizontal="left" vertical="center"/>
    </xf>
    <xf numFmtId="49" fontId="24" fillId="0" borderId="63"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4" fillId="0" borderId="0" xfId="0" applyFont="1" applyAlignment="1">
      <alignment horizontal="left" vertical="center"/>
    </xf>
    <xf numFmtId="0" fontId="24" fillId="0" borderId="67" xfId="0" applyFont="1" applyBorder="1" applyAlignment="1">
      <alignment horizontal="left" vertical="center"/>
    </xf>
    <xf numFmtId="0" fontId="0" fillId="0" borderId="0" xfId="0" applyAlignment="1">
      <alignment horizontal="center" vertical="center"/>
    </xf>
    <xf numFmtId="0" fontId="49" fillId="0" borderId="0" xfId="0" applyFont="1" applyAlignment="1">
      <alignment horizontal="center" vertical="top" textRotation="90"/>
    </xf>
    <xf numFmtId="0" fontId="38" fillId="0" borderId="0" xfId="0" applyFont="1" applyAlignment="1">
      <alignment horizontal="center"/>
    </xf>
    <xf numFmtId="0" fontId="14" fillId="9" borderId="107" xfId="0" applyFont="1" applyFill="1" applyBorder="1" applyAlignment="1">
      <alignment horizontal="center" vertical="center"/>
    </xf>
    <xf numFmtId="0" fontId="14" fillId="9" borderId="129" xfId="0" applyFont="1" applyFill="1" applyBorder="1" applyAlignment="1">
      <alignment horizontal="center" vertical="center"/>
    </xf>
    <xf numFmtId="0" fontId="56" fillId="16" borderId="177" xfId="0" applyFont="1" applyFill="1" applyBorder="1" applyAlignment="1" applyProtection="1">
      <alignment horizontal="center"/>
    </xf>
    <xf numFmtId="0" fontId="56" fillId="16" borderId="178" xfId="0" applyFont="1" applyFill="1" applyBorder="1" applyAlignment="1" applyProtection="1">
      <alignment horizontal="center"/>
    </xf>
    <xf numFmtId="0" fontId="56" fillId="16" borderId="179" xfId="0" applyFont="1" applyFill="1" applyBorder="1" applyAlignment="1" applyProtection="1">
      <alignment horizontal="center"/>
    </xf>
    <xf numFmtId="0" fontId="56" fillId="16" borderId="180" xfId="0" applyFont="1" applyFill="1" applyBorder="1" applyAlignment="1" applyProtection="1">
      <alignment horizontal="center"/>
    </xf>
    <xf numFmtId="0" fontId="56" fillId="16" borderId="181" xfId="0" applyFont="1" applyFill="1" applyBorder="1" applyAlignment="1" applyProtection="1">
      <alignment horizontal="center"/>
    </xf>
    <xf numFmtId="0" fontId="56" fillId="16" borderId="182" xfId="0" applyFont="1" applyFill="1" applyBorder="1" applyAlignment="1" applyProtection="1">
      <alignment horizontal="center"/>
    </xf>
    <xf numFmtId="0" fontId="14" fillId="9" borderId="49" xfId="0" applyFont="1" applyFill="1" applyBorder="1" applyAlignment="1">
      <alignment horizontal="center" vertical="center" shrinkToFit="1"/>
    </xf>
    <xf numFmtId="0" fontId="14" fillId="9" borderId="33" xfId="0" applyFont="1" applyFill="1" applyBorder="1" applyAlignment="1">
      <alignment horizontal="center" vertical="center" shrinkToFit="1"/>
    </xf>
    <xf numFmtId="0" fontId="14" fillId="9" borderId="50" xfId="0" applyFont="1" applyFill="1" applyBorder="1" applyAlignment="1">
      <alignment horizontal="center" vertical="center" shrinkToFit="1"/>
    </xf>
    <xf numFmtId="0" fontId="13" fillId="9" borderId="32" xfId="0" applyFont="1" applyFill="1" applyBorder="1" applyAlignment="1">
      <alignment horizontal="center" vertical="center" shrinkToFit="1"/>
    </xf>
    <xf numFmtId="0" fontId="13" fillId="9" borderId="34" xfId="0" applyFont="1" applyFill="1" applyBorder="1" applyAlignment="1">
      <alignment horizontal="center" vertical="center" shrinkToFit="1"/>
    </xf>
    <xf numFmtId="0" fontId="55" fillId="0" borderId="67" xfId="0" applyFont="1" applyBorder="1" applyAlignment="1">
      <alignment horizontal="center"/>
    </xf>
    <xf numFmtId="0" fontId="17" fillId="10" borderId="208" xfId="0" applyFont="1" applyFill="1" applyBorder="1" applyAlignment="1" applyProtection="1">
      <alignment horizontal="center" vertical="top"/>
      <protection locked="0"/>
    </xf>
    <xf numFmtId="0" fontId="17" fillId="10" borderId="209" xfId="0" applyFont="1" applyFill="1" applyBorder="1" applyAlignment="1" applyProtection="1">
      <alignment horizontal="center" vertical="top"/>
      <protection locked="0"/>
    </xf>
    <xf numFmtId="0" fontId="17" fillId="10" borderId="210" xfId="0" applyFont="1" applyFill="1" applyBorder="1" applyAlignment="1" applyProtection="1">
      <alignment horizontal="center" vertical="top"/>
      <protection locked="0"/>
    </xf>
    <xf numFmtId="14" fontId="26" fillId="10" borderId="211" xfId="0" applyNumberFormat="1" applyFont="1" applyFill="1" applyBorder="1" applyAlignment="1" applyProtection="1">
      <alignment horizontal="center" vertical="center"/>
      <protection locked="0"/>
    </xf>
    <xf numFmtId="14" fontId="26" fillId="10" borderId="188" xfId="0" applyNumberFormat="1" applyFont="1" applyFill="1" applyBorder="1" applyAlignment="1" applyProtection="1">
      <alignment horizontal="center" vertical="center"/>
      <protection locked="0"/>
    </xf>
    <xf numFmtId="14" fontId="26" fillId="10" borderId="212" xfId="0" applyNumberFormat="1" applyFont="1" applyFill="1" applyBorder="1" applyAlignment="1" applyProtection="1">
      <alignment horizontal="center" vertical="center"/>
      <protection locked="0"/>
    </xf>
    <xf numFmtId="0" fontId="26" fillId="10" borderId="211" xfId="0" applyFont="1" applyFill="1" applyBorder="1" applyAlignment="1" applyProtection="1">
      <alignment horizontal="center" vertical="center"/>
      <protection locked="0"/>
    </xf>
    <xf numFmtId="0" fontId="26" fillId="10" borderId="188" xfId="0" applyFont="1" applyFill="1" applyBorder="1" applyAlignment="1" applyProtection="1">
      <alignment horizontal="center" vertical="center"/>
      <protection locked="0"/>
    </xf>
    <xf numFmtId="0" fontId="26" fillId="10" borderId="212" xfId="0" applyFont="1" applyFill="1" applyBorder="1" applyAlignment="1" applyProtection="1">
      <alignment horizontal="center" vertical="center"/>
      <protection locked="0"/>
    </xf>
    <xf numFmtId="0" fontId="26" fillId="10" borderId="213" xfId="0" applyFont="1" applyFill="1" applyBorder="1" applyAlignment="1" applyProtection="1">
      <alignment horizontal="center" vertical="center"/>
      <protection locked="0"/>
    </xf>
    <xf numFmtId="0" fontId="26" fillId="10" borderId="214" xfId="0" applyFont="1" applyFill="1" applyBorder="1" applyAlignment="1" applyProtection="1">
      <alignment horizontal="center" vertical="center"/>
      <protection locked="0"/>
    </xf>
    <xf numFmtId="0" fontId="26" fillId="10" borderId="215" xfId="0" applyFont="1" applyFill="1" applyBorder="1" applyAlignment="1" applyProtection="1">
      <alignment horizontal="center" vertical="center"/>
      <protection locked="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66" fillId="0" borderId="0" xfId="0" applyFont="1" applyAlignment="1">
      <alignment horizontal="center" wrapText="1"/>
    </xf>
    <xf numFmtId="0" fontId="40" fillId="0" borderId="51" xfId="0" applyFont="1" applyBorder="1" applyAlignment="1">
      <alignment horizontal="left" vertical="center" indent="1"/>
    </xf>
    <xf numFmtId="0" fontId="40" fillId="0" borderId="65" xfId="0" applyFont="1" applyBorder="1" applyAlignment="1">
      <alignment horizontal="left" vertical="center" indent="1"/>
    </xf>
    <xf numFmtId="167" fontId="24" fillId="0" borderId="67" xfId="0" applyNumberFormat="1" applyFont="1" applyBorder="1" applyAlignment="1">
      <alignment horizontal="left"/>
    </xf>
    <xf numFmtId="0" fontId="59" fillId="0" borderId="208" xfId="0" applyFont="1" applyBorder="1" applyAlignment="1">
      <alignment horizontal="center" vertical="center"/>
    </xf>
    <xf numFmtId="0" fontId="59" fillId="0" borderId="209" xfId="0" applyFont="1" applyBorder="1" applyAlignment="1">
      <alignment horizontal="center" vertical="center"/>
    </xf>
    <xf numFmtId="0" fontId="59" fillId="0" borderId="210" xfId="0" applyFont="1" applyBorder="1" applyAlignment="1">
      <alignment horizontal="center" vertical="center"/>
    </xf>
    <xf numFmtId="14" fontId="61" fillId="0" borderId="211" xfId="0" applyNumberFormat="1" applyFont="1" applyBorder="1" applyAlignment="1">
      <alignment horizontal="center" vertical="center"/>
    </xf>
    <xf numFmtId="14" fontId="61" fillId="0" borderId="188" xfId="0" applyNumberFormat="1" applyFont="1" applyBorder="1" applyAlignment="1">
      <alignment horizontal="center" vertical="center"/>
    </xf>
    <xf numFmtId="14" fontId="61" fillId="0" borderId="212" xfId="0" applyNumberFormat="1" applyFont="1" applyBorder="1" applyAlignment="1">
      <alignment horizontal="center" vertical="center"/>
    </xf>
    <xf numFmtId="0" fontId="61" fillId="0" borderId="211" xfId="0" applyFont="1" applyBorder="1" applyAlignment="1">
      <alignment horizontal="center" vertical="center"/>
    </xf>
    <xf numFmtId="0" fontId="61" fillId="0" borderId="188" xfId="0" applyFont="1" applyBorder="1" applyAlignment="1">
      <alignment horizontal="center" vertical="center"/>
    </xf>
    <xf numFmtId="0" fontId="61" fillId="0" borderId="212" xfId="0" applyFont="1" applyBorder="1" applyAlignment="1">
      <alignment horizontal="center" vertical="center"/>
    </xf>
    <xf numFmtId="0" fontId="61" fillId="0" borderId="213" xfId="0" applyFont="1" applyBorder="1" applyAlignment="1">
      <alignment horizontal="center" vertical="center"/>
    </xf>
    <xf numFmtId="0" fontId="61" fillId="0" borderId="214" xfId="0" applyFont="1" applyBorder="1" applyAlignment="1">
      <alignment horizontal="center" vertical="center"/>
    </xf>
    <xf numFmtId="0" fontId="61" fillId="0" borderId="215" xfId="0" applyFont="1" applyBorder="1" applyAlignment="1">
      <alignment horizontal="center" vertical="center"/>
    </xf>
    <xf numFmtId="0" fontId="40" fillId="18" borderId="138" xfId="0" applyFont="1" applyFill="1" applyBorder="1" applyAlignment="1">
      <alignment horizontal="left" vertical="center" indent="1"/>
    </xf>
    <xf numFmtId="0" fontId="40" fillId="18" borderId="139" xfId="0" applyFont="1" applyFill="1" applyBorder="1" applyAlignment="1">
      <alignment horizontal="left" vertical="center" indent="1"/>
    </xf>
    <xf numFmtId="0" fontId="40" fillId="19" borderId="51" xfId="0" applyFont="1" applyFill="1" applyBorder="1" applyAlignment="1">
      <alignment horizontal="left" vertical="center" indent="1"/>
    </xf>
    <xf numFmtId="0" fontId="40" fillId="19" borderId="65" xfId="0" applyFont="1" applyFill="1" applyBorder="1" applyAlignment="1">
      <alignment horizontal="left" vertical="center" indent="1"/>
    </xf>
    <xf numFmtId="0" fontId="40" fillId="11" borderId="51" xfId="0" applyFont="1" applyFill="1" applyBorder="1" applyAlignment="1">
      <alignment horizontal="left" vertical="center" indent="1"/>
    </xf>
    <xf numFmtId="0" fontId="40" fillId="11" borderId="65" xfId="0" applyFont="1" applyFill="1" applyBorder="1" applyAlignment="1">
      <alignment horizontal="left" vertical="center" indent="1"/>
    </xf>
    <xf numFmtId="0" fontId="40" fillId="0" borderId="52" xfId="0" applyFont="1" applyBorder="1" applyAlignment="1">
      <alignment horizontal="left" vertical="center" indent="1"/>
    </xf>
    <xf numFmtId="0" fontId="40" fillId="0" borderId="185" xfId="0" applyFont="1" applyBorder="1" applyAlignment="1">
      <alignment horizontal="left" vertical="center" indent="1"/>
    </xf>
    <xf numFmtId="0" fontId="21" fillId="0" borderId="122" xfId="0" applyFont="1" applyBorder="1" applyAlignment="1">
      <alignment horizontal="left" vertical="center"/>
    </xf>
    <xf numFmtId="0" fontId="21" fillId="0" borderId="123" xfId="0" applyFont="1" applyBorder="1" applyAlignment="1">
      <alignment horizontal="left" vertical="center"/>
    </xf>
    <xf numFmtId="0" fontId="62" fillId="16" borderId="177" xfId="0" applyFont="1" applyFill="1" applyBorder="1" applyAlignment="1">
      <alignment horizontal="center"/>
    </xf>
    <xf numFmtId="0" fontId="62" fillId="16" borderId="178" xfId="0" applyFont="1" applyFill="1" applyBorder="1" applyAlignment="1">
      <alignment horizontal="center"/>
    </xf>
    <xf numFmtId="0" fontId="62" fillId="16" borderId="179" xfId="0" applyFont="1" applyFill="1" applyBorder="1" applyAlignment="1">
      <alignment horizontal="center"/>
    </xf>
    <xf numFmtId="0" fontId="62" fillId="16" borderId="180" xfId="0" applyFont="1" applyFill="1" applyBorder="1" applyAlignment="1">
      <alignment horizontal="center"/>
    </xf>
    <xf numFmtId="0" fontId="62" fillId="16" borderId="181" xfId="0" applyFont="1" applyFill="1" applyBorder="1" applyAlignment="1">
      <alignment horizontal="center"/>
    </xf>
    <xf numFmtId="0" fontId="62" fillId="16" borderId="182" xfId="0" applyFont="1" applyFill="1" applyBorder="1" applyAlignment="1">
      <alignment horizontal="center"/>
    </xf>
    <xf numFmtId="167" fontId="21" fillId="15" borderId="0" xfId="0" applyNumberFormat="1" applyFont="1" applyFill="1" applyBorder="1" applyAlignment="1">
      <alignment horizontal="right" vertical="center" indent="1"/>
    </xf>
    <xf numFmtId="167" fontId="24" fillId="0" borderId="0" xfId="0" applyNumberFormat="1" applyFont="1" applyBorder="1" applyAlignment="1">
      <alignment horizontal="left"/>
    </xf>
    <xf numFmtId="0" fontId="25" fillId="0" borderId="0" xfId="0" applyFont="1" applyAlignment="1">
      <alignment horizontal="center" vertical="center"/>
    </xf>
    <xf numFmtId="0" fontId="45" fillId="0" borderId="0" xfId="0" applyFont="1" applyAlignment="1">
      <alignment horizontal="center" vertical="center"/>
    </xf>
    <xf numFmtId="0" fontId="63" fillId="0" borderId="0" xfId="0" applyFont="1" applyAlignment="1">
      <alignment horizontal="center" vertical="top"/>
    </xf>
    <xf numFmtId="0" fontId="40" fillId="0" borderId="52" xfId="0" applyFont="1" applyBorder="1" applyAlignment="1">
      <alignment horizontal="left" vertical="center"/>
    </xf>
    <xf numFmtId="0" fontId="40" fillId="0" borderId="185" xfId="0" applyFont="1" applyBorder="1" applyAlignment="1">
      <alignment horizontal="left" vertical="center"/>
    </xf>
    <xf numFmtId="167" fontId="24" fillId="0" borderId="216" xfId="0" applyNumberFormat="1" applyFont="1" applyBorder="1" applyAlignment="1">
      <alignment horizontal="left"/>
    </xf>
    <xf numFmtId="0" fontId="21" fillId="0" borderId="190" xfId="0" applyFont="1" applyBorder="1" applyAlignment="1">
      <alignment horizontal="left" vertical="center"/>
    </xf>
    <xf numFmtId="0" fontId="21" fillId="0" borderId="191" xfId="0" applyFont="1" applyBorder="1" applyAlignment="1">
      <alignment horizontal="left" vertical="center"/>
    </xf>
    <xf numFmtId="0" fontId="40" fillId="18" borderId="138" xfId="0" applyFont="1" applyFill="1" applyBorder="1" applyAlignment="1">
      <alignment horizontal="left" vertical="center"/>
    </xf>
    <xf numFmtId="0" fontId="40" fillId="18" borderId="139" xfId="0" applyFont="1" applyFill="1" applyBorder="1" applyAlignment="1">
      <alignment horizontal="left" vertical="center"/>
    </xf>
    <xf numFmtId="0" fontId="40" fillId="19" borderId="51" xfId="0" applyFont="1" applyFill="1" applyBorder="1" applyAlignment="1">
      <alignment horizontal="left" vertical="center"/>
    </xf>
    <xf numFmtId="0" fontId="40" fillId="19" borderId="65" xfId="0" applyFont="1" applyFill="1" applyBorder="1" applyAlignment="1">
      <alignment horizontal="left" vertical="center"/>
    </xf>
    <xf numFmtId="0" fontId="40" fillId="11" borderId="51" xfId="0" applyFont="1" applyFill="1" applyBorder="1" applyAlignment="1">
      <alignment horizontal="left" vertical="center"/>
    </xf>
    <xf numFmtId="0" fontId="40" fillId="11" borderId="65" xfId="0" applyFont="1" applyFill="1" applyBorder="1" applyAlignment="1">
      <alignment horizontal="left" vertical="center"/>
    </xf>
    <xf numFmtId="0" fontId="55" fillId="0" borderId="67" xfId="0" applyFont="1" applyBorder="1" applyAlignment="1">
      <alignment horizontal="left"/>
    </xf>
    <xf numFmtId="0" fontId="69" fillId="0" borderId="67" xfId="0" applyFont="1" applyBorder="1" applyAlignment="1">
      <alignment horizontal="left"/>
    </xf>
    <xf numFmtId="0" fontId="13" fillId="9" borderId="220" xfId="0" applyFont="1" applyFill="1" applyBorder="1" applyAlignment="1">
      <alignment horizontal="center" vertical="center" shrinkToFit="1"/>
    </xf>
    <xf numFmtId="0" fontId="13" fillId="9" borderId="221" xfId="0" applyFont="1" applyFill="1" applyBorder="1" applyAlignment="1">
      <alignment horizontal="center" vertical="center" shrinkToFit="1"/>
    </xf>
    <xf numFmtId="0" fontId="14" fillId="9" borderId="222" xfId="0" applyFont="1" applyFill="1" applyBorder="1" applyAlignment="1">
      <alignment horizontal="center" vertical="center" shrinkToFit="1"/>
    </xf>
    <xf numFmtId="0" fontId="14" fillId="9" borderId="223" xfId="0" applyFont="1" applyFill="1" applyBorder="1" applyAlignment="1">
      <alignment horizontal="center" vertical="center" shrinkToFit="1"/>
    </xf>
    <xf numFmtId="0" fontId="14" fillId="9" borderId="224" xfId="0" applyFont="1" applyFill="1" applyBorder="1" applyAlignment="1">
      <alignment horizontal="center" vertical="center" shrinkToFit="1"/>
    </xf>
    <xf numFmtId="0" fontId="62" fillId="16" borderId="232" xfId="0" applyFont="1" applyFill="1" applyBorder="1" applyAlignment="1">
      <alignment horizontal="center" vertical="center"/>
    </xf>
    <xf numFmtId="0" fontId="62" fillId="16" borderId="233" xfId="0" applyFont="1" applyFill="1" applyBorder="1" applyAlignment="1">
      <alignment horizontal="center" vertical="center"/>
    </xf>
    <xf numFmtId="0" fontId="62" fillId="16" borderId="234" xfId="0" applyFont="1" applyFill="1" applyBorder="1" applyAlignment="1">
      <alignment horizontal="center" vertical="center"/>
    </xf>
    <xf numFmtId="0" fontId="62" fillId="16" borderId="235" xfId="0" applyFont="1" applyFill="1" applyBorder="1" applyAlignment="1">
      <alignment horizontal="center" vertical="center"/>
    </xf>
    <xf numFmtId="0" fontId="62" fillId="16" borderId="236" xfId="0" applyFont="1" applyFill="1" applyBorder="1" applyAlignment="1">
      <alignment horizontal="center" vertical="center"/>
    </xf>
    <xf numFmtId="0" fontId="62" fillId="16" borderId="237" xfId="0" applyFont="1" applyFill="1" applyBorder="1" applyAlignment="1">
      <alignment horizontal="center" vertical="center"/>
    </xf>
    <xf numFmtId="0" fontId="21" fillId="0" borderId="228" xfId="0" applyFont="1" applyBorder="1" applyAlignment="1">
      <alignment horizontal="left" vertical="center"/>
    </xf>
    <xf numFmtId="0" fontId="21" fillId="0" borderId="229" xfId="0" applyFont="1" applyBorder="1" applyAlignment="1">
      <alignment horizontal="left" vertical="center"/>
    </xf>
    <xf numFmtId="0" fontId="21" fillId="0" borderId="230" xfId="0" applyFont="1" applyBorder="1" applyAlignment="1">
      <alignment horizontal="left" vertical="center"/>
    </xf>
    <xf numFmtId="0" fontId="72" fillId="0" borderId="0" xfId="0" applyFont="1" applyAlignment="1">
      <alignment horizontal="center" vertical="center"/>
    </xf>
    <xf numFmtId="0" fontId="35" fillId="13" borderId="89" xfId="0" applyFont="1" applyFill="1" applyBorder="1" applyAlignment="1">
      <alignment horizontal="center" vertical="center" wrapText="1"/>
    </xf>
    <xf numFmtId="0" fontId="35" fillId="13" borderId="91" xfId="0" applyFont="1" applyFill="1" applyBorder="1" applyAlignment="1">
      <alignment horizontal="center" vertical="center"/>
    </xf>
    <xf numFmtId="0" fontId="34" fillId="0" borderId="84"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86" xfId="0" applyBorder="1" applyAlignment="1" applyProtection="1">
      <alignment horizontal="center"/>
      <protection locked="0"/>
    </xf>
    <xf numFmtId="0" fontId="39" fillId="14" borderId="87" xfId="0" applyFont="1" applyFill="1" applyBorder="1" applyAlignment="1">
      <alignment horizontal="center" vertical="center" wrapText="1"/>
    </xf>
    <xf numFmtId="0" fontId="39" fillId="14" borderId="90" xfId="0" applyFont="1" applyFill="1" applyBorder="1" applyAlignment="1">
      <alignment horizontal="center" vertical="center"/>
    </xf>
    <xf numFmtId="0" fontId="39" fillId="12" borderId="153" xfId="0" applyFont="1" applyFill="1" applyBorder="1" applyAlignment="1">
      <alignment horizontal="center" vertical="center" wrapText="1"/>
    </xf>
    <xf numFmtId="0" fontId="39" fillId="12" borderId="154" xfId="0" applyFont="1" applyFill="1" applyBorder="1" applyAlignment="1">
      <alignment horizontal="center" vertical="center"/>
    </xf>
    <xf numFmtId="0" fontId="0" fillId="0" borderId="0" xfId="0" applyAlignment="1">
      <alignment horizontal="left" vertical="top" wrapText="1"/>
    </xf>
    <xf numFmtId="0" fontId="18" fillId="11" borderId="80" xfId="0" applyFont="1" applyFill="1" applyBorder="1" applyAlignment="1" applyProtection="1">
      <alignment horizontal="center"/>
    </xf>
    <xf numFmtId="0" fontId="18" fillId="11" borderId="81" xfId="0" applyFont="1" applyFill="1" applyBorder="1" applyAlignment="1" applyProtection="1">
      <alignment horizontal="center"/>
    </xf>
    <xf numFmtId="0" fontId="18" fillId="11" borderId="147" xfId="0" applyFont="1" applyFill="1" applyBorder="1" applyAlignment="1" applyProtection="1">
      <alignment horizontal="center"/>
    </xf>
    <xf numFmtId="0" fontId="18" fillId="11" borderId="82"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3" xfId="0" applyFont="1" applyFill="1" applyBorder="1" applyAlignment="1" applyProtection="1">
      <alignment horizontal="center" vertical="center"/>
    </xf>
    <xf numFmtId="0" fontId="30" fillId="11" borderId="82"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3" xfId="3" applyFill="1" applyBorder="1" applyAlignment="1" applyProtection="1">
      <alignment horizontal="center" vertical="center"/>
      <protection locked="0"/>
    </xf>
    <xf numFmtId="0" fontId="18" fillId="11" borderId="99" xfId="0" applyFont="1" applyFill="1" applyBorder="1" applyAlignment="1" applyProtection="1">
      <alignment horizontal="center"/>
    </xf>
    <xf numFmtId="0" fontId="18" fillId="11" borderId="100" xfId="0" applyFont="1" applyFill="1" applyBorder="1" applyAlignment="1" applyProtection="1">
      <alignment horizontal="center"/>
    </xf>
    <xf numFmtId="0" fontId="18" fillId="11" borderId="148" xfId="0" applyFont="1" applyFill="1" applyBorder="1" applyAlignment="1" applyProtection="1">
      <alignment horizontal="center"/>
    </xf>
    <xf numFmtId="0" fontId="42" fillId="0" borderId="67" xfId="0" applyNumberFormat="1" applyFont="1" applyFill="1" applyBorder="1" applyAlignment="1" applyProtection="1">
      <alignment horizontal="center" vertical="center"/>
      <protection hidden="1"/>
    </xf>
    <xf numFmtId="3" fontId="7" fillId="0" borderId="108" xfId="0" applyNumberFormat="1" applyFont="1" applyFill="1" applyBorder="1" applyAlignment="1" applyProtection="1">
      <alignment horizontal="center" vertical="center"/>
      <protection hidden="1"/>
    </xf>
    <xf numFmtId="0" fontId="7" fillId="0" borderId="108" xfId="0" applyNumberFormat="1" applyFont="1" applyFill="1" applyBorder="1" applyAlignment="1" applyProtection="1">
      <alignment horizontal="center" vertical="center"/>
      <protection hidden="1"/>
    </xf>
    <xf numFmtId="0" fontId="48" fillId="0" borderId="158" xfId="0" applyNumberFormat="1" applyFont="1" applyBorder="1" applyAlignment="1">
      <alignment horizontal="center" vertical="center"/>
    </xf>
    <xf numFmtId="0" fontId="48" fillId="0" borderId="159" xfId="0" applyNumberFormat="1" applyFont="1" applyBorder="1" applyAlignment="1">
      <alignment horizontal="center" vertical="center"/>
    </xf>
    <xf numFmtId="0" fontId="48" fillId="0" borderId="160" xfId="0" applyNumberFormat="1" applyFont="1" applyBorder="1" applyAlignment="1">
      <alignment horizontal="center" vertic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cellXfs>
  <cellStyles count="4">
    <cellStyle name="Berechnung" xfId="2" builtinId="22"/>
    <cellStyle name="Link" xfId="3" builtinId="8"/>
    <cellStyle name="Standard" xfId="0" builtinId="0"/>
    <cellStyle name="Standard 2" xfId="1" xr:uid="{00000000-0005-0000-0000-000001000000}"/>
  </cellStyles>
  <dxfs count="66">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font>
        <b/>
        <i val="0"/>
        <color rgb="FFDA0000"/>
      </font>
    </dxf>
    <dxf>
      <font>
        <b/>
        <i val="0"/>
        <color rgb="FFDA0000"/>
      </font>
    </dxf>
    <dxf>
      <numFmt numFmtId="165" formatCode=";;;"/>
    </dxf>
    <dxf>
      <font>
        <color theme="2" tint="-9.9948118533890809E-2"/>
      </font>
    </dxf>
    <dxf>
      <font>
        <color theme="2" tint="-9.9948118533890809E-2"/>
      </font>
    </dxf>
    <dxf>
      <font>
        <color theme="2" tint="-9.9948118533890809E-2"/>
      </font>
    </dxf>
    <dxf>
      <font>
        <color rgb="FFDA0000"/>
      </font>
    </dxf>
    <dxf>
      <numFmt numFmtId="165" formatCode=";;;"/>
    </dxf>
    <dxf>
      <font>
        <color rgb="FFDA0000"/>
      </font>
    </dxf>
    <dxf>
      <numFmt numFmtId="165" formatCode=";;;"/>
    </dxf>
    <dxf>
      <font>
        <color theme="2" tint="-9.9948118533890809E-2"/>
      </font>
    </dxf>
    <dxf>
      <numFmt numFmtId="165" formatCode=";;;"/>
    </dxf>
    <dxf>
      <numFmt numFmtId="165" formatCode=";;;"/>
    </dxf>
    <dxf>
      <numFmt numFmtId="165" formatCode=";;;"/>
    </dxf>
    <dxf>
      <numFmt numFmtId="165" formatCode=";;;"/>
    </dxf>
    <dxf>
      <font>
        <color theme="2" tint="-9.9948118533890809E-2"/>
      </font>
    </dxf>
    <dxf>
      <font>
        <color rgb="FFDA0000"/>
      </font>
    </dxf>
    <dxf>
      <font>
        <color rgb="FFDA0000"/>
      </font>
    </dxf>
    <dxf>
      <numFmt numFmtId="165" formatCode=";;;"/>
    </dxf>
    <dxf>
      <numFmt numFmtId="165" formatCode=";;;"/>
    </dxf>
    <dxf>
      <numFmt numFmtId="165" formatCode=";;;"/>
    </dxf>
    <dxf>
      <font>
        <color theme="2" tint="-9.9948118533890809E-2"/>
      </font>
    </dxf>
    <dxf>
      <font>
        <color theme="2" tint="-9.9948118533890809E-2"/>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theme="2" tint="-9.9948118533890809E-2"/>
      </font>
    </dxf>
    <dxf>
      <font>
        <color theme="2" tint="-9.9948118533890809E-2"/>
      </font>
    </dxf>
    <dxf>
      <numFmt numFmtId="165" formatCode=";;;"/>
    </dxf>
    <dxf>
      <numFmt numFmtId="165" formatCode=";;;"/>
    </dxf>
    <dxf>
      <numFmt numFmtId="165" formatCode=";;;"/>
    </dxf>
    <dxf>
      <numFmt numFmtId="165" formatCode=";;;"/>
    </dxf>
    <dxf>
      <numFmt numFmtId="165" formatCode=";;;"/>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color theme="2" tint="-9.9948118533890809E-2"/>
      </font>
    </dxf>
    <dxf>
      <font>
        <b/>
        <i val="0"/>
        <color rgb="FFDA0000"/>
      </font>
      <fill>
        <patternFill patternType="none">
          <bgColor auto="1"/>
        </patternFill>
      </fill>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b/>
        <i val="0"/>
        <color rgb="FFDA0000"/>
      </font>
      <fill>
        <patternFill>
          <bgColor rgb="FFFFFFCC"/>
        </patternFill>
      </fill>
    </dxf>
    <dxf>
      <numFmt numFmtId="30" formatCode="@"/>
    </dxf>
    <dxf>
      <font>
        <color theme="2" tint="-9.9948118533890809E-2"/>
      </font>
    </dxf>
    <dxf>
      <font>
        <b/>
        <i val="0"/>
        <color rgb="FFDA0000"/>
      </font>
    </dxf>
    <dxf>
      <font>
        <b/>
        <i val="0"/>
        <color rgb="FFDA0000"/>
      </font>
      <fill>
        <patternFill>
          <bgColor rgb="FFFFFFCC"/>
        </patternFill>
      </fill>
    </dxf>
    <dxf>
      <fill>
        <patternFill>
          <bgColor rgb="FFFFB4B4"/>
        </patternFill>
      </fill>
    </dxf>
    <dxf>
      <font>
        <b/>
        <i val="0"/>
        <color rgb="FFDA0000"/>
      </font>
      <fill>
        <patternFill>
          <bgColor rgb="FFFFFFCC"/>
        </patternFill>
      </fill>
    </dxf>
  </dxfs>
  <tableStyles count="0" defaultTableStyle="TableStyleMedium2" defaultPivotStyle="PivotStyleLight16"/>
  <colors>
    <mruColors>
      <color rgb="FFFFFFCC"/>
      <color rgb="FFFFF2C9"/>
      <color rgb="FFA50021"/>
      <color rgb="FFFFFFE0"/>
      <color rgb="FFDA0000"/>
      <color rgb="FFFFB4B4"/>
      <color rgb="FFFDECE3"/>
      <color rgb="FFF8F8F8"/>
      <color rgb="FFFFEDB3"/>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638174</xdr:colOff>
      <xdr:row>0</xdr:row>
      <xdr:rowOff>123825</xdr:rowOff>
    </xdr:from>
    <xdr:to>
      <xdr:col>5</xdr:col>
      <xdr:colOff>428625</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4"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D9579C8D-2493-4402-8C05-9431690EF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B531A2C4-B2DF-4FE7-8AC5-4E69E3648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4F716205-F885-4C0B-B38E-34C64C33C3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28575</xdr:colOff>
      <xdr:row>0</xdr:row>
      <xdr:rowOff>142875</xdr:rowOff>
    </xdr:from>
    <xdr:to>
      <xdr:col>5</xdr:col>
      <xdr:colOff>9526</xdr:colOff>
      <xdr:row>5</xdr:row>
      <xdr:rowOff>108432</xdr:rowOff>
    </xdr:to>
    <xdr:pic>
      <xdr:nvPicPr>
        <xdr:cNvPr id="2" name="Grafik 1">
          <a:extLst>
            <a:ext uri="{FF2B5EF4-FFF2-40B4-BE49-F238E27FC236}">
              <a16:creationId xmlns:a16="http://schemas.microsoft.com/office/drawing/2014/main" id="{D540E453-DBB2-46D8-AAED-33B65FA17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42875"/>
          <a:ext cx="1304926" cy="17372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390523</xdr:colOff>
      <xdr:row>2</xdr:row>
      <xdr:rowOff>66673</xdr:rowOff>
    </xdr:from>
    <xdr:to>
      <xdr:col>22</xdr:col>
      <xdr:colOff>0</xdr:colOff>
      <xdr:row>54</xdr:row>
      <xdr:rowOff>9524</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3"/>
          <a:ext cx="7620002" cy="8362951"/>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a:t>
          </a:r>
          <a:r>
            <a:rPr lang="de-DE" sz="1400" b="0" baseline="0">
              <a:solidFill>
                <a:sysClr val="windowText" lastClr="000000"/>
              </a:solidFill>
              <a:latin typeface="+mn-lt"/>
              <a:ea typeface="+mn-ea"/>
              <a:cs typeface="+mn-cs"/>
            </a:rPr>
            <a:t>" werden auch die Plätze 5 bis 8 durch ein Halbfinale (Gruppendritte und Gruppenvierte) und zwei Finalspiele ausgespielt, ansonsten wie Endrunde 2.</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spielen in gleicher Weise um die Plätze 9 bis 12 usw.</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12</xdr:col>
      <xdr:colOff>9524</xdr:colOff>
      <xdr:row>56</xdr:row>
      <xdr:rowOff>9525</xdr:rowOff>
    </xdr:from>
    <xdr:to>
      <xdr:col>21</xdr:col>
      <xdr:colOff>761999</xdr:colOff>
      <xdr:row>101</xdr:row>
      <xdr:rowOff>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9077325"/>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66675</xdr:rowOff>
    </xdr:from>
    <xdr:to>
      <xdr:col>11</xdr:col>
      <xdr:colOff>9525</xdr:colOff>
      <xdr:row>54</xdr:row>
      <xdr:rowOff>9525</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5"/>
          <a:ext cx="7620002" cy="836295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Finals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Finals 2</a:t>
          </a:r>
          <a:r>
            <a:rPr lang="de-DE" sz="1400"/>
            <a:t>" the first four places will be determined by a semi-final (group first and runners-up) and two finals, the other places as in "Finals 1".</a:t>
          </a:r>
        </a:p>
        <a:p>
          <a:pPr marL="0" indent="0"/>
          <a:endParaRPr lang="de-DE" sz="1400"/>
        </a:p>
        <a:p>
          <a:pPr marL="0" indent="0"/>
          <a:r>
            <a:rPr lang="de-DE" sz="1400"/>
            <a:t>In "</a:t>
          </a:r>
          <a:r>
            <a:rPr lang="de-DE" sz="1400" b="1"/>
            <a:t>Finals 2a</a:t>
          </a:r>
          <a:r>
            <a:rPr lang="de-DE" sz="1400"/>
            <a:t>", places 5 to 8 will also be decided through a semi-final (third and fourth placed teams) and two finals, otherwise as in Final Round 2.</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Finals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play in the same way for places 9 to 12 ect.</a:t>
          </a:r>
          <a:endParaRPr lang="de-DE" sz="1400">
            <a:effectLst/>
          </a:endParaRPr>
        </a:p>
        <a:p>
          <a:r>
            <a:rPr lang="de-DE" sz="1400">
              <a:solidFill>
                <a:schemeClr val="dk1"/>
              </a:solidFill>
              <a:effectLst/>
              <a:latin typeface="+mn-lt"/>
              <a:ea typeface="+mn-ea"/>
              <a:cs typeface="+mn-cs"/>
            </a:rPr>
            <a:t>Can also be played with different numbers of teams per group.</a:t>
          </a:r>
          <a:endParaRPr lang="de-DE" sz="1400">
            <a:effectLst/>
          </a:endParaRPr>
        </a:p>
      </xdr:txBody>
    </xdr:sp>
    <xdr:clientData/>
  </xdr:twoCellAnchor>
  <xdr:twoCellAnchor>
    <xdr:from>
      <xdr:col>1</xdr:col>
      <xdr:colOff>9524</xdr:colOff>
      <xdr:row>56</xdr:row>
      <xdr:rowOff>19050</xdr:rowOff>
    </xdr:from>
    <xdr:to>
      <xdr:col>10</xdr:col>
      <xdr:colOff>761999</xdr:colOff>
      <xdr:row>101</xdr:row>
      <xdr:rowOff>9525</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71524" y="908685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and "</a:t>
          </a:r>
          <a:r>
            <a:rPr lang="de-DE" sz="1400" b="1"/>
            <a:t>DirComparison_B</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E81"/>
  <sheetViews>
    <sheetView showGridLines="0" showRowColHeaders="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32.140625" style="165" customWidth="1"/>
    <col min="18" max="18" width="12.42578125" style="165" customWidth="1"/>
    <col min="19" max="19" width="11.42578125" style="165" customWidth="1"/>
    <col min="20" max="20" width="10.7109375" style="165" customWidth="1"/>
    <col min="21" max="21" width="11.42578125" hidden="1" customWidth="1"/>
    <col min="22" max="31" width="4.7109375" hidden="1" customWidth="1"/>
    <col min="32" max="16384" width="11.42578125" hidden="1"/>
  </cols>
  <sheetData>
    <row r="1" spans="1:31" ht="9.75" customHeight="1" x14ac:dyDescent="0.25">
      <c r="A1" s="159"/>
    </row>
    <row r="2" spans="1:31" ht="33.75" x14ac:dyDescent="0.5">
      <c r="A2" s="158"/>
      <c r="B2" s="234"/>
      <c r="C2" s="234"/>
      <c r="D2" s="234"/>
      <c r="E2" s="657" t="str">
        <f>Language!$E$30</f>
        <v>Participants and schedule</v>
      </c>
      <c r="F2" s="657"/>
      <c r="G2" s="657"/>
      <c r="H2" s="657"/>
      <c r="I2" s="657"/>
      <c r="J2" s="657"/>
      <c r="K2" s="657"/>
      <c r="L2" s="657"/>
      <c r="M2" s="657"/>
      <c r="N2" s="657"/>
      <c r="O2" s="234"/>
      <c r="P2" s="234"/>
      <c r="Q2" s="234"/>
      <c r="R2" s="234"/>
      <c r="S2" s="234"/>
    </row>
    <row r="3" spans="1:31" x14ac:dyDescent="0.25"/>
    <row r="4" spans="1:31" ht="29.25" customHeight="1" thickBot="1" x14ac:dyDescent="0.3">
      <c r="C4" s="285" t="str">
        <f>Language!$E$16&amp;" A"</f>
        <v>Group A</v>
      </c>
      <c r="D4" s="167"/>
      <c r="E4" s="658" t="str">
        <f>Language!$E$32</f>
        <v>Schedule</v>
      </c>
      <c r="F4" s="658"/>
      <c r="G4" s="307"/>
      <c r="H4" s="307"/>
      <c r="I4" s="307"/>
      <c r="J4" s="307"/>
      <c r="K4" s="307"/>
      <c r="L4" s="307"/>
      <c r="M4" s="307"/>
      <c r="N4" s="307"/>
      <c r="O4" s="659" t="str">
        <f>Language!$E$20</f>
        <v>Addit. Pause (min)</v>
      </c>
      <c r="Q4" s="358" t="str">
        <f>Language!$E$41</f>
        <v>Playing times</v>
      </c>
    </row>
    <row r="5" spans="1:31" ht="15.95" customHeight="1" thickTop="1" thickBot="1" x14ac:dyDescent="0.3">
      <c r="A5" s="69"/>
      <c r="B5" s="649"/>
      <c r="C5" s="651" t="str">
        <f>Language!$E$10</f>
        <v>Participant or team</v>
      </c>
      <c r="D5" s="65"/>
      <c r="E5" s="181" t="str">
        <f>Language!$E$33</f>
        <v>Game no.</v>
      </c>
      <c r="F5" s="182" t="str">
        <f>Language!$E$39</f>
        <v>Start</v>
      </c>
      <c r="G5" s="182" t="str">
        <f>Language!$E$48</f>
        <v>Field</v>
      </c>
      <c r="H5" s="182" t="str">
        <f>Language!$E$17</f>
        <v>Grp</v>
      </c>
      <c r="I5" s="653" t="str">
        <f>Language!$E$34</f>
        <v>Pairings</v>
      </c>
      <c r="J5" s="653"/>
      <c r="K5" s="653"/>
      <c r="L5" s="653" t="str">
        <f>Language!$E$31</f>
        <v>Participants</v>
      </c>
      <c r="M5" s="653"/>
      <c r="N5" s="654"/>
      <c r="O5" s="660"/>
      <c r="Q5" s="655" t="str">
        <f>Language!$E$39</f>
        <v>Start</v>
      </c>
      <c r="R5" s="661">
        <v>0.375</v>
      </c>
      <c r="S5" s="663" t="str">
        <f>Language!$E$45</f>
        <v xml:space="preserve"> </v>
      </c>
      <c r="T5" s="166"/>
      <c r="V5" s="560"/>
      <c r="W5" s="560"/>
      <c r="X5" s="560"/>
      <c r="Y5" s="560"/>
      <c r="Z5" s="560"/>
      <c r="AA5" s="560"/>
      <c r="AB5" s="560"/>
      <c r="AC5" s="560"/>
      <c r="AD5" s="560"/>
      <c r="AE5" s="560"/>
    </row>
    <row r="6" spans="1:31" ht="15.95" customHeight="1" x14ac:dyDescent="0.25">
      <c r="A6" s="69"/>
      <c r="B6" s="650"/>
      <c r="C6" s="652"/>
      <c r="D6" s="455">
        <v>1</v>
      </c>
      <c r="E6" s="420">
        <f>IF($D6&gt;Calc1!$B$14,"",1)</f>
        <v>1</v>
      </c>
      <c r="F6" s="183">
        <f>IF(OR($U$16,$D6&gt;Calc1!$B$14),"",$R$5)</f>
        <v>0.375</v>
      </c>
      <c r="G6" s="173" t="str">
        <f>IF(OR($U$16,$D6&gt;Calc1!$B$14),"","1")</f>
        <v>1</v>
      </c>
      <c r="H6" s="290" t="str">
        <f ca="1">IF($I6="","",IF(LEFT($I6,1)&lt;&gt;LEFT($K6,1),"??",LEFT($I6,1)))</f>
        <v>A</v>
      </c>
      <c r="I6" s="310" t="str">
        <f t="array" aca="1" ref="I6:I77" ca="1">IF(Calc1!$F$14&lt;3,"",IF(OFFSET(Pairings!$A$1,0,(Calc1!$F$14-2)*4-1,72,1)="","",OFFSET(Pairings!$A$1,0,(Calc1!$F$14-2)*4-1,72,1)))</f>
        <v>A1</v>
      </c>
      <c r="J6" s="311" t="s">
        <v>5</v>
      </c>
      <c r="K6" s="312" t="str">
        <f t="array" aca="1" ref="K6:K77" ca="1">IF(Calc1!$F$14&lt;3,"",IF(OFFSET(Pairings!$A$1,0,(Calc1!$F$14-2)*4,72,1)="","",OFFSET(Pairings!$A$1,0,(Calc1!$F$14-2)*4,72,1)))</f>
        <v>A8</v>
      </c>
      <c r="L6" s="178" t="str">
        <f t="shared" ref="L6:L34" ca="1" si="0">IF($I6="","",IF(VLOOKUP($I6,$B$7:$C$48,2,0)="","",VLOOKUP($I6,$B$7:$C$48,2,0)))</f>
        <v>1. FC Riedwald</v>
      </c>
      <c r="M6" s="179" t="s">
        <v>5</v>
      </c>
      <c r="N6" s="180" t="str">
        <f t="shared" ref="N6:N34" ca="1" si="1">IF($K6="","",IF(VLOOKUP($K6,$B$7:$C$48,2,0)="","",VLOOKUP($K6,$B$7:$C$48,2,0)))</f>
        <v>Knock Out Rangers</v>
      </c>
      <c r="O6" s="318"/>
      <c r="P6" s="308"/>
      <c r="Q6" s="642"/>
      <c r="R6" s="662"/>
      <c r="S6" s="648"/>
      <c r="T6" s="166"/>
      <c r="V6" s="560"/>
      <c r="W6" s="561"/>
      <c r="X6" s="561"/>
      <c r="Y6" s="561"/>
      <c r="Z6" s="561"/>
      <c r="AA6" s="561"/>
      <c r="AB6" s="561"/>
      <c r="AC6" s="561"/>
      <c r="AD6" s="561"/>
      <c r="AE6" s="561"/>
    </row>
    <row r="7" spans="1:31" ht="15.95" customHeight="1" x14ac:dyDescent="0.25">
      <c r="A7" s="69"/>
      <c r="B7" s="646" t="s">
        <v>208</v>
      </c>
      <c r="C7" s="641" t="s">
        <v>265</v>
      </c>
      <c r="D7" s="455">
        <v>2</v>
      </c>
      <c r="E7" s="421">
        <f t="array" aca="1" ref="E7" ca="1">IF($D7&gt;Calc1!$B$14,"",ROW(2:2)-SUM((($L$6:$L6="")+($N$6:$N6="")&gt;0)*1))</f>
        <v>2</v>
      </c>
      <c r="F7" s="172">
        <f ca="1">IF(OR($U$16,$D7&gt;Calc1!$B$14),"",$R$5+QUOTIENT(($E7-1),$U$18)*($R$7+$R$9)/1440+SUM($O$6:$O6)/1440)</f>
        <v>0.375</v>
      </c>
      <c r="G7" s="174">
        <f ca="1">IF(OR($U$16,$D7&gt;Calc1!$B$14),"",MOD($E7-1,$U$18)+1)</f>
        <v>2</v>
      </c>
      <c r="H7" s="290" t="str">
        <f t="shared" ref="H7:H77" ca="1" si="2">IF($I7="","",IF(LEFT($I7,1)&lt;&gt;LEFT($K7,1),"??",LEFT($I7,1)))</f>
        <v>B</v>
      </c>
      <c r="I7" s="313" t="str">
        <f ca="1"/>
        <v>B1</v>
      </c>
      <c r="J7" s="314" t="s">
        <v>5</v>
      </c>
      <c r="K7" s="315" t="str">
        <f ca="1"/>
        <v>B8</v>
      </c>
      <c r="L7" s="178" t="str">
        <f t="shared" ca="1" si="0"/>
        <v>Mainz 05</v>
      </c>
      <c r="M7" s="50" t="s">
        <v>5</v>
      </c>
      <c r="N7" s="180" t="str">
        <f t="shared" ca="1" si="1"/>
        <v>Borussia Heine</v>
      </c>
      <c r="O7" s="319"/>
      <c r="P7" s="308"/>
      <c r="Q7" s="642" t="str">
        <f>Language!$E$42</f>
        <v>Playing time per match:</v>
      </c>
      <c r="R7" s="647">
        <v>30</v>
      </c>
      <c r="S7" s="648" t="s">
        <v>165</v>
      </c>
      <c r="T7" s="123"/>
      <c r="V7" s="560"/>
      <c r="W7" s="561"/>
      <c r="X7" s="561"/>
      <c r="Y7" s="561"/>
      <c r="Z7" s="561"/>
      <c r="AA7" s="561"/>
      <c r="AB7" s="561"/>
      <c r="AC7" s="561"/>
      <c r="AD7" s="561"/>
      <c r="AE7" s="561"/>
    </row>
    <row r="8" spans="1:31" ht="15.95" customHeight="1" x14ac:dyDescent="0.25">
      <c r="A8" s="69"/>
      <c r="B8" s="640"/>
      <c r="C8" s="638"/>
      <c r="D8" s="455">
        <v>3</v>
      </c>
      <c r="E8" s="421">
        <f t="array" aca="1" ref="E8" ca="1">IF($D8&gt;Calc1!$B$14,"",ROW(3:3)-SUM((($L$6:$L7="")+($N$6:$N7="")&gt;0)*1))</f>
        <v>3</v>
      </c>
      <c r="F8" s="172">
        <f ca="1">IF(OR($U$16,$D8&gt;Calc1!$B$14),"",$R$5+QUOTIENT(($E8-1),$U$18)*($R$7+$R$9)/1440+SUM($O$6:$O7)/1440)</f>
        <v>0.375</v>
      </c>
      <c r="G8" s="174">
        <f ca="1">IF(OR($U$16,$D8&gt;Calc1!$B$14),"",MOD($E8-1,$U$18)+1)</f>
        <v>3</v>
      </c>
      <c r="H8" s="290" t="str">
        <f t="shared" ca="1" si="2"/>
        <v>A</v>
      </c>
      <c r="I8" s="313" t="str">
        <f ca="1"/>
        <v>A7</v>
      </c>
      <c r="J8" s="314" t="s">
        <v>5</v>
      </c>
      <c r="K8" s="315" t="str">
        <f ca="1"/>
        <v>A2</v>
      </c>
      <c r="L8" s="178" t="str">
        <f t="shared" ca="1" si="0"/>
        <v>Raslo Winners</v>
      </c>
      <c r="M8" s="50" t="s">
        <v>5</v>
      </c>
      <c r="N8" s="180" t="str">
        <f t="shared" ca="1" si="1"/>
        <v>FC Barcelona</v>
      </c>
      <c r="O8" s="319"/>
      <c r="P8" s="308"/>
      <c r="Q8" s="642"/>
      <c r="R8" s="647"/>
      <c r="S8" s="648"/>
      <c r="T8" s="166"/>
      <c r="V8" s="560"/>
      <c r="W8" s="561"/>
      <c r="X8" s="561"/>
      <c r="Y8" s="561"/>
      <c r="Z8" s="561"/>
      <c r="AA8" s="561"/>
      <c r="AB8" s="561"/>
      <c r="AC8" s="561"/>
      <c r="AD8" s="561"/>
      <c r="AE8" s="561"/>
    </row>
    <row r="9" spans="1:31" ht="15.95" customHeight="1" x14ac:dyDescent="0.25">
      <c r="A9" s="69"/>
      <c r="B9" s="639" t="s">
        <v>210</v>
      </c>
      <c r="C9" s="637" t="s">
        <v>266</v>
      </c>
      <c r="D9" s="455">
        <v>4</v>
      </c>
      <c r="E9" s="421">
        <f t="array" aca="1" ref="E9" ca="1">IF($D9&gt;Calc1!$B$14,"",ROW(4:4)-SUM((($L$6:$L8="")+($N$6:$N8="")&gt;0)*1))</f>
        <v>4</v>
      </c>
      <c r="F9" s="172">
        <f ca="1">IF(OR($U$16,$D9&gt;Calc1!$B$14),"",$R$5+QUOTIENT(($E9-1),$U$18)*($R$7+$R$9)/1440+SUM($O$6:$O8)/1440)</f>
        <v>0.375</v>
      </c>
      <c r="G9" s="174">
        <f ca="1">IF(OR($U$16,$D9&gt;Calc1!$B$14),"",MOD($E9-1,$U$18)+1)</f>
        <v>4</v>
      </c>
      <c r="H9" s="290" t="str">
        <f t="shared" ca="1" si="2"/>
        <v>B</v>
      </c>
      <c r="I9" s="313" t="str">
        <f ca="1"/>
        <v>B7</v>
      </c>
      <c r="J9" s="314" t="s">
        <v>5</v>
      </c>
      <c r="K9" s="315" t="str">
        <f ca="1"/>
        <v>B2</v>
      </c>
      <c r="L9" s="178" t="str">
        <f t="shared" ca="1" si="0"/>
        <v>VFL Ronsdorf</v>
      </c>
      <c r="M9" s="50" t="s">
        <v>5</v>
      </c>
      <c r="N9" s="180" t="str">
        <f t="shared" ca="1" si="1"/>
        <v>Inter Mailand</v>
      </c>
      <c r="O9" s="319"/>
      <c r="P9" s="308"/>
      <c r="Q9" s="642" t="str">
        <f>Language!$E$43</f>
        <v>Change time:</v>
      </c>
      <c r="R9" s="647">
        <v>5</v>
      </c>
      <c r="S9" s="648" t="s">
        <v>165</v>
      </c>
      <c r="T9" s="166"/>
      <c r="V9" s="560"/>
      <c r="W9" s="561"/>
      <c r="X9" s="561"/>
      <c r="Y9" s="561"/>
      <c r="Z9" s="561"/>
      <c r="AA9" s="561"/>
      <c r="AB9" s="561"/>
      <c r="AC9" s="561"/>
      <c r="AD9" s="561"/>
      <c r="AE9" s="561"/>
    </row>
    <row r="10" spans="1:31" ht="15.95" customHeight="1" x14ac:dyDescent="0.25">
      <c r="A10" s="69"/>
      <c r="B10" s="640"/>
      <c r="C10" s="638"/>
      <c r="D10" s="455">
        <v>5</v>
      </c>
      <c r="E10" s="421">
        <f t="array" aca="1" ref="E10" ca="1">IF($D10&gt;Calc1!$B$14,"",ROW(5:5)-SUM((($L$6:$L9="")+($N$6:$N9="")&gt;0)*1))</f>
        <v>5</v>
      </c>
      <c r="F10" s="172">
        <f ca="1">IF(OR($U$16,$D10&gt;Calc1!$B$14),"",$R$5+QUOTIENT(($E10-1),$U$18)*($R$7+$R$9)/1440+SUM($O$6:$O9)/1440)</f>
        <v>0.39930555555555558</v>
      </c>
      <c r="G10" s="174">
        <f ca="1">IF(OR($U$16,$D10&gt;Calc1!$B$14),"",MOD($E10-1,$U$18)+1)</f>
        <v>1</v>
      </c>
      <c r="H10" s="290" t="str">
        <f t="shared" ca="1" si="2"/>
        <v>A</v>
      </c>
      <c r="I10" s="313" t="str">
        <f ca="1"/>
        <v>A3</v>
      </c>
      <c r="J10" s="314" t="s">
        <v>5</v>
      </c>
      <c r="K10" s="315" t="str">
        <f ca="1"/>
        <v>A6</v>
      </c>
      <c r="L10" s="178" t="str">
        <f t="shared" ca="1" si="0"/>
        <v>Eintracht Frankfurt</v>
      </c>
      <c r="M10" s="50" t="s">
        <v>5</v>
      </c>
      <c r="N10" s="180" t="str">
        <f t="shared" ca="1" si="1"/>
        <v>Fun Kickers Oes</v>
      </c>
      <c r="O10" s="319"/>
      <c r="P10" s="308"/>
      <c r="Q10" s="642"/>
      <c r="R10" s="647"/>
      <c r="S10" s="648"/>
      <c r="T10" s="166"/>
      <c r="V10" s="560"/>
      <c r="W10" s="561"/>
      <c r="X10" s="561"/>
      <c r="Y10" s="561"/>
      <c r="Z10" s="561"/>
      <c r="AA10" s="561"/>
      <c r="AB10" s="561"/>
      <c r="AC10" s="561"/>
      <c r="AD10" s="561"/>
      <c r="AE10" s="561"/>
    </row>
    <row r="11" spans="1:31" ht="15.95" customHeight="1" x14ac:dyDescent="0.25">
      <c r="A11" s="69"/>
      <c r="B11" s="639" t="s">
        <v>206</v>
      </c>
      <c r="C11" s="637" t="s">
        <v>267</v>
      </c>
      <c r="D11" s="455">
        <v>6</v>
      </c>
      <c r="E11" s="421">
        <f t="array" aca="1" ref="E11" ca="1">IF($D11&gt;Calc1!$B$14,"",ROW(6:6)-SUM((($L$6:$L10="")+($N$6:$N10="")&gt;0)*1))</f>
        <v>6</v>
      </c>
      <c r="F11" s="172">
        <f ca="1">IF(OR($U$16,$D11&gt;Calc1!$B$14),"",$R$5+QUOTIENT(($E11-1),$U$18)*($R$7+$R$9)/1440+SUM($O$6:$O10)/1440)</f>
        <v>0.39930555555555558</v>
      </c>
      <c r="G11" s="174">
        <f ca="1">IF(OR($U$16,$D11&gt;Calc1!$B$14),"",MOD($E11-1,$U$18)+1)</f>
        <v>2</v>
      </c>
      <c r="H11" s="290" t="str">
        <f t="shared" ca="1" si="2"/>
        <v>B</v>
      </c>
      <c r="I11" s="313" t="str">
        <f ca="1"/>
        <v>B3</v>
      </c>
      <c r="J11" s="314" t="s">
        <v>5</v>
      </c>
      <c r="K11" s="315" t="str">
        <f ca="1"/>
        <v>B6</v>
      </c>
      <c r="L11" s="178" t="str">
        <f t="shared" ca="1" si="0"/>
        <v>SSV Wildbach</v>
      </c>
      <c r="M11" s="50" t="s">
        <v>5</v>
      </c>
      <c r="N11" s="180" t="str">
        <f t="shared" ca="1" si="1"/>
        <v>AC Roma</v>
      </c>
      <c r="O11" s="319"/>
      <c r="P11" s="308"/>
      <c r="Q11" s="642" t="str">
        <f>Language!$E$44</f>
        <v>Number of fields:</v>
      </c>
      <c r="R11" s="647">
        <v>4</v>
      </c>
      <c r="S11" s="670" t="str">
        <f>"(max. "&amp;$U$17&amp;")"</f>
        <v>(max. 6)</v>
      </c>
      <c r="V11" s="560"/>
      <c r="W11" s="561"/>
      <c r="X11" s="561"/>
      <c r="Y11" s="561"/>
      <c r="Z11" s="561"/>
      <c r="AA11" s="561"/>
      <c r="AB11" s="561"/>
      <c r="AC11" s="561"/>
      <c r="AD11" s="561"/>
      <c r="AE11" s="561"/>
    </row>
    <row r="12" spans="1:31" ht="15.95" customHeight="1" thickBot="1" x14ac:dyDescent="0.3">
      <c r="A12" s="69"/>
      <c r="B12" s="640"/>
      <c r="C12" s="638"/>
      <c r="D12" s="455">
        <v>7</v>
      </c>
      <c r="E12" s="421">
        <f t="array" aca="1" ref="E12" ca="1">IF($D12&gt;Calc1!$B$14,"",ROW(7:7)-SUM((($L$6:$L11="")+($N$6:$N11="")&gt;0)*1))</f>
        <v>7</v>
      </c>
      <c r="F12" s="172">
        <f ca="1">IF(OR($U$16,$D12&gt;Calc1!$B$14),"",$R$5+QUOTIENT(($E12-1),$U$18)*($R$7+$R$9)/1440+SUM($O$6:$O11)/1440)</f>
        <v>0.39930555555555558</v>
      </c>
      <c r="G12" s="174">
        <f ca="1">IF(OR($U$16,$D12&gt;Calc1!$B$14),"",MOD($E12-1,$U$18)+1)</f>
        <v>3</v>
      </c>
      <c r="H12" s="290" t="str">
        <f t="shared" ca="1" si="2"/>
        <v>A</v>
      </c>
      <c r="I12" s="313" t="str">
        <f ca="1"/>
        <v>A5</v>
      </c>
      <c r="J12" s="314" t="s">
        <v>5</v>
      </c>
      <c r="K12" s="315" t="str">
        <f ca="1"/>
        <v>A4</v>
      </c>
      <c r="L12" s="178" t="str">
        <f t="shared" ca="1" si="0"/>
        <v>VFB Essenheim</v>
      </c>
      <c r="M12" s="50" t="s">
        <v>5</v>
      </c>
      <c r="N12" s="180" t="str">
        <f t="shared" ca="1" si="1"/>
        <v>Maibach 1822 eV</v>
      </c>
      <c r="O12" s="319"/>
      <c r="P12" s="308"/>
      <c r="Q12" s="645"/>
      <c r="R12" s="669"/>
      <c r="S12" s="671"/>
      <c r="T12" s="123"/>
      <c r="U12" s="419"/>
      <c r="V12" s="560"/>
      <c r="W12" s="561"/>
      <c r="X12" s="561"/>
      <c r="Y12" s="561"/>
      <c r="Z12" s="561"/>
      <c r="AA12" s="561"/>
      <c r="AB12" s="561"/>
      <c r="AC12" s="561"/>
      <c r="AD12" s="561"/>
      <c r="AE12" s="561"/>
    </row>
    <row r="13" spans="1:31" ht="15.95" customHeight="1" x14ac:dyDescent="0.25">
      <c r="A13" s="69"/>
      <c r="B13" s="639" t="s">
        <v>212</v>
      </c>
      <c r="C13" s="637" t="s">
        <v>268</v>
      </c>
      <c r="D13" s="455">
        <v>8</v>
      </c>
      <c r="E13" s="421">
        <f t="array" aca="1" ref="E13" ca="1">IF($D13&gt;Calc1!$B$14,"",ROW(8:8)-SUM((($L$6:$L12="")+($N$6:$N12="")&gt;0)*1))</f>
        <v>8</v>
      </c>
      <c r="F13" s="172">
        <f ca="1">IF(OR($U$16,$D13&gt;Calc1!$B$14),"",$R$5+QUOTIENT(($E13-1),$U$18)*($R$7+$R$9)/1440+SUM($O$6:$O12)/1440)</f>
        <v>0.39930555555555558</v>
      </c>
      <c r="G13" s="174">
        <f ca="1">IF(OR($U$16,$D13&gt;Calc1!$B$14),"",MOD($E13-1,$U$18)+1)</f>
        <v>4</v>
      </c>
      <c r="H13" s="290" t="str">
        <f t="shared" ca="1" si="2"/>
        <v>B</v>
      </c>
      <c r="I13" s="313" t="str">
        <f ca="1"/>
        <v>B5</v>
      </c>
      <c r="J13" s="314" t="s">
        <v>5</v>
      </c>
      <c r="K13" s="315" t="str">
        <f ca="1"/>
        <v>B4</v>
      </c>
      <c r="L13" s="178" t="str">
        <f t="shared" ca="1" si="0"/>
        <v>FC Grönlingen</v>
      </c>
      <c r="M13" s="50" t="s">
        <v>5</v>
      </c>
      <c r="N13" s="180" t="str">
        <f t="shared" ca="1" si="1"/>
        <v>Manchester City</v>
      </c>
      <c r="O13" s="319"/>
      <c r="P13" s="308"/>
      <c r="Q13" s="643" t="str">
        <f>Language!$E$40</f>
        <v>End of preliminary round:</v>
      </c>
      <c r="R13" s="664">
        <f t="array" aca="1" ref="R13" ca="1">IF($U$16,"",$R$5+(ROUNDUP((Calc1!$B$14-SUM(((OFFSET($L$6,,,Calc1!$B$14,1)="")+(OFFSET($N$6,,,Calc1!$B$14,1)="")&gt;0)*1))/$U18,0)*($R$7+$R$9)-$R$9)/1440+SUM(OFFSET($O$6,,,Calc1!$B$14-1,1))/1440)</f>
        <v>0.71180555555555558</v>
      </c>
      <c r="S13" s="666"/>
      <c r="T13" s="166"/>
      <c r="U13" s="398"/>
      <c r="V13" s="560"/>
      <c r="W13" s="561"/>
      <c r="X13" s="561"/>
      <c r="Y13" s="561"/>
      <c r="Z13" s="561"/>
      <c r="AA13" s="561"/>
      <c r="AB13" s="561"/>
      <c r="AC13" s="561"/>
      <c r="AD13" s="561"/>
      <c r="AE13" s="561"/>
    </row>
    <row r="14" spans="1:31" ht="15.95" customHeight="1" thickBot="1" x14ac:dyDescent="0.3">
      <c r="A14" s="69"/>
      <c r="B14" s="640"/>
      <c r="C14" s="638"/>
      <c r="D14" s="455">
        <v>9</v>
      </c>
      <c r="E14" s="421">
        <f t="array" aca="1" ref="E14" ca="1">IF($D14&gt;Calc1!$B$14,"",ROW(9:9)-SUM((($L$6:$L13="")+($N$6:$N13="")&gt;0)*1))</f>
        <v>9</v>
      </c>
      <c r="F14" s="172">
        <f ca="1">IF(OR($U$16,$D14&gt;Calc1!$B$14),"",$R$5+QUOTIENT(($E14-1),$U$18)*($R$7+$R$9)/1440+SUM($O$6:$O13)/1440)</f>
        <v>0.4236111111111111</v>
      </c>
      <c r="G14" s="174">
        <f ca="1">IF(OR($U$16,$D14&gt;Calc1!$B$14),"",MOD($E14-1,$U$18)+1)</f>
        <v>1</v>
      </c>
      <c r="H14" s="290" t="str">
        <f t="shared" ca="1" si="2"/>
        <v>A</v>
      </c>
      <c r="I14" s="313" t="str">
        <f ca="1"/>
        <v>A7</v>
      </c>
      <c r="J14" s="314" t="s">
        <v>5</v>
      </c>
      <c r="K14" s="315" t="str">
        <f ca="1"/>
        <v>A1</v>
      </c>
      <c r="L14" s="178" t="str">
        <f t="shared" ca="1" si="0"/>
        <v>Raslo Winners</v>
      </c>
      <c r="M14" s="50" t="s">
        <v>5</v>
      </c>
      <c r="N14" s="180" t="str">
        <f t="shared" ca="1" si="1"/>
        <v>1. FC Riedwald</v>
      </c>
      <c r="O14" s="319"/>
      <c r="P14" s="308"/>
      <c r="Q14" s="644"/>
      <c r="R14" s="665"/>
      <c r="S14" s="667"/>
      <c r="T14" s="166"/>
      <c r="U14" s="398"/>
      <c r="V14" s="560"/>
      <c r="W14" s="561"/>
      <c r="X14" s="561"/>
      <c r="Y14" s="561"/>
      <c r="Z14" s="561"/>
      <c r="AA14" s="561"/>
      <c r="AB14" s="561"/>
      <c r="AC14" s="561"/>
      <c r="AD14" s="561"/>
      <c r="AE14" s="561"/>
    </row>
    <row r="15" spans="1:31" ht="15.95" customHeight="1" x14ac:dyDescent="0.25">
      <c r="A15" s="69"/>
      <c r="B15" s="639" t="s">
        <v>214</v>
      </c>
      <c r="C15" s="637" t="s">
        <v>330</v>
      </c>
      <c r="D15" s="455">
        <v>10</v>
      </c>
      <c r="E15" s="421">
        <f t="array" aca="1" ref="E15" ca="1">IF($D15&gt;Calc1!$B$14,"",ROW(10:10)-SUM((($L$6:$L14="")+($N$6:$N14="")&gt;0)*1))</f>
        <v>10</v>
      </c>
      <c r="F15" s="172">
        <f ca="1">IF(OR($U$16,$D15&gt;Calc1!$B$14),"",$R$5+QUOTIENT(($E15-1),$U$18)*($R$7+$R$9)/1440+SUM($O$6:$O14)/1440)</f>
        <v>0.4236111111111111</v>
      </c>
      <c r="G15" s="174">
        <f ca="1">IF(OR($U$16,$D15&gt;Calc1!$B$14),"",MOD($E15-1,$U$18)+1)</f>
        <v>2</v>
      </c>
      <c r="H15" s="290" t="str">
        <f t="shared" ca="1" si="2"/>
        <v>B</v>
      </c>
      <c r="I15" s="313" t="str">
        <f ca="1"/>
        <v>B7</v>
      </c>
      <c r="J15" s="314" t="s">
        <v>5</v>
      </c>
      <c r="K15" s="315" t="str">
        <f ca="1"/>
        <v>B1</v>
      </c>
      <c r="L15" s="178" t="str">
        <f t="shared" ca="1" si="0"/>
        <v>VFL Ronsdorf</v>
      </c>
      <c r="M15" s="50" t="s">
        <v>5</v>
      </c>
      <c r="N15" s="180" t="str">
        <f t="shared" ca="1" si="1"/>
        <v>Mainz 05</v>
      </c>
      <c r="O15" s="319"/>
      <c r="P15" s="308"/>
      <c r="Q15" s="459" t="str">
        <f>Language!$E$93</f>
        <v>End of tournament (final round 1):</v>
      </c>
      <c r="R15" s="462">
        <f ca="1">'Finals 1'!$I$22</f>
        <v>0.76041666666666674</v>
      </c>
      <c r="S15" s="402"/>
      <c r="T15" s="166"/>
    </row>
    <row r="16" spans="1:31" ht="15.95" customHeight="1" x14ac:dyDescent="0.25">
      <c r="A16" s="69"/>
      <c r="B16" s="640"/>
      <c r="C16" s="638"/>
      <c r="D16" s="455">
        <v>11</v>
      </c>
      <c r="E16" s="421">
        <f t="array" aca="1" ref="E16" ca="1">IF($D16&gt;Calc1!$B$14,"",ROW(11:11)-SUM((($L$6:$L15="")+($N$6:$N15="")&gt;0)*1))</f>
        <v>11</v>
      </c>
      <c r="F16" s="172">
        <f ca="1">IF(OR($U$16,$D16&gt;Calc1!$B$14),"",$R$5+QUOTIENT(($E16-1),$U$18)*($R$7+$R$9)/1440+SUM($O$6:$O15)/1440)</f>
        <v>0.4236111111111111</v>
      </c>
      <c r="G16" s="174">
        <f ca="1">IF(OR($U$16,$D16&gt;Calc1!$B$14),"",MOD($E16-1,$U$18)+1)</f>
        <v>3</v>
      </c>
      <c r="H16" s="290" t="str">
        <f t="shared" ca="1" si="2"/>
        <v>A</v>
      </c>
      <c r="I16" s="313" t="str">
        <f ca="1"/>
        <v>A6</v>
      </c>
      <c r="J16" s="314" t="s">
        <v>5</v>
      </c>
      <c r="K16" s="315" t="str">
        <f ca="1"/>
        <v>A8</v>
      </c>
      <c r="L16" s="178" t="str">
        <f t="shared" ca="1" si="0"/>
        <v>Fun Kickers Oes</v>
      </c>
      <c r="M16" s="50" t="s">
        <v>5</v>
      </c>
      <c r="N16" s="180" t="str">
        <f t="shared" ca="1" si="1"/>
        <v>Knock Out Rangers</v>
      </c>
      <c r="O16" s="319"/>
      <c r="P16" s="308"/>
      <c r="Q16" s="460" t="str">
        <f>Language!$E$94</f>
        <v>End of tournament (final round 2):</v>
      </c>
      <c r="R16" s="463">
        <f ca="1">'Finals 2'!$I$26</f>
        <v>0.8090277777777779</v>
      </c>
      <c r="S16" s="458"/>
      <c r="T16" s="166"/>
      <c r="U16" s="399" t="b">
        <f>OR($R$5="",$R$7="",$R$9="",$R$11="",Calc1!$F$14&lt;3)</f>
        <v>0</v>
      </c>
      <c r="V16" t="s">
        <v>341</v>
      </c>
    </row>
    <row r="17" spans="1:28" ht="15.95" customHeight="1" x14ac:dyDescent="0.25">
      <c r="A17" s="69"/>
      <c r="B17" s="639" t="s">
        <v>216</v>
      </c>
      <c r="C17" s="637" t="s">
        <v>359</v>
      </c>
      <c r="D17" s="455">
        <v>12</v>
      </c>
      <c r="E17" s="421">
        <f t="array" aca="1" ref="E17" ca="1">IF($D17&gt;Calc1!$B$14,"",ROW(12:12)-SUM((($L$6:$L16="")+($N$6:$N16="")&gt;0)*1))</f>
        <v>12</v>
      </c>
      <c r="F17" s="172">
        <f ca="1">IF(OR($U$16,$D17&gt;Calc1!$B$14),"",$R$5+QUOTIENT(($E17-1),$U$18)*($R$7+$R$9)/1440+SUM($O$6:$O16)/1440)</f>
        <v>0.4236111111111111</v>
      </c>
      <c r="G17" s="174">
        <f ca="1">IF(OR($U$16,$D17&gt;Calc1!$B$14),"",MOD($E17-1,$U$18)+1)</f>
        <v>4</v>
      </c>
      <c r="H17" s="290" t="str">
        <f t="shared" ca="1" si="2"/>
        <v>B</v>
      </c>
      <c r="I17" s="313" t="str">
        <f ca="1"/>
        <v>B6</v>
      </c>
      <c r="J17" s="314" t="s">
        <v>5</v>
      </c>
      <c r="K17" s="315" t="str">
        <f ca="1"/>
        <v>B8</v>
      </c>
      <c r="L17" s="178" t="str">
        <f t="shared" ca="1" si="0"/>
        <v>AC Roma</v>
      </c>
      <c r="M17" s="50" t="s">
        <v>5</v>
      </c>
      <c r="N17" s="180" t="str">
        <f t="shared" ca="1" si="1"/>
        <v>Borussia Heine</v>
      </c>
      <c r="O17" s="319"/>
      <c r="P17" s="308"/>
      <c r="Q17" s="460" t="str">
        <f>Language!$E$97</f>
        <v>End of tournament (final round 2a):</v>
      </c>
      <c r="R17" s="463">
        <f ca="1">'Finals 2a'!$I$30</f>
        <v>0.8090277777777779</v>
      </c>
      <c r="S17" s="458"/>
      <c r="T17" s="166"/>
      <c r="U17" s="397">
        <v>6</v>
      </c>
      <c r="V17" s="398" t="s">
        <v>342</v>
      </c>
      <c r="W17" s="164"/>
    </row>
    <row r="18" spans="1:28" ht="15.95" customHeight="1" x14ac:dyDescent="0.25">
      <c r="A18" s="69"/>
      <c r="B18" s="640"/>
      <c r="C18" s="638"/>
      <c r="D18" s="455">
        <v>13</v>
      </c>
      <c r="E18" s="421">
        <f t="array" aca="1" ref="E18" ca="1">IF($D18&gt;Calc1!$B$14,"",ROW(13:13)-SUM((($L$6:$L17="")+($N$6:$N17="")&gt;0)*1))</f>
        <v>13</v>
      </c>
      <c r="F18" s="172">
        <f ca="1">IF(OR($U$16,$D18&gt;Calc1!$B$14),"",$R$5+QUOTIENT(($E18-1),$U$18)*($R$7+$R$9)/1440+SUM($O$6:$O17)/1440)</f>
        <v>0.44791666666666669</v>
      </c>
      <c r="G18" s="174">
        <f ca="1">IF(OR($U$16,$D18&gt;Calc1!$B$14),"",MOD($E18-1,$U$18)+1)</f>
        <v>1</v>
      </c>
      <c r="H18" s="290" t="str">
        <f t="shared" ca="1" si="2"/>
        <v>A</v>
      </c>
      <c r="I18" s="313" t="str">
        <f ca="1"/>
        <v>A2</v>
      </c>
      <c r="J18" s="314" t="s">
        <v>5</v>
      </c>
      <c r="K18" s="315" t="str">
        <f ca="1"/>
        <v>A5</v>
      </c>
      <c r="L18" s="178" t="str">
        <f t="shared" ca="1" si="0"/>
        <v>FC Barcelona</v>
      </c>
      <c r="M18" s="50" t="s">
        <v>5</v>
      </c>
      <c r="N18" s="180" t="str">
        <f t="shared" ca="1" si="1"/>
        <v>VFB Essenheim</v>
      </c>
      <c r="O18" s="319"/>
      <c r="P18" s="308"/>
      <c r="Q18" s="460" t="str">
        <f>Language!$E$95</f>
        <v>End of tournament (final round 3):</v>
      </c>
      <c r="R18" s="463">
        <f ca="1">'Finals 3'!$I$18</f>
        <v>0.78472222222222232</v>
      </c>
      <c r="S18" s="458"/>
      <c r="T18" s="166"/>
      <c r="U18" s="397">
        <f>MIN($R$11,$U$17)</f>
        <v>4</v>
      </c>
      <c r="V18" t="s">
        <v>340</v>
      </c>
    </row>
    <row r="19" spans="1:28" ht="15.95" customHeight="1" thickBot="1" x14ac:dyDescent="0.3">
      <c r="A19" s="69"/>
      <c r="B19" s="639" t="s">
        <v>331</v>
      </c>
      <c r="C19" s="637" t="s">
        <v>360</v>
      </c>
      <c r="D19" s="455">
        <v>14</v>
      </c>
      <c r="E19" s="421">
        <f t="array" aca="1" ref="E19" ca="1">IF($D19&gt;Calc1!$B$14,"",ROW(14:14)-SUM((($L$6:$L18="")+($N$6:$N18="")&gt;0)*1))</f>
        <v>14</v>
      </c>
      <c r="F19" s="172">
        <f ca="1">IF(OR($U$16,$D19&gt;Calc1!$B$14),"",$R$5+QUOTIENT(($E19-1),$U$18)*($R$7+$R$9)/1440+SUM($O$6:$O18)/1440)</f>
        <v>0.44791666666666669</v>
      </c>
      <c r="G19" s="174">
        <f ca="1">IF(OR($U$16,$D19&gt;Calc1!$B$14),"",MOD($E19-1,$U$18)+1)</f>
        <v>2</v>
      </c>
      <c r="H19" s="290" t="str">
        <f t="shared" ca="1" si="2"/>
        <v>B</v>
      </c>
      <c r="I19" s="313" t="str">
        <f ca="1"/>
        <v>B2</v>
      </c>
      <c r="J19" s="314" t="s">
        <v>5</v>
      </c>
      <c r="K19" s="315" t="str">
        <f ca="1"/>
        <v>B5</v>
      </c>
      <c r="L19" s="178" t="str">
        <f t="shared" ca="1" si="0"/>
        <v>Inter Mailand</v>
      </c>
      <c r="M19" s="50" t="s">
        <v>5</v>
      </c>
      <c r="N19" s="180" t="str">
        <f t="shared" ca="1" si="1"/>
        <v>FC Grönlingen</v>
      </c>
      <c r="O19" s="319"/>
      <c r="P19" s="308"/>
      <c r="Q19" s="461" t="str">
        <f>Language!$E$96</f>
        <v>End of tournament (final round 4):</v>
      </c>
      <c r="R19" s="464">
        <f ca="1">'Finals 4'!$K$38</f>
        <v>0.85763888888888895</v>
      </c>
      <c r="S19" s="403"/>
      <c r="T19" s="166"/>
      <c r="V19" s="560"/>
      <c r="W19" s="560"/>
      <c r="X19" s="560"/>
      <c r="Y19" s="560"/>
      <c r="Z19" s="560"/>
      <c r="AA19" s="560"/>
      <c r="AB19" s="560"/>
    </row>
    <row r="20" spans="1:28" ht="15.95" customHeight="1" thickTop="1" x14ac:dyDescent="0.25">
      <c r="A20" s="69"/>
      <c r="B20" s="640"/>
      <c r="C20" s="638"/>
      <c r="D20" s="455">
        <v>15</v>
      </c>
      <c r="E20" s="421">
        <f t="array" aca="1" ref="E20" ca="1">IF($D20&gt;Calc1!$B$14,"",ROW(15:15)-SUM((($L$6:$L19="")+($N$6:$N19="")&gt;0)*1))</f>
        <v>15</v>
      </c>
      <c r="F20" s="172">
        <f ca="1">IF(OR($U$16,$D20&gt;Calc1!$B$14),"",$R$5+QUOTIENT(($E20-1),$U$18)*($R$7+$R$9)/1440+SUM($O$6:$O19)/1440)</f>
        <v>0.44791666666666669</v>
      </c>
      <c r="G20" s="174">
        <f ca="1">IF(OR($U$16,$D20&gt;Calc1!$B$14),"",MOD($E20-1,$U$18)+1)</f>
        <v>3</v>
      </c>
      <c r="H20" s="290" t="str">
        <f t="shared" ca="1" si="2"/>
        <v>A</v>
      </c>
      <c r="I20" s="313" t="str">
        <f ca="1"/>
        <v>A4</v>
      </c>
      <c r="J20" s="314" t="s">
        <v>5</v>
      </c>
      <c r="K20" s="315" t="str">
        <f ca="1"/>
        <v>A3</v>
      </c>
      <c r="L20" s="178" t="str">
        <f t="shared" ca="1" si="0"/>
        <v>Maibach 1822 eV</v>
      </c>
      <c r="M20" s="50" t="s">
        <v>5</v>
      </c>
      <c r="N20" s="180" t="str">
        <f t="shared" ca="1" si="1"/>
        <v>Eintracht Frankfurt</v>
      </c>
      <c r="O20" s="319"/>
      <c r="P20" s="308"/>
      <c r="T20" s="166"/>
      <c r="V20" s="560"/>
      <c r="W20" s="561"/>
      <c r="X20" s="561"/>
      <c r="Y20" s="561"/>
      <c r="Z20" s="561"/>
      <c r="AA20" s="561"/>
      <c r="AB20" s="561"/>
    </row>
    <row r="21" spans="1:28" ht="15.95" customHeight="1" x14ac:dyDescent="0.25">
      <c r="A21" s="69"/>
      <c r="B21" s="639" t="s">
        <v>332</v>
      </c>
      <c r="C21" s="637" t="s">
        <v>363</v>
      </c>
      <c r="D21" s="455">
        <v>16</v>
      </c>
      <c r="E21" s="421">
        <f t="array" aca="1" ref="E21" ca="1">IF($D21&gt;Calc1!$B$14,"",ROW(16:16)-SUM((($L$6:$L20="")+($N$6:$N20="")&gt;0)*1))</f>
        <v>16</v>
      </c>
      <c r="F21" s="172">
        <f ca="1">IF(OR($U$16,$D21&gt;Calc1!$B$14),"",$R$5+QUOTIENT(($E21-1),$U$18)*($R$7+$R$9)/1440+SUM($O$6:$O20)/1440)</f>
        <v>0.44791666666666669</v>
      </c>
      <c r="G21" s="174">
        <f ca="1">IF(OR($U$16,$D21&gt;Calc1!$B$14),"",MOD($E21-1,$U$18)+1)</f>
        <v>4</v>
      </c>
      <c r="H21" s="290" t="str">
        <f t="shared" ca="1" si="2"/>
        <v>B</v>
      </c>
      <c r="I21" s="313" t="str">
        <f ca="1"/>
        <v>B4</v>
      </c>
      <c r="J21" s="314" t="s">
        <v>5</v>
      </c>
      <c r="K21" s="315" t="str">
        <f ca="1"/>
        <v>B3</v>
      </c>
      <c r="L21" s="178" t="str">
        <f t="shared" ca="1" si="0"/>
        <v>Manchester City</v>
      </c>
      <c r="M21" s="50" t="s">
        <v>5</v>
      </c>
      <c r="N21" s="180" t="str">
        <f t="shared" ca="1" si="1"/>
        <v>SSV Wildbach</v>
      </c>
      <c r="O21" s="319"/>
      <c r="P21" s="308"/>
      <c r="T21" s="166"/>
      <c r="V21" s="560"/>
      <c r="W21" s="561"/>
      <c r="X21" s="561"/>
      <c r="Y21" s="561"/>
      <c r="Z21" s="561"/>
      <c r="AA21" s="561"/>
      <c r="AB21" s="561"/>
    </row>
    <row r="22" spans="1:28" ht="15.95" customHeight="1" x14ac:dyDescent="0.25">
      <c r="A22" s="69"/>
      <c r="B22" s="640"/>
      <c r="C22" s="638"/>
      <c r="D22" s="455">
        <v>17</v>
      </c>
      <c r="E22" s="421">
        <f t="array" aca="1" ref="E22" ca="1">IF($D22&gt;Calc1!$B$14,"",ROW(17:17)-SUM((($L$6:$L21="")+($N$6:$N21="")&gt;0)*1))</f>
        <v>17</v>
      </c>
      <c r="F22" s="172">
        <f ca="1">IF(OR($U$16,$D22&gt;Calc1!$B$14),"",$R$5+QUOTIENT(($E22-1),$U$18)*($R$7+$R$9)/1440+SUM($O$6:$O21)/1440)</f>
        <v>0.47222222222222221</v>
      </c>
      <c r="G22" s="174">
        <f ca="1">IF(OR($U$16,$D22&gt;Calc1!$B$14),"",MOD($E22-1,$U$18)+1)</f>
        <v>1</v>
      </c>
      <c r="H22" s="290" t="str">
        <f t="shared" ca="1" si="2"/>
        <v>A</v>
      </c>
      <c r="I22" s="313" t="str">
        <f ca="1"/>
        <v>A1</v>
      </c>
      <c r="J22" s="314" t="s">
        <v>5</v>
      </c>
      <c r="K22" s="315" t="str">
        <f ca="1"/>
        <v>A6</v>
      </c>
      <c r="L22" s="178" t="str">
        <f t="shared" ca="1" si="0"/>
        <v>1. FC Riedwald</v>
      </c>
      <c r="M22" s="50" t="s">
        <v>5</v>
      </c>
      <c r="N22" s="180" t="str">
        <f t="shared" ca="1" si="1"/>
        <v>Fun Kickers Oes</v>
      </c>
      <c r="O22" s="319"/>
      <c r="P22" s="308"/>
      <c r="Q22" s="668" t="str">
        <f>Language!$E$91&amp;$U$17&amp;Language!$E$92</f>
        <v>Due to time conflicts, you can only play on a maximum of 6 pitches at the same time.</v>
      </c>
      <c r="R22" s="668"/>
      <c r="S22" s="668"/>
      <c r="T22" s="166"/>
      <c r="V22" s="560"/>
      <c r="W22" s="561"/>
      <c r="X22" s="561"/>
      <c r="Y22" s="561"/>
      <c r="Z22" s="561"/>
      <c r="AA22" s="561"/>
      <c r="AB22" s="561"/>
    </row>
    <row r="23" spans="1:28" ht="15.95" customHeight="1" x14ac:dyDescent="0.25">
      <c r="A23" s="69"/>
      <c r="B23" s="639" t="s">
        <v>333</v>
      </c>
      <c r="C23" s="637"/>
      <c r="D23" s="455">
        <v>18</v>
      </c>
      <c r="E23" s="421">
        <f t="array" aca="1" ref="E23" ca="1">IF($D23&gt;Calc1!$B$14,"",ROW(18:18)-SUM((($L$6:$L22="")+($N$6:$N22="")&gt;0)*1))</f>
        <v>18</v>
      </c>
      <c r="F23" s="172">
        <f ca="1">IF(OR($U$16,$D23&gt;Calc1!$B$14),"",$R$5+QUOTIENT(($E23-1),$U$18)*($R$7+$R$9)/1440+SUM($O$6:$O22)/1440)</f>
        <v>0.47222222222222221</v>
      </c>
      <c r="G23" s="174">
        <f ca="1">IF(OR($U$16,$D23&gt;Calc1!$B$14),"",MOD($E23-1,$U$18)+1)</f>
        <v>2</v>
      </c>
      <c r="H23" s="290" t="str">
        <f t="shared" ca="1" si="2"/>
        <v>B</v>
      </c>
      <c r="I23" s="313" t="str">
        <f ca="1"/>
        <v>B1</v>
      </c>
      <c r="J23" s="314" t="s">
        <v>5</v>
      </c>
      <c r="K23" s="315" t="str">
        <f ca="1"/>
        <v>B6</v>
      </c>
      <c r="L23" s="178" t="str">
        <f t="shared" ca="1" si="0"/>
        <v>Mainz 05</v>
      </c>
      <c r="M23" s="50" t="s">
        <v>5</v>
      </c>
      <c r="N23" s="180" t="str">
        <f t="shared" ca="1" si="1"/>
        <v>AC Roma</v>
      </c>
      <c r="O23" s="319"/>
      <c r="P23" s="308"/>
      <c r="Q23" s="668"/>
      <c r="R23" s="668"/>
      <c r="S23" s="668"/>
      <c r="T23" s="166"/>
      <c r="V23" s="560"/>
      <c r="W23" s="561"/>
      <c r="X23" s="561"/>
      <c r="Y23" s="561"/>
      <c r="Z23" s="561"/>
      <c r="AA23" s="561"/>
      <c r="AB23" s="561"/>
    </row>
    <row r="24" spans="1:28" ht="15.95" customHeight="1" thickBot="1" x14ac:dyDescent="0.3">
      <c r="A24" s="69"/>
      <c r="B24" s="672"/>
      <c r="C24" s="673"/>
      <c r="D24" s="455">
        <v>19</v>
      </c>
      <c r="E24" s="421">
        <f t="array" aca="1" ref="E24" ca="1">IF($D24&gt;Calc1!$B$14,"",ROW(19:19)-SUM((($L$6:$L23="")+($N$6:$N23="")&gt;0)*1))</f>
        <v>19</v>
      </c>
      <c r="F24" s="172">
        <f ca="1">IF(OR($U$16,$D24&gt;Calc1!$B$14),"",$R$5+QUOTIENT(($E24-1),$U$18)*($R$7+$R$9)/1440+SUM($O$6:$O23)/1440)</f>
        <v>0.47222222222222221</v>
      </c>
      <c r="G24" s="174">
        <f ca="1">IF(OR($U$16,$D24&gt;Calc1!$B$14),"",MOD($E24-1,$U$18)+1)</f>
        <v>3</v>
      </c>
      <c r="H24" s="290" t="str">
        <f t="shared" ca="1" si="2"/>
        <v>A</v>
      </c>
      <c r="I24" s="313" t="str">
        <f ca="1"/>
        <v>A5</v>
      </c>
      <c r="J24" s="314" t="s">
        <v>5</v>
      </c>
      <c r="K24" s="315" t="str">
        <f ca="1"/>
        <v>A7</v>
      </c>
      <c r="L24" s="178" t="str">
        <f t="shared" ca="1" si="0"/>
        <v>VFB Essenheim</v>
      </c>
      <c r="M24" s="50" t="s">
        <v>5</v>
      </c>
      <c r="N24" s="180" t="str">
        <f t="shared" ca="1" si="1"/>
        <v>Raslo Winners</v>
      </c>
      <c r="O24" s="319"/>
      <c r="P24" s="308"/>
      <c r="Q24" s="400"/>
      <c r="R24" s="446" t="str">
        <f t="array" aca="1" ref="R24" ca="1">IFERROR(proof!$E$3-SUM(((OFFSET($L$6,0,0,proof!$E$3,1)="")+(OFFSET($N$6,0,0,proof!$E$3,1)="")&gt;0)*1),"")</f>
        <v/>
      </c>
      <c r="S24" s="446" t="str">
        <f t="array" aca="1" ref="S24" ca="1">IFERROR(proof!$E$4-SUM(((OFFSET($L$6,0,0,proof!$E$4,1)="")+(OFFSET($N$6,0,0,proof!$E$4,1)="")&gt;0)*1),"")</f>
        <v/>
      </c>
      <c r="T24" s="166"/>
      <c r="V24" s="560"/>
      <c r="W24" s="561"/>
      <c r="X24" s="561"/>
      <c r="Y24" s="561"/>
      <c r="Z24" s="561"/>
      <c r="AA24" s="561"/>
      <c r="AB24" s="561"/>
    </row>
    <row r="25" spans="1:28" ht="15.95" customHeight="1" thickTop="1" x14ac:dyDescent="0.25">
      <c r="D25" s="455">
        <v>20</v>
      </c>
      <c r="E25" s="421">
        <f t="array" aca="1" ref="E25" ca="1">IF($D25&gt;Calc1!$B$14,"",ROW(20:20)-SUM((($L$6:$L24="")+($N$6:$N24="")&gt;0)*1))</f>
        <v>20</v>
      </c>
      <c r="F25" s="172">
        <f ca="1">IF(OR($U$16,$D25&gt;Calc1!$B$14),"",$R$5+QUOTIENT(($E25-1),$U$18)*($R$7+$R$9)/1440+SUM($O$6:$O24)/1440)</f>
        <v>0.47222222222222221</v>
      </c>
      <c r="G25" s="174">
        <f ca="1">IF(OR($U$16,$D25&gt;Calc1!$B$14),"",MOD($E25-1,$U$18)+1)</f>
        <v>4</v>
      </c>
      <c r="H25" s="290" t="str">
        <f t="shared" ca="1" si="2"/>
        <v>B</v>
      </c>
      <c r="I25" s="313" t="str">
        <f ca="1"/>
        <v>B5</v>
      </c>
      <c r="J25" s="314" t="s">
        <v>5</v>
      </c>
      <c r="K25" s="315" t="str">
        <f ca="1"/>
        <v>B7</v>
      </c>
      <c r="L25" s="178" t="str">
        <f t="shared" ca="1" si="0"/>
        <v>FC Grönlingen</v>
      </c>
      <c r="M25" s="50" t="s">
        <v>5</v>
      </c>
      <c r="N25" s="180" t="str">
        <f t="shared" ca="1" si="1"/>
        <v>VFL Ronsdorf</v>
      </c>
      <c r="O25" s="319"/>
      <c r="P25" s="308"/>
      <c r="Q25" s="656" t="str">
        <f ca="1">IF($U$16,"",IF(proof!$G$2="FEHLER",Language!$E$98&amp;proof!$E$6,""))</f>
        <v/>
      </c>
      <c r="R25" s="656"/>
      <c r="S25" s="656"/>
      <c r="T25" s="166"/>
      <c r="V25" s="560"/>
      <c r="W25" s="561"/>
      <c r="X25" s="561"/>
      <c r="Y25" s="561"/>
      <c r="Z25" s="561"/>
      <c r="AA25" s="561"/>
      <c r="AB25" s="561"/>
    </row>
    <row r="26" spans="1:28" ht="15.95" customHeight="1" x14ac:dyDescent="0.25">
      <c r="D26" s="455">
        <v>21</v>
      </c>
      <c r="E26" s="421">
        <f t="array" aca="1" ref="E26" ca="1">IF($D26&gt;Calc1!$B$14,"",ROW(21:21)-SUM((($L$6:$L25="")+($N$6:$N25="")&gt;0)*1))</f>
        <v>21</v>
      </c>
      <c r="F26" s="172">
        <f ca="1">IF(OR($U$16,$D26&gt;Calc1!$B$14),"",$R$5+QUOTIENT(($E26-1),$U$18)*($R$7+$R$9)/1440+SUM($O$6:$O25)/1440)</f>
        <v>0.49652777777777779</v>
      </c>
      <c r="G26" s="174">
        <f ca="1">IF(OR($U$16,$D26&gt;Calc1!$B$14),"",MOD($E26-1,$U$18)+1)</f>
        <v>1</v>
      </c>
      <c r="H26" s="290" t="str">
        <f t="shared" ca="1" si="2"/>
        <v>A</v>
      </c>
      <c r="I26" s="313" t="str">
        <f ca="1"/>
        <v>A8</v>
      </c>
      <c r="J26" s="314" t="s">
        <v>5</v>
      </c>
      <c r="K26" s="315" t="str">
        <f ca="1"/>
        <v>A4</v>
      </c>
      <c r="L26" s="178" t="str">
        <f t="shared" ca="1" si="0"/>
        <v>Knock Out Rangers</v>
      </c>
      <c r="M26" s="50" t="s">
        <v>5</v>
      </c>
      <c r="N26" s="180" t="str">
        <f t="shared" ca="1" si="1"/>
        <v>Maibach 1822 eV</v>
      </c>
      <c r="O26" s="319"/>
      <c r="P26" s="308"/>
      <c r="Q26" s="656" t="str">
        <f ca="1">IF($U$16,"",IF(proof!$G$2="FEHLER",Language!$E$99&amp;$R$24&amp;Language!$E$100&amp;$S$24,""))</f>
        <v/>
      </c>
      <c r="R26" s="656"/>
      <c r="S26" s="656"/>
      <c r="T26" s="166"/>
    </row>
    <row r="27" spans="1:28" ht="15.95" customHeight="1" x14ac:dyDescent="0.25">
      <c r="B27" s="517"/>
      <c r="C27" s="674" t="str">
        <f>Language!$E$16&amp;" B"</f>
        <v>Group B</v>
      </c>
      <c r="D27" s="455">
        <v>22</v>
      </c>
      <c r="E27" s="421">
        <f t="array" aca="1" ref="E27" ca="1">IF($D27&gt;Calc1!$B$14,"",ROW(22:22)-SUM((($L$6:$L26="")+($N$6:$N26="")&gt;0)*1))</f>
        <v>22</v>
      </c>
      <c r="F27" s="172">
        <f ca="1">IF(OR($U$16,$D27&gt;Calc1!$B$14),"",$R$5+QUOTIENT(($E27-1),$U$18)*($R$7+$R$9)/1440+SUM($O$6:$O26)/1440)</f>
        <v>0.49652777777777779</v>
      </c>
      <c r="G27" s="174">
        <f ca="1">IF(OR($U$16,$D27&gt;Calc1!$B$14),"",MOD($E27-1,$U$18)+1)</f>
        <v>2</v>
      </c>
      <c r="H27" s="290" t="str">
        <f t="shared" ca="1" si="2"/>
        <v>B</v>
      </c>
      <c r="I27" s="313" t="str">
        <f ca="1"/>
        <v>B8</v>
      </c>
      <c r="J27" s="314" t="s">
        <v>5</v>
      </c>
      <c r="K27" s="315" t="str">
        <f ca="1"/>
        <v>B4</v>
      </c>
      <c r="L27" s="178" t="str">
        <f t="shared" ca="1" si="0"/>
        <v>Borussia Heine</v>
      </c>
      <c r="M27" s="50" t="s">
        <v>5</v>
      </c>
      <c r="N27" s="180" t="str">
        <f t="shared" ca="1" si="1"/>
        <v>Manchester City</v>
      </c>
      <c r="O27" s="319"/>
      <c r="P27" s="308"/>
      <c r="Q27" s="400"/>
      <c r="R27" s="169"/>
      <c r="S27" s="169"/>
      <c r="T27" s="166"/>
    </row>
    <row r="28" spans="1:28" ht="15.95" customHeight="1" thickBot="1" x14ac:dyDescent="0.3">
      <c r="B28" s="518"/>
      <c r="C28" s="675"/>
      <c r="D28" s="455">
        <v>23</v>
      </c>
      <c r="E28" s="421">
        <f t="array" aca="1" ref="E28" ca="1">IF($D28&gt;Calc1!$B$14,"",ROW(23:23)-SUM((($L$6:$L27="")+($N$6:$N27="")&gt;0)*1))</f>
        <v>23</v>
      </c>
      <c r="F28" s="172">
        <f ca="1">IF(OR($U$16,$D28&gt;Calc1!$B$14),"",$R$5+QUOTIENT(($E28-1),$U$18)*($R$7+$R$9)/1440+SUM($O$6:$O27)/1440)</f>
        <v>0.49652777777777779</v>
      </c>
      <c r="G28" s="174">
        <f ca="1">IF(OR($U$16,$D28&gt;Calc1!$B$14),"",MOD($E28-1,$U$18)+1)</f>
        <v>3</v>
      </c>
      <c r="H28" s="290" t="str">
        <f t="shared" ca="1" si="2"/>
        <v>A</v>
      </c>
      <c r="I28" s="313" t="str">
        <f ca="1"/>
        <v>A3</v>
      </c>
      <c r="J28" s="314" t="s">
        <v>5</v>
      </c>
      <c r="K28" s="315" t="str">
        <f ca="1"/>
        <v>A2</v>
      </c>
      <c r="L28" s="52" t="str">
        <f t="shared" ca="1" si="0"/>
        <v>Eintracht Frankfurt</v>
      </c>
      <c r="M28" s="50" t="s">
        <v>5</v>
      </c>
      <c r="N28" s="51" t="str">
        <f t="shared" ca="1" si="1"/>
        <v>FC Barcelona</v>
      </c>
      <c r="O28" s="319"/>
      <c r="P28" s="308"/>
      <c r="Q28" s="169"/>
      <c r="R28" s="169"/>
      <c r="S28" s="169"/>
      <c r="T28" s="166"/>
    </row>
    <row r="29" spans="1:28" ht="15.95" customHeight="1" thickTop="1" x14ac:dyDescent="0.25">
      <c r="B29" s="649"/>
      <c r="C29" s="651" t="str">
        <f>Language!$E$10</f>
        <v>Participant or team</v>
      </c>
      <c r="D29" s="455">
        <v>24</v>
      </c>
      <c r="E29" s="421">
        <f t="array" aca="1" ref="E29" ca="1">IF($D29&gt;Calc1!$B$14,"",ROW(24:24)-SUM((($L$6:$L28="")+($N$6:$N28="")&gt;0)*1))</f>
        <v>24</v>
      </c>
      <c r="F29" s="172">
        <f ca="1">IF(OR($U$16,$D29&gt;Calc1!$B$14),"",$R$5+QUOTIENT(($E29-1),$U$18)*($R$7+$R$9)/1440+SUM($O$6:$O28)/1440)</f>
        <v>0.49652777777777779</v>
      </c>
      <c r="G29" s="174">
        <f ca="1">IF(OR($U$16,$D29&gt;Calc1!$B$14),"",MOD($E29-1,$U$18)+1)</f>
        <v>4</v>
      </c>
      <c r="H29" s="290" t="str">
        <f t="shared" ca="1" si="2"/>
        <v>B</v>
      </c>
      <c r="I29" s="313" t="str">
        <f ca="1"/>
        <v>B3</v>
      </c>
      <c r="J29" s="314" t="s">
        <v>5</v>
      </c>
      <c r="K29" s="315" t="str">
        <f ca="1"/>
        <v>B2</v>
      </c>
      <c r="L29" s="178" t="str">
        <f t="shared" ca="1" si="0"/>
        <v>SSV Wildbach</v>
      </c>
      <c r="M29" s="50" t="s">
        <v>5</v>
      </c>
      <c r="N29" s="180" t="str">
        <f t="shared" ca="1" si="1"/>
        <v>Inter Mailand</v>
      </c>
      <c r="O29" s="319"/>
      <c r="P29" s="308"/>
      <c r="Q29" s="400"/>
      <c r="R29" s="169"/>
      <c r="S29" s="169"/>
      <c r="T29" s="166"/>
    </row>
    <row r="30" spans="1:28" ht="15.95" customHeight="1" x14ac:dyDescent="0.25">
      <c r="B30" s="650"/>
      <c r="C30" s="652"/>
      <c r="D30" s="455">
        <v>25</v>
      </c>
      <c r="E30" s="421">
        <f t="array" aca="1" ref="E30" ca="1">IF($D30&gt;Calc1!$B$14,"",ROW(25:25)-SUM((($L$6:$L29="")+($N$6:$N29="")&gt;0)*1))</f>
        <v>25</v>
      </c>
      <c r="F30" s="172">
        <f ca="1">IF(OR($U$16,$D30&gt;Calc1!$B$14),"",$R$5+QUOTIENT(($E30-1),$U$18)*($R$7+$R$9)/1440+SUM($O$6:$O29)/1440)</f>
        <v>0.52083333333333337</v>
      </c>
      <c r="G30" s="174">
        <f ca="1">IF(OR($U$16,$D30&gt;Calc1!$B$14),"",MOD($E30-1,$U$18)+1)</f>
        <v>1</v>
      </c>
      <c r="H30" s="290" t="str">
        <f t="shared" ca="1" si="2"/>
        <v>A</v>
      </c>
      <c r="I30" s="313" t="str">
        <f ca="1"/>
        <v>A5</v>
      </c>
      <c r="J30" s="314" t="s">
        <v>5</v>
      </c>
      <c r="K30" s="315" t="str">
        <f ca="1"/>
        <v>A1</v>
      </c>
      <c r="L30" s="178" t="str">
        <f t="shared" ca="1" si="0"/>
        <v>VFB Essenheim</v>
      </c>
      <c r="M30" s="50" t="s">
        <v>5</v>
      </c>
      <c r="N30" s="180" t="str">
        <f t="shared" ca="1" si="1"/>
        <v>1. FC Riedwald</v>
      </c>
      <c r="O30" s="319"/>
      <c r="P30" s="308"/>
      <c r="Q30" s="400"/>
      <c r="R30" s="169"/>
      <c r="S30" s="169"/>
      <c r="T30" s="166"/>
    </row>
    <row r="31" spans="1:28" ht="15.95" customHeight="1" x14ac:dyDescent="0.25">
      <c r="B31" s="515" t="s">
        <v>209</v>
      </c>
      <c r="C31" s="641" t="s">
        <v>269</v>
      </c>
      <c r="D31" s="455">
        <v>26</v>
      </c>
      <c r="E31" s="421">
        <f t="array" aca="1" ref="E31" ca="1">IF($D31&gt;Calc1!$B$14,"",ROW(26:26)-SUM((($L$6:$L30="")+($N$6:$N30="")&gt;0)*1))</f>
        <v>26</v>
      </c>
      <c r="F31" s="172">
        <f ca="1">IF(OR($U$16,$D31&gt;Calc1!$B$14),"",$R$5+QUOTIENT(($E31-1),$U$18)*($R$7+$R$9)/1440+SUM($O$6:$O30)/1440)</f>
        <v>0.52083333333333337</v>
      </c>
      <c r="G31" s="174">
        <f ca="1">IF(OR($U$16,$D31&gt;Calc1!$B$14),"",MOD($E31-1,$U$18)+1)</f>
        <v>2</v>
      </c>
      <c r="H31" s="290" t="str">
        <f t="shared" ca="1" si="2"/>
        <v>B</v>
      </c>
      <c r="I31" s="313" t="str">
        <f ca="1"/>
        <v>B5</v>
      </c>
      <c r="J31" s="314" t="s">
        <v>5</v>
      </c>
      <c r="K31" s="315" t="str">
        <f ca="1"/>
        <v>B1</v>
      </c>
      <c r="L31" s="178" t="str">
        <f t="shared" ca="1" si="0"/>
        <v>FC Grönlingen</v>
      </c>
      <c r="M31" s="50" t="s">
        <v>5</v>
      </c>
      <c r="N31" s="180" t="str">
        <f t="shared" ca="1" si="1"/>
        <v>Mainz 05</v>
      </c>
      <c r="O31" s="319"/>
      <c r="P31" s="308"/>
      <c r="Q31" s="400"/>
      <c r="R31" s="169"/>
      <c r="S31" s="169"/>
      <c r="T31" s="166"/>
    </row>
    <row r="32" spans="1:28" ht="15.95" customHeight="1" x14ac:dyDescent="0.25">
      <c r="B32" s="516"/>
      <c r="C32" s="638"/>
      <c r="D32" s="455">
        <v>27</v>
      </c>
      <c r="E32" s="421">
        <f t="array" aca="1" ref="E32" ca="1">IF($D32&gt;Calc1!$B$14,"",ROW(27:27)-SUM((($L$6:$L31="")+($N$6:$N31="")&gt;0)*1))</f>
        <v>27</v>
      </c>
      <c r="F32" s="172">
        <f ca="1">IF(OR($U$16,$D32&gt;Calc1!$B$14),"",$R$5+QUOTIENT(($E32-1),$U$18)*($R$7+$R$9)/1440+SUM($O$6:$O31)/1440)</f>
        <v>0.52083333333333337</v>
      </c>
      <c r="G32" s="174">
        <f ca="1">IF(OR($U$16,$D32&gt;Calc1!$B$14),"",MOD($E32-1,$U$18)+1)</f>
        <v>3</v>
      </c>
      <c r="H32" s="291" t="str">
        <f t="shared" ca="1" si="2"/>
        <v>A</v>
      </c>
      <c r="I32" s="313" t="str">
        <f ca="1"/>
        <v>A4</v>
      </c>
      <c r="J32" s="314" t="s">
        <v>5</v>
      </c>
      <c r="K32" s="315" t="str">
        <f ca="1"/>
        <v>A6</v>
      </c>
      <c r="L32" s="52" t="str">
        <f t="shared" ca="1" si="0"/>
        <v>Maibach 1822 eV</v>
      </c>
      <c r="M32" s="50" t="s">
        <v>5</v>
      </c>
      <c r="N32" s="51" t="str">
        <f t="shared" ca="1" si="1"/>
        <v>Fun Kickers Oes</v>
      </c>
      <c r="O32" s="319"/>
      <c r="P32" s="308"/>
      <c r="Q32" s="400"/>
      <c r="R32" s="169"/>
      <c r="S32" s="169"/>
      <c r="T32" s="166"/>
    </row>
    <row r="33" spans="2:20" ht="15.95" customHeight="1" x14ac:dyDescent="0.25">
      <c r="B33" s="639" t="s">
        <v>211</v>
      </c>
      <c r="C33" s="637" t="s">
        <v>270</v>
      </c>
      <c r="D33" s="455">
        <v>28</v>
      </c>
      <c r="E33" s="421">
        <f t="array" aca="1" ref="E33" ca="1">IF($D33&gt;Calc1!$B$14,"",ROW(28:28)-SUM((($L$6:$L32="")+($N$6:$N32="")&gt;0)*1))</f>
        <v>28</v>
      </c>
      <c r="F33" s="172">
        <f ca="1">IF(OR($U$16,$D33&gt;Calc1!$B$14),"",$R$5+QUOTIENT(($E33-1),$U$18)*($R$7+$R$9)/1440+SUM($O$6:$O32)/1440)</f>
        <v>0.52083333333333337</v>
      </c>
      <c r="G33" s="174">
        <f ca="1">IF(OR($U$16,$D33&gt;Calc1!$B$14),"",MOD($E33-1,$U$18)+1)</f>
        <v>4</v>
      </c>
      <c r="H33" s="291" t="str">
        <f t="shared" ca="1" si="2"/>
        <v>B</v>
      </c>
      <c r="I33" s="313" t="str">
        <f ca="1"/>
        <v>B4</v>
      </c>
      <c r="J33" s="314" t="s">
        <v>5</v>
      </c>
      <c r="K33" s="315" t="str">
        <f ca="1"/>
        <v>B6</v>
      </c>
      <c r="L33" s="52" t="str">
        <f t="shared" ca="1" si="0"/>
        <v>Manchester City</v>
      </c>
      <c r="M33" s="50" t="s">
        <v>5</v>
      </c>
      <c r="N33" s="51" t="str">
        <f t="shared" ca="1" si="1"/>
        <v>AC Roma</v>
      </c>
      <c r="O33" s="319"/>
      <c r="P33" s="308"/>
      <c r="Q33" s="400"/>
      <c r="R33" s="169"/>
      <c r="S33" s="169"/>
      <c r="T33" s="166"/>
    </row>
    <row r="34" spans="2:20" ht="15.95" customHeight="1" x14ac:dyDescent="0.25">
      <c r="B34" s="640"/>
      <c r="C34" s="638"/>
      <c r="D34" s="455">
        <v>29</v>
      </c>
      <c r="E34" s="421">
        <f t="array" aca="1" ref="E34" ca="1">IF($D34&gt;Calc1!$B$14,"",ROW(29:29)-SUM((($L$6:$L33="")+($N$6:$N33="")&gt;0)*1))</f>
        <v>29</v>
      </c>
      <c r="F34" s="172">
        <f ca="1">IF(OR($U$16,$D34&gt;Calc1!$B$14),"",$R$5+QUOTIENT(($E34-1),$U$18)*($R$7+$R$9)/1440+SUM($O$6:$O33)/1440)</f>
        <v>0.54513888888888884</v>
      </c>
      <c r="G34" s="174">
        <f ca="1">IF(OR($U$16,$D34&gt;Calc1!$B$14),"",MOD($E34-1,$U$18)+1)</f>
        <v>1</v>
      </c>
      <c r="H34" s="290" t="str">
        <f t="shared" ca="1" si="2"/>
        <v>A</v>
      </c>
      <c r="I34" s="313" t="str">
        <f ca="1"/>
        <v>A7</v>
      </c>
      <c r="J34" s="314" t="s">
        <v>5</v>
      </c>
      <c r="K34" s="315" t="str">
        <f ca="1"/>
        <v>A3</v>
      </c>
      <c r="L34" s="52" t="str">
        <f t="shared" ca="1" si="0"/>
        <v>Raslo Winners</v>
      </c>
      <c r="M34" s="50" t="s">
        <v>5</v>
      </c>
      <c r="N34" s="51" t="str">
        <f t="shared" ca="1" si="1"/>
        <v>Eintracht Frankfurt</v>
      </c>
      <c r="O34" s="320"/>
      <c r="P34" s="308"/>
      <c r="Q34" s="400"/>
      <c r="R34" s="169"/>
      <c r="S34" s="169"/>
      <c r="T34" s="166"/>
    </row>
    <row r="35" spans="2:20" ht="15.95" customHeight="1" x14ac:dyDescent="0.25">
      <c r="B35" s="639" t="s">
        <v>207</v>
      </c>
      <c r="C35" s="637" t="s">
        <v>272</v>
      </c>
      <c r="D35" s="455">
        <v>30</v>
      </c>
      <c r="E35" s="421">
        <f t="array" aca="1" ref="E35" ca="1">IF($D35&gt;Calc1!$B$14,"",ROW(30:30)-SUM((($L$6:$L34="")+($N$6:$N34="")&gt;0)*1))</f>
        <v>30</v>
      </c>
      <c r="F35" s="172">
        <f ca="1">IF(OR($U$16,$D35&gt;Calc1!$B$14),"",$R$5+QUOTIENT(($E35-1),$U$18)*($R$7+$R$9)/1440+SUM($O$6:$O34)/1440)</f>
        <v>0.54513888888888884</v>
      </c>
      <c r="G35" s="174">
        <f ca="1">IF(OR($U$16,$D35&gt;Calc1!$B$14),"",MOD($E35-1,$U$18)+1)</f>
        <v>2</v>
      </c>
      <c r="H35" s="291" t="str">
        <f t="shared" ca="1" si="2"/>
        <v>B</v>
      </c>
      <c r="I35" s="313" t="str">
        <f ca="1"/>
        <v>B7</v>
      </c>
      <c r="J35" s="314" t="s">
        <v>5</v>
      </c>
      <c r="K35" s="315" t="str">
        <f ca="1"/>
        <v>B3</v>
      </c>
      <c r="L35" s="52" t="str">
        <f t="shared" ref="L35:L77" ca="1" si="3">IF($I35="","",IF(VLOOKUP($I35,$B$7:$C$48,2,0)="","",VLOOKUP($I35,$B$7:$C$48,2,0)))</f>
        <v>VFL Ronsdorf</v>
      </c>
      <c r="M35" s="50" t="s">
        <v>5</v>
      </c>
      <c r="N35" s="51" t="str">
        <f t="shared" ref="N35:N77" ca="1" si="4">IF($K35="","",IF(VLOOKUP($K35,$B$7:$C$48,2,0)="","",VLOOKUP($K35,$B$7:$C$48,2,0)))</f>
        <v>SSV Wildbach</v>
      </c>
      <c r="O35" s="319"/>
      <c r="P35" s="308"/>
      <c r="Q35" s="400"/>
      <c r="R35" s="169"/>
      <c r="S35" s="169"/>
      <c r="T35" s="166"/>
    </row>
    <row r="36" spans="2:20" ht="17.25" x14ac:dyDescent="0.25">
      <c r="B36" s="640"/>
      <c r="C36" s="638"/>
      <c r="D36" s="455">
        <v>31</v>
      </c>
      <c r="E36" s="421">
        <f t="array" aca="1" ref="E36" ca="1">IF($D36&gt;Calc1!$B$14,"",ROW(31:31)-SUM((($L$6:$L35="")+($N$6:$N35="")&gt;0)*1))</f>
        <v>31</v>
      </c>
      <c r="F36" s="172">
        <f ca="1">IF(OR($U$16,$D36&gt;Calc1!$B$14),"",$R$5+QUOTIENT(($E36-1),$U$18)*($R$7+$R$9)/1440+SUM($O$6:$O35)/1440)</f>
        <v>0.54513888888888884</v>
      </c>
      <c r="G36" s="174">
        <f ca="1">IF(OR($U$16,$D36&gt;Calc1!$B$14),"",MOD($E36-1,$U$18)+1)</f>
        <v>3</v>
      </c>
      <c r="H36" s="291" t="str">
        <f t="shared" ca="1" si="2"/>
        <v>A</v>
      </c>
      <c r="I36" s="533" t="str">
        <f ca="1"/>
        <v>A2</v>
      </c>
      <c r="J36" s="314" t="s">
        <v>5</v>
      </c>
      <c r="K36" s="534" t="str">
        <f ca="1"/>
        <v>A8</v>
      </c>
      <c r="L36" s="52" t="str">
        <f t="shared" ca="1" si="3"/>
        <v>FC Barcelona</v>
      </c>
      <c r="M36" s="50" t="s">
        <v>5</v>
      </c>
      <c r="N36" s="51" t="str">
        <f t="shared" ca="1" si="4"/>
        <v>Knock Out Rangers</v>
      </c>
      <c r="O36" s="319"/>
      <c r="P36" s="168"/>
      <c r="Q36" s="400"/>
      <c r="R36" s="169"/>
      <c r="S36" s="169"/>
      <c r="T36" s="309"/>
    </row>
    <row r="37" spans="2:20" ht="17.25" x14ac:dyDescent="0.25">
      <c r="B37" s="639" t="s">
        <v>213</v>
      </c>
      <c r="C37" s="637" t="s">
        <v>271</v>
      </c>
      <c r="D37" s="455">
        <v>32</v>
      </c>
      <c r="E37" s="421">
        <f t="array" aca="1" ref="E37" ca="1">IF($D37&gt;Calc1!$B$14,"",ROW(32:32)-SUM((($L$6:$L36="")+($N$6:$N36="")&gt;0)*1))</f>
        <v>32</v>
      </c>
      <c r="F37" s="172">
        <f ca="1">IF(OR($U$16,$D37&gt;Calc1!$B$14),"",$R$5+QUOTIENT(($E37-1),$U$18)*($R$7+$R$9)/1440+SUM($O$6:$O36)/1440)</f>
        <v>0.54513888888888884</v>
      </c>
      <c r="G37" s="174">
        <f ca="1">IF(OR($U$16,$D37&gt;Calc1!$B$14),"",MOD($E37-1,$U$18)+1)</f>
        <v>4</v>
      </c>
      <c r="H37" s="291" t="str">
        <f t="shared" ca="1" si="2"/>
        <v>B</v>
      </c>
      <c r="I37" s="533" t="str">
        <f ca="1"/>
        <v>B2</v>
      </c>
      <c r="J37" s="314" t="s">
        <v>5</v>
      </c>
      <c r="K37" s="534" t="str">
        <f ca="1"/>
        <v>B8</v>
      </c>
      <c r="L37" s="52" t="str">
        <f t="shared" ca="1" si="3"/>
        <v>Inter Mailand</v>
      </c>
      <c r="M37" s="50" t="s">
        <v>5</v>
      </c>
      <c r="N37" s="51" t="str">
        <f t="shared" ca="1" si="4"/>
        <v>Borussia Heine</v>
      </c>
      <c r="O37" s="319"/>
      <c r="P37" s="168"/>
      <c r="Q37" s="400"/>
      <c r="R37" s="169"/>
      <c r="S37" s="169"/>
      <c r="T37" s="309"/>
    </row>
    <row r="38" spans="2:20" ht="17.25" customHeight="1" x14ac:dyDescent="0.25">
      <c r="B38" s="640"/>
      <c r="C38" s="638"/>
      <c r="D38" s="455">
        <v>33</v>
      </c>
      <c r="E38" s="421">
        <f t="array" aca="1" ref="E38" ca="1">IF($D38&gt;Calc1!$B$14,"",ROW(33:33)-SUM((($L$6:$L37="")+($N$6:$N37="")&gt;0)*1))</f>
        <v>33</v>
      </c>
      <c r="F38" s="172">
        <f ca="1">IF(OR($U$16,$D38&gt;Calc1!$B$14),"",$R$5+QUOTIENT(($E38-1),$U$18)*($R$7+$R$9)/1440+SUM($O$6:$O37)/1440)</f>
        <v>0.56944444444444442</v>
      </c>
      <c r="G38" s="174">
        <f ca="1">IF(OR($U$16,$D38&gt;Calc1!$B$14),"",MOD($E38-1,$U$18)+1)</f>
        <v>1</v>
      </c>
      <c r="H38" s="291" t="str">
        <f t="shared" ca="1" si="2"/>
        <v>A</v>
      </c>
      <c r="I38" s="533" t="str">
        <f ca="1"/>
        <v>A1</v>
      </c>
      <c r="J38" s="314" t="s">
        <v>5</v>
      </c>
      <c r="K38" s="534" t="str">
        <f ca="1"/>
        <v>A4</v>
      </c>
      <c r="L38" s="52" t="str">
        <f t="shared" ca="1" si="3"/>
        <v>1. FC Riedwald</v>
      </c>
      <c r="M38" s="50" t="s">
        <v>5</v>
      </c>
      <c r="N38" s="51" t="str">
        <f t="shared" ca="1" si="4"/>
        <v>Maibach 1822 eV</v>
      </c>
      <c r="O38" s="319"/>
      <c r="P38" s="168"/>
      <c r="Q38" s="400"/>
      <c r="R38" s="169"/>
      <c r="S38" s="169"/>
      <c r="T38" s="169"/>
    </row>
    <row r="39" spans="2:20" ht="18" customHeight="1" x14ac:dyDescent="0.25">
      <c r="B39" s="639" t="s">
        <v>215</v>
      </c>
      <c r="C39" s="637" t="s">
        <v>273</v>
      </c>
      <c r="D39" s="455">
        <v>34</v>
      </c>
      <c r="E39" s="421">
        <f t="array" aca="1" ref="E39" ca="1">IF($D39&gt;Calc1!$B$14,"",ROW(34:34)-SUM((($L$6:$L38="")+($N$6:$N38="")&gt;0)*1))</f>
        <v>34</v>
      </c>
      <c r="F39" s="172">
        <f ca="1">IF(OR($U$16,$D39&gt;Calc1!$B$14),"",$R$5+QUOTIENT(($E39-1),$U$18)*($R$7+$R$9)/1440+SUM($O$6:$O38)/1440)</f>
        <v>0.56944444444444442</v>
      </c>
      <c r="G39" s="174">
        <f ca="1">IF(OR($U$16,$D39&gt;Calc1!$B$14),"",MOD($E39-1,$U$18)+1)</f>
        <v>2</v>
      </c>
      <c r="H39" s="291" t="str">
        <f t="shared" ca="1" si="2"/>
        <v>B</v>
      </c>
      <c r="I39" s="533" t="str">
        <f ca="1"/>
        <v>B1</v>
      </c>
      <c r="J39" s="314" t="s">
        <v>5</v>
      </c>
      <c r="K39" s="534" t="str">
        <f ca="1"/>
        <v>B4</v>
      </c>
      <c r="L39" s="52" t="str">
        <f t="shared" ca="1" si="3"/>
        <v>Mainz 05</v>
      </c>
      <c r="M39" s="50" t="s">
        <v>5</v>
      </c>
      <c r="N39" s="51" t="str">
        <f t="shared" ca="1" si="4"/>
        <v>Manchester City</v>
      </c>
      <c r="O39" s="319"/>
      <c r="P39" s="168"/>
      <c r="Q39" s="169"/>
      <c r="R39" s="169"/>
      <c r="S39" s="169"/>
      <c r="T39" s="169"/>
    </row>
    <row r="40" spans="2:20" ht="17.25" x14ac:dyDescent="0.3">
      <c r="B40" s="640"/>
      <c r="C40" s="638"/>
      <c r="D40" s="455">
        <v>35</v>
      </c>
      <c r="E40" s="421">
        <f t="array" aca="1" ref="E40" ca="1">IF($D40&gt;Calc1!$B$14,"",ROW(35:35)-SUM((($L$6:$L39="")+($N$6:$N39="")&gt;0)*1))</f>
        <v>35</v>
      </c>
      <c r="F40" s="172">
        <f ca="1">IF(OR($U$16,$D40&gt;Calc1!$B$14),"",$R$5+QUOTIENT(($E40-1),$U$18)*($R$7+$R$9)/1440+SUM($O$6:$O39)/1440)</f>
        <v>0.56944444444444442</v>
      </c>
      <c r="G40" s="174">
        <f ca="1">IF(OR($U$16,$D40&gt;Calc1!$B$14),"",MOD($E40-1,$U$18)+1)</f>
        <v>3</v>
      </c>
      <c r="H40" s="291" t="str">
        <f t="shared" ca="1" si="2"/>
        <v>A</v>
      </c>
      <c r="I40" s="535" t="str">
        <f ca="1"/>
        <v>A3</v>
      </c>
      <c r="J40" s="314" t="s">
        <v>5</v>
      </c>
      <c r="K40" s="536" t="str">
        <f ca="1"/>
        <v>A5</v>
      </c>
      <c r="L40" s="52" t="str">
        <f t="shared" ca="1" si="3"/>
        <v>Eintracht Frankfurt</v>
      </c>
      <c r="M40" s="50" t="s">
        <v>5</v>
      </c>
      <c r="N40" s="51" t="str">
        <f t="shared" ca="1" si="4"/>
        <v>VFB Essenheim</v>
      </c>
      <c r="O40" s="319"/>
    </row>
    <row r="41" spans="2:20" ht="15.75" customHeight="1" x14ac:dyDescent="0.3">
      <c r="B41" s="639" t="s">
        <v>217</v>
      </c>
      <c r="C41" s="637" t="s">
        <v>361</v>
      </c>
      <c r="D41" s="455">
        <v>36</v>
      </c>
      <c r="E41" s="421">
        <f t="array" aca="1" ref="E41" ca="1">IF($D41&gt;Calc1!$B$14,"",ROW(36:36)-SUM((($L$6:$L40="")+($N$6:$N40="")&gt;0)*1))</f>
        <v>36</v>
      </c>
      <c r="F41" s="172">
        <f ca="1">IF(OR($U$16,$D41&gt;Calc1!$B$14),"",$R$5+QUOTIENT(($E41-1),$U$18)*($R$7+$R$9)/1440+SUM($O$6:$O40)/1440)</f>
        <v>0.56944444444444442</v>
      </c>
      <c r="G41" s="174">
        <f ca="1">IF(OR($U$16,$D41&gt;Calc1!$B$14),"",MOD($E41-1,$U$18)+1)</f>
        <v>4</v>
      </c>
      <c r="H41" s="291" t="str">
        <f t="shared" ca="1" si="2"/>
        <v>B</v>
      </c>
      <c r="I41" s="535" t="str">
        <f ca="1"/>
        <v>B3</v>
      </c>
      <c r="J41" s="314" t="s">
        <v>5</v>
      </c>
      <c r="K41" s="536" t="str">
        <f ca="1"/>
        <v>B5</v>
      </c>
      <c r="L41" s="52" t="str">
        <f t="shared" ca="1" si="3"/>
        <v>SSV Wildbach</v>
      </c>
      <c r="M41" s="50" t="s">
        <v>5</v>
      </c>
      <c r="N41" s="51" t="str">
        <f t="shared" ca="1" si="4"/>
        <v>FC Grönlingen</v>
      </c>
      <c r="O41" s="319"/>
    </row>
    <row r="42" spans="2:20" ht="15.75" customHeight="1" x14ac:dyDescent="0.3">
      <c r="B42" s="640"/>
      <c r="C42" s="638"/>
      <c r="D42" s="455">
        <v>37</v>
      </c>
      <c r="E42" s="421">
        <f t="array" aca="1" ref="E42" ca="1">IF($D42&gt;Calc1!$B$14,"",ROW(37:37)-SUM((($L$6:$L41="")+($N$6:$N41="")&gt;0)*1))</f>
        <v>37</v>
      </c>
      <c r="F42" s="172">
        <f ca="1">IF(OR($U$16,$D42&gt;Calc1!$B$14),"",$R$5+QUOTIENT(($E42-1),$U$18)*($R$7+$R$9)/1440+SUM($O$6:$O41)/1440)</f>
        <v>0.59375</v>
      </c>
      <c r="G42" s="174">
        <f ca="1">IF(OR($U$16,$D42&gt;Calc1!$B$14),"",MOD($E42-1,$U$18)+1)</f>
        <v>1</v>
      </c>
      <c r="H42" s="291" t="str">
        <f t="shared" ca="1" si="2"/>
        <v>A</v>
      </c>
      <c r="I42" s="535" t="str">
        <f ca="1"/>
        <v>A6</v>
      </c>
      <c r="J42" s="314" t="s">
        <v>5</v>
      </c>
      <c r="K42" s="536" t="str">
        <f ca="1"/>
        <v>A2</v>
      </c>
      <c r="L42" s="52" t="str">
        <f t="shared" ca="1" si="3"/>
        <v>Fun Kickers Oes</v>
      </c>
      <c r="M42" s="50" t="s">
        <v>5</v>
      </c>
      <c r="N42" s="51" t="str">
        <f t="shared" ca="1" si="4"/>
        <v>FC Barcelona</v>
      </c>
      <c r="O42" s="319"/>
    </row>
    <row r="43" spans="2:20" ht="15.75" customHeight="1" x14ac:dyDescent="0.3">
      <c r="B43" s="639" t="s">
        <v>334</v>
      </c>
      <c r="C43" s="637" t="s">
        <v>362</v>
      </c>
      <c r="D43" s="455">
        <v>38</v>
      </c>
      <c r="E43" s="421">
        <f t="array" aca="1" ref="E43" ca="1">IF($D43&gt;Calc1!$B$14,"",ROW(38:38)-SUM((($L$6:$L42="")+($N$6:$N42="")&gt;0)*1))</f>
        <v>38</v>
      </c>
      <c r="F43" s="172">
        <f ca="1">IF(OR($U$16,$D43&gt;Calc1!$B$14),"",$R$5+QUOTIENT(($E43-1),$U$18)*($R$7+$R$9)/1440+SUM($O$6:$O42)/1440)</f>
        <v>0.59375</v>
      </c>
      <c r="G43" s="174">
        <f ca="1">IF(OR($U$16,$D43&gt;Calc1!$B$14),"",MOD($E43-1,$U$18)+1)</f>
        <v>2</v>
      </c>
      <c r="H43" s="291" t="str">
        <f t="shared" ca="1" si="2"/>
        <v>B</v>
      </c>
      <c r="I43" s="535" t="str">
        <f ca="1"/>
        <v>B6</v>
      </c>
      <c r="J43" s="314" t="s">
        <v>5</v>
      </c>
      <c r="K43" s="536" t="str">
        <f ca="1"/>
        <v>B2</v>
      </c>
      <c r="L43" s="52" t="str">
        <f t="shared" ca="1" si="3"/>
        <v>AC Roma</v>
      </c>
      <c r="M43" s="50" t="s">
        <v>5</v>
      </c>
      <c r="N43" s="51" t="str">
        <f t="shared" ca="1" si="4"/>
        <v>Inter Mailand</v>
      </c>
      <c r="O43" s="319"/>
    </row>
    <row r="44" spans="2:20" ht="17.25" x14ac:dyDescent="0.3">
      <c r="B44" s="640"/>
      <c r="C44" s="638"/>
      <c r="D44" s="455">
        <v>39</v>
      </c>
      <c r="E44" s="421">
        <f t="array" aca="1" ref="E44" ca="1">IF($D44&gt;Calc1!$B$14,"",ROW(39:39)-SUM((($L$6:$L43="")+($N$6:$N43="")&gt;0)*1))</f>
        <v>39</v>
      </c>
      <c r="F44" s="172">
        <f ca="1">IF(OR($U$16,$D44&gt;Calc1!$B$14),"",$R$5+QUOTIENT(($E44-1),$U$18)*($R$7+$R$9)/1440+SUM($O$6:$O43)/1440)</f>
        <v>0.59375</v>
      </c>
      <c r="G44" s="174">
        <f ca="1">IF(OR($U$16,$D44&gt;Calc1!$B$14),"",MOD($E44-1,$U$18)+1)</f>
        <v>3</v>
      </c>
      <c r="H44" s="291" t="str">
        <f t="shared" ca="1" si="2"/>
        <v>A</v>
      </c>
      <c r="I44" s="535" t="str">
        <f ca="1"/>
        <v>A8</v>
      </c>
      <c r="J44" s="314" t="s">
        <v>5</v>
      </c>
      <c r="K44" s="536" t="str">
        <f ca="1"/>
        <v>A7</v>
      </c>
      <c r="L44" s="52" t="str">
        <f t="shared" ca="1" si="3"/>
        <v>Knock Out Rangers</v>
      </c>
      <c r="M44" s="50" t="s">
        <v>5</v>
      </c>
      <c r="N44" s="51" t="str">
        <f t="shared" ca="1" si="4"/>
        <v>Raslo Winners</v>
      </c>
      <c r="O44" s="319"/>
    </row>
    <row r="45" spans="2:20" ht="17.25" x14ac:dyDescent="0.3">
      <c r="B45" s="639" t="s">
        <v>335</v>
      </c>
      <c r="C45" s="637" t="s">
        <v>364</v>
      </c>
      <c r="D45" s="455">
        <v>40</v>
      </c>
      <c r="E45" s="421">
        <f t="array" aca="1" ref="E45" ca="1">IF($D45&gt;Calc1!$B$14,"",ROW(40:40)-SUM((($L$6:$L44="")+($N$6:$N44="")&gt;0)*1))</f>
        <v>40</v>
      </c>
      <c r="F45" s="172">
        <f ca="1">IF(OR($U$16,$D45&gt;Calc1!$B$14),"",$R$5+QUOTIENT(($E45-1),$U$18)*($R$7+$R$9)/1440+SUM($O$6:$O44)/1440)</f>
        <v>0.59375</v>
      </c>
      <c r="G45" s="174">
        <f ca="1">IF(OR($U$16,$D45&gt;Calc1!$B$14),"",MOD($E45-1,$U$18)+1)</f>
        <v>4</v>
      </c>
      <c r="H45" s="291" t="str">
        <f t="shared" ca="1" si="2"/>
        <v>B</v>
      </c>
      <c r="I45" s="535" t="str">
        <f ca="1"/>
        <v>B8</v>
      </c>
      <c r="J45" s="314" t="s">
        <v>5</v>
      </c>
      <c r="K45" s="536" t="str">
        <f ca="1"/>
        <v>B7</v>
      </c>
      <c r="L45" s="52" t="str">
        <f t="shared" ca="1" si="3"/>
        <v>Borussia Heine</v>
      </c>
      <c r="M45" s="50" t="s">
        <v>5</v>
      </c>
      <c r="N45" s="51" t="str">
        <f t="shared" ca="1" si="4"/>
        <v>VFL Ronsdorf</v>
      </c>
      <c r="O45" s="319"/>
    </row>
    <row r="46" spans="2:20" ht="17.25" x14ac:dyDescent="0.3">
      <c r="B46" s="640"/>
      <c r="C46" s="638"/>
      <c r="D46" s="455">
        <v>41</v>
      </c>
      <c r="E46" s="421">
        <f t="array" aca="1" ref="E46" ca="1">IF($D46&gt;Calc1!$B$14,"",ROW(41:41)-SUM((($L$6:$L45="")+($N$6:$N45="")&gt;0)*1))</f>
        <v>41</v>
      </c>
      <c r="F46" s="172">
        <f ca="1">IF(OR($U$16,$D46&gt;Calc1!$B$14),"",$R$5+QUOTIENT(($E46-1),$U$18)*($R$7+$R$9)/1440+SUM($O$6:$O45)/1440)</f>
        <v>0.61805555555555558</v>
      </c>
      <c r="G46" s="174">
        <f ca="1">IF(OR($U$16,$D46&gt;Calc1!$B$14),"",MOD($E46-1,$U$18)+1)</f>
        <v>1</v>
      </c>
      <c r="H46" s="291" t="str">
        <f t="shared" ca="1" si="2"/>
        <v>A</v>
      </c>
      <c r="I46" s="535" t="str">
        <f ca="1"/>
        <v>A3</v>
      </c>
      <c r="J46" s="314" t="s">
        <v>5</v>
      </c>
      <c r="K46" s="536" t="str">
        <f ca="1"/>
        <v>A1</v>
      </c>
      <c r="L46" s="52" t="str">
        <f t="shared" ca="1" si="3"/>
        <v>Eintracht Frankfurt</v>
      </c>
      <c r="M46" s="50" t="s">
        <v>5</v>
      </c>
      <c r="N46" s="51" t="str">
        <f t="shared" ca="1" si="4"/>
        <v>1. FC Riedwald</v>
      </c>
      <c r="O46" s="319"/>
    </row>
    <row r="47" spans="2:20" ht="18.75" customHeight="1" x14ac:dyDescent="0.3">
      <c r="B47" s="639" t="s">
        <v>336</v>
      </c>
      <c r="C47" s="637"/>
      <c r="D47" s="455">
        <v>42</v>
      </c>
      <c r="E47" s="421">
        <f t="array" aca="1" ref="E47" ca="1">IF($D47&gt;Calc1!$B$14,"",ROW(42:42)-SUM((($L$6:$L46="")+($N$6:$N46="")&gt;0)*1))</f>
        <v>42</v>
      </c>
      <c r="F47" s="172">
        <f ca="1">IF(OR($U$16,$D47&gt;Calc1!$B$14),"",$R$5+QUOTIENT(($E47-1),$U$18)*($R$7+$R$9)/1440+SUM($O$6:$O46)/1440)</f>
        <v>0.61805555555555558</v>
      </c>
      <c r="G47" s="174">
        <f ca="1">IF(OR($U$16,$D47&gt;Calc1!$B$14),"",MOD($E47-1,$U$18)+1)</f>
        <v>2</v>
      </c>
      <c r="H47" s="291" t="str">
        <f t="shared" ca="1" si="2"/>
        <v>B</v>
      </c>
      <c r="I47" s="535" t="str">
        <f ca="1"/>
        <v>B3</v>
      </c>
      <c r="J47" s="314" t="s">
        <v>5</v>
      </c>
      <c r="K47" s="536" t="str">
        <f ca="1"/>
        <v>B1</v>
      </c>
      <c r="L47" s="52" t="str">
        <f t="shared" ca="1" si="3"/>
        <v>SSV Wildbach</v>
      </c>
      <c r="M47" s="50" t="s">
        <v>5</v>
      </c>
      <c r="N47" s="51" t="str">
        <f t="shared" ca="1" si="4"/>
        <v>Mainz 05</v>
      </c>
      <c r="O47" s="319"/>
    </row>
    <row r="48" spans="2:20" ht="18" thickBot="1" x14ac:dyDescent="0.35">
      <c r="B48" s="672"/>
      <c r="C48" s="673"/>
      <c r="D48" s="455">
        <v>43</v>
      </c>
      <c r="E48" s="421">
        <f t="array" aca="1" ref="E48" ca="1">IF($D48&gt;Calc1!$B$14,"",ROW(43:43)-SUM((($L$6:$L47="")+($N$6:$N47="")&gt;0)*1))</f>
        <v>43</v>
      </c>
      <c r="F48" s="172">
        <f ca="1">IF(OR($U$16,$D48&gt;Calc1!$B$14),"",$R$5+QUOTIENT(($E48-1),$U$18)*($R$7+$R$9)/1440+SUM($O$6:$O47)/1440)</f>
        <v>0.61805555555555558</v>
      </c>
      <c r="G48" s="174">
        <f ca="1">IF(OR($U$16,$D48&gt;Calc1!$B$14),"",MOD($E48-1,$U$18)+1)</f>
        <v>3</v>
      </c>
      <c r="H48" s="291" t="str">
        <f t="shared" ca="1" si="2"/>
        <v>A</v>
      </c>
      <c r="I48" s="535" t="str">
        <f ca="1"/>
        <v>A2</v>
      </c>
      <c r="J48" s="314" t="s">
        <v>5</v>
      </c>
      <c r="K48" s="536" t="str">
        <f ca="1"/>
        <v>A4</v>
      </c>
      <c r="L48" s="52" t="str">
        <f t="shared" ca="1" si="3"/>
        <v>FC Barcelona</v>
      </c>
      <c r="M48" s="50" t="s">
        <v>5</v>
      </c>
      <c r="N48" s="51" t="str">
        <f t="shared" ca="1" si="4"/>
        <v>Maibach 1822 eV</v>
      </c>
      <c r="O48" s="319"/>
    </row>
    <row r="49" spans="4:15" ht="18" thickTop="1" x14ac:dyDescent="0.3">
      <c r="D49" s="455">
        <v>44</v>
      </c>
      <c r="E49" s="421">
        <f t="array" aca="1" ref="E49" ca="1">IF($D49&gt;Calc1!$B$14,"",ROW(44:44)-SUM((($L$6:$L48="")+($N$6:$N48="")&gt;0)*1))</f>
        <v>44</v>
      </c>
      <c r="F49" s="172">
        <f ca="1">IF(OR($U$16,$D49&gt;Calc1!$B$14),"",$R$5+QUOTIENT(($E49-1),$U$18)*($R$7+$R$9)/1440+SUM($O$6:$O48)/1440)</f>
        <v>0.61805555555555558</v>
      </c>
      <c r="G49" s="174">
        <f ca="1">IF(OR($U$16,$D49&gt;Calc1!$B$14),"",MOD($E49-1,$U$18)+1)</f>
        <v>4</v>
      </c>
      <c r="H49" s="291" t="str">
        <f t="shared" ca="1" si="2"/>
        <v>B</v>
      </c>
      <c r="I49" s="535" t="str">
        <f ca="1"/>
        <v>B2</v>
      </c>
      <c r="J49" s="314" t="s">
        <v>5</v>
      </c>
      <c r="K49" s="536" t="str">
        <f ca="1"/>
        <v>B4</v>
      </c>
      <c r="L49" s="52" t="str">
        <f t="shared" ca="1" si="3"/>
        <v>Inter Mailand</v>
      </c>
      <c r="M49" s="50" t="s">
        <v>5</v>
      </c>
      <c r="N49" s="51" t="str">
        <f t="shared" ca="1" si="4"/>
        <v>Manchester City</v>
      </c>
      <c r="O49" s="319"/>
    </row>
    <row r="50" spans="4:15" ht="17.25" x14ac:dyDescent="0.3">
      <c r="D50" s="455">
        <v>45</v>
      </c>
      <c r="E50" s="421">
        <f t="array" aca="1" ref="E50" ca="1">IF($D50&gt;Calc1!$B$14,"",ROW(45:45)-SUM((($L$6:$L49="")+($N$6:$N49="")&gt;0)*1))</f>
        <v>45</v>
      </c>
      <c r="F50" s="172">
        <f ca="1">IF(OR($U$16,$D50&gt;Calc1!$B$14),"",$R$5+QUOTIENT(($E50-1),$U$18)*($R$7+$R$9)/1440+SUM($O$6:$O49)/1440)</f>
        <v>0.64236111111111116</v>
      </c>
      <c r="G50" s="174">
        <f ca="1">IF(OR($U$16,$D50&gt;Calc1!$B$14),"",MOD($E50-1,$U$18)+1)</f>
        <v>1</v>
      </c>
      <c r="H50" s="291" t="str">
        <f t="shared" ca="1" si="2"/>
        <v>A</v>
      </c>
      <c r="I50" s="535" t="str">
        <f ca="1"/>
        <v>A5</v>
      </c>
      <c r="J50" s="314" t="s">
        <v>5</v>
      </c>
      <c r="K50" s="536" t="str">
        <f ca="1"/>
        <v>A8</v>
      </c>
      <c r="L50" s="52" t="str">
        <f t="shared" ca="1" si="3"/>
        <v>VFB Essenheim</v>
      </c>
      <c r="M50" s="50" t="s">
        <v>5</v>
      </c>
      <c r="N50" s="51" t="str">
        <f t="shared" ca="1" si="4"/>
        <v>Knock Out Rangers</v>
      </c>
      <c r="O50" s="319"/>
    </row>
    <row r="51" spans="4:15" ht="17.25" x14ac:dyDescent="0.3">
      <c r="D51" s="455">
        <v>46</v>
      </c>
      <c r="E51" s="421">
        <f t="array" aca="1" ref="E51" ca="1">IF($D51&gt;Calc1!$B$14,"",ROW(46:46)-SUM((($L$6:$L50="")+($N$6:$N50="")&gt;0)*1))</f>
        <v>46</v>
      </c>
      <c r="F51" s="172">
        <f ca="1">IF(OR($U$16,$D51&gt;Calc1!$B$14),"",$R$5+QUOTIENT(($E51-1),$U$18)*($R$7+$R$9)/1440+SUM($O$6:$O50)/1440)</f>
        <v>0.64236111111111116</v>
      </c>
      <c r="G51" s="174">
        <f ca="1">IF(OR($U$16,$D51&gt;Calc1!$B$14),"",MOD($E51-1,$U$18)+1)</f>
        <v>2</v>
      </c>
      <c r="H51" s="291" t="str">
        <f t="shared" ca="1" si="2"/>
        <v>B</v>
      </c>
      <c r="I51" s="535" t="str">
        <f ca="1"/>
        <v>B5</v>
      </c>
      <c r="J51" s="314" t="s">
        <v>5</v>
      </c>
      <c r="K51" s="536" t="str">
        <f ca="1"/>
        <v>B8</v>
      </c>
      <c r="L51" s="52" t="str">
        <f t="shared" ca="1" si="3"/>
        <v>FC Grönlingen</v>
      </c>
      <c r="M51" s="50" t="s">
        <v>5</v>
      </c>
      <c r="N51" s="51" t="str">
        <f t="shared" ca="1" si="4"/>
        <v>Borussia Heine</v>
      </c>
      <c r="O51" s="319"/>
    </row>
    <row r="52" spans="4:15" ht="17.25" x14ac:dyDescent="0.3">
      <c r="D52" s="455">
        <v>47</v>
      </c>
      <c r="E52" s="421">
        <f t="array" aca="1" ref="E52" ca="1">IF($D52&gt;Calc1!$B$14,"",ROW(47:47)-SUM((($L$6:$L51="")+($N$6:$N51="")&gt;0)*1))</f>
        <v>47</v>
      </c>
      <c r="F52" s="172">
        <f ca="1">IF(OR($U$16,$D52&gt;Calc1!$B$14),"",$R$5+QUOTIENT(($E52-1),$U$18)*($R$7+$R$9)/1440+SUM($O$6:$O51)/1440)</f>
        <v>0.64236111111111116</v>
      </c>
      <c r="G52" s="174">
        <f ca="1">IF(OR($U$16,$D52&gt;Calc1!$B$14),"",MOD($E52-1,$U$18)+1)</f>
        <v>3</v>
      </c>
      <c r="H52" s="291" t="str">
        <f t="shared" ca="1" si="2"/>
        <v>A</v>
      </c>
      <c r="I52" s="535" t="str">
        <f ca="1"/>
        <v>A7</v>
      </c>
      <c r="J52" s="314" t="s">
        <v>5</v>
      </c>
      <c r="K52" s="536" t="str">
        <f ca="1"/>
        <v>A6</v>
      </c>
      <c r="L52" s="52" t="str">
        <f t="shared" ca="1" si="3"/>
        <v>Raslo Winners</v>
      </c>
      <c r="M52" s="50" t="s">
        <v>5</v>
      </c>
      <c r="N52" s="51" t="str">
        <f t="shared" ca="1" si="4"/>
        <v>Fun Kickers Oes</v>
      </c>
      <c r="O52" s="319"/>
    </row>
    <row r="53" spans="4:15" ht="17.25" x14ac:dyDescent="0.3">
      <c r="D53" s="455">
        <v>48</v>
      </c>
      <c r="E53" s="421">
        <f t="array" aca="1" ref="E53" ca="1">IF($D53&gt;Calc1!$B$14,"",ROW(48:48)-SUM((($L$6:$L52="")+($N$6:$N52="")&gt;0)*1))</f>
        <v>48</v>
      </c>
      <c r="F53" s="172">
        <f ca="1">IF(OR($U$16,$D53&gt;Calc1!$B$14),"",$R$5+QUOTIENT(($E53-1),$U$18)*($R$7+$R$9)/1440+SUM($O$6:$O52)/1440)</f>
        <v>0.64236111111111116</v>
      </c>
      <c r="G53" s="174">
        <f ca="1">IF(OR($U$16,$D53&gt;Calc1!$B$14),"",MOD($E53-1,$U$18)+1)</f>
        <v>4</v>
      </c>
      <c r="H53" s="291" t="str">
        <f t="shared" ca="1" si="2"/>
        <v>B</v>
      </c>
      <c r="I53" s="535" t="str">
        <f ca="1"/>
        <v>B7</v>
      </c>
      <c r="J53" s="314" t="s">
        <v>5</v>
      </c>
      <c r="K53" s="536" t="str">
        <f ca="1"/>
        <v>B6</v>
      </c>
      <c r="L53" s="52" t="str">
        <f t="shared" ca="1" si="3"/>
        <v>VFL Ronsdorf</v>
      </c>
      <c r="M53" s="50" t="s">
        <v>5</v>
      </c>
      <c r="N53" s="51" t="str">
        <f t="shared" ca="1" si="4"/>
        <v>AC Roma</v>
      </c>
      <c r="O53" s="319"/>
    </row>
    <row r="54" spans="4:15" ht="17.25" x14ac:dyDescent="0.3">
      <c r="D54" s="455">
        <v>49</v>
      </c>
      <c r="E54" s="421">
        <f t="array" aca="1" ref="E54" ca="1">IF($D54&gt;Calc1!$B$14,"",ROW(49:49)-SUM((($L$6:$L53="")+($N$6:$N53="")&gt;0)*1))</f>
        <v>49</v>
      </c>
      <c r="F54" s="172">
        <f ca="1">IF(OR($U$16,$D54&gt;Calc1!$B$14),"",$R$5+QUOTIENT(($E54-1),$U$18)*($R$7+$R$9)/1440+SUM($O$6:$O53)/1440)</f>
        <v>0.66666666666666674</v>
      </c>
      <c r="G54" s="174">
        <f ca="1">IF(OR($U$16,$D54&gt;Calc1!$B$14),"",MOD($E54-1,$U$18)+1)</f>
        <v>1</v>
      </c>
      <c r="H54" s="291" t="str">
        <f t="shared" ca="1" si="2"/>
        <v>A</v>
      </c>
      <c r="I54" s="535" t="str">
        <f ca="1"/>
        <v>A1</v>
      </c>
      <c r="J54" s="314" t="s">
        <v>5</v>
      </c>
      <c r="K54" s="536" t="str">
        <f ca="1"/>
        <v>A2</v>
      </c>
      <c r="L54" s="52" t="str">
        <f t="shared" ca="1" si="3"/>
        <v>1. FC Riedwald</v>
      </c>
      <c r="M54" s="50" t="s">
        <v>5</v>
      </c>
      <c r="N54" s="51" t="str">
        <f t="shared" ca="1" si="4"/>
        <v>FC Barcelona</v>
      </c>
      <c r="O54" s="319"/>
    </row>
    <row r="55" spans="4:15" ht="17.25" x14ac:dyDescent="0.3">
      <c r="D55" s="455">
        <v>50</v>
      </c>
      <c r="E55" s="421">
        <f t="array" aca="1" ref="E55" ca="1">IF($D55&gt;Calc1!$B$14,"",ROW(50:50)-SUM((($L$6:$L54="")+($N$6:$N54="")&gt;0)*1))</f>
        <v>50</v>
      </c>
      <c r="F55" s="172">
        <f ca="1">IF(OR($U$16,$D55&gt;Calc1!$B$14),"",$R$5+QUOTIENT(($E55-1),$U$18)*($R$7+$R$9)/1440+SUM($O$6:$O54)/1440)</f>
        <v>0.66666666666666674</v>
      </c>
      <c r="G55" s="174">
        <f ca="1">IF(OR($U$16,$D55&gt;Calc1!$B$14),"",MOD($E55-1,$U$18)+1)</f>
        <v>2</v>
      </c>
      <c r="H55" s="291" t="str">
        <f t="shared" ca="1" si="2"/>
        <v>B</v>
      </c>
      <c r="I55" s="535" t="str">
        <f ca="1"/>
        <v>B1</v>
      </c>
      <c r="J55" s="314" t="s">
        <v>5</v>
      </c>
      <c r="K55" s="536" t="str">
        <f ca="1"/>
        <v>B2</v>
      </c>
      <c r="L55" s="52" t="str">
        <f t="shared" ca="1" si="3"/>
        <v>Mainz 05</v>
      </c>
      <c r="M55" s="50" t="s">
        <v>5</v>
      </c>
      <c r="N55" s="51" t="str">
        <f t="shared" ca="1" si="4"/>
        <v>Inter Mailand</v>
      </c>
      <c r="O55" s="319"/>
    </row>
    <row r="56" spans="4:15" ht="17.25" x14ac:dyDescent="0.3">
      <c r="D56" s="455">
        <v>51</v>
      </c>
      <c r="E56" s="421">
        <f t="array" aca="1" ref="E56" ca="1">IF($D56&gt;Calc1!$B$14,"",ROW(51:51)-SUM((($L$6:$L55="")+($N$6:$N55="")&gt;0)*1))</f>
        <v>51</v>
      </c>
      <c r="F56" s="172">
        <f ca="1">IF(OR($U$16,$D56&gt;Calc1!$B$14),"",$R$5+QUOTIENT(($E56-1),$U$18)*($R$7+$R$9)/1440+SUM($O$6:$O55)/1440)</f>
        <v>0.66666666666666674</v>
      </c>
      <c r="G56" s="174">
        <f ca="1">IF(OR($U$16,$D56&gt;Calc1!$B$14),"",MOD($E56-1,$U$18)+1)</f>
        <v>3</v>
      </c>
      <c r="H56" s="291" t="str">
        <f t="shared" ca="1" si="2"/>
        <v>A</v>
      </c>
      <c r="I56" s="535" t="str">
        <f ca="1"/>
        <v>A8</v>
      </c>
      <c r="J56" s="314" t="s">
        <v>5</v>
      </c>
      <c r="K56" s="536" t="str">
        <f ca="1"/>
        <v>A3</v>
      </c>
      <c r="L56" s="52" t="str">
        <f t="shared" ca="1" si="3"/>
        <v>Knock Out Rangers</v>
      </c>
      <c r="M56" s="50" t="s">
        <v>5</v>
      </c>
      <c r="N56" s="51" t="str">
        <f t="shared" ca="1" si="4"/>
        <v>Eintracht Frankfurt</v>
      </c>
      <c r="O56" s="319"/>
    </row>
    <row r="57" spans="4:15" ht="17.25" x14ac:dyDescent="0.3">
      <c r="D57" s="455">
        <v>52</v>
      </c>
      <c r="E57" s="421">
        <f t="array" aca="1" ref="E57" ca="1">IF($D57&gt;Calc1!$B$14,"",ROW(52:52)-SUM((($L$6:$L56="")+($N$6:$N56="")&gt;0)*1))</f>
        <v>52</v>
      </c>
      <c r="F57" s="172">
        <f ca="1">IF(OR($U$16,$D57&gt;Calc1!$B$14),"",$R$5+QUOTIENT(($E57-1),$U$18)*($R$7+$R$9)/1440+SUM($O$6:$O56)/1440)</f>
        <v>0.66666666666666674</v>
      </c>
      <c r="G57" s="174">
        <f ca="1">IF(OR($U$16,$D57&gt;Calc1!$B$14),"",MOD($E57-1,$U$18)+1)</f>
        <v>4</v>
      </c>
      <c r="H57" s="291" t="str">
        <f t="shared" ca="1" si="2"/>
        <v>B</v>
      </c>
      <c r="I57" s="535" t="str">
        <f ca="1"/>
        <v>B8</v>
      </c>
      <c r="J57" s="314" t="s">
        <v>5</v>
      </c>
      <c r="K57" s="536" t="str">
        <f ca="1"/>
        <v>B3</v>
      </c>
      <c r="L57" s="52" t="str">
        <f t="shared" ca="1" si="3"/>
        <v>Borussia Heine</v>
      </c>
      <c r="M57" s="50" t="s">
        <v>5</v>
      </c>
      <c r="N57" s="51" t="str">
        <f t="shared" ca="1" si="4"/>
        <v>SSV Wildbach</v>
      </c>
      <c r="O57" s="319"/>
    </row>
    <row r="58" spans="4:15" ht="17.25" x14ac:dyDescent="0.3">
      <c r="D58" s="455">
        <v>53</v>
      </c>
      <c r="E58" s="421">
        <f t="array" aca="1" ref="E58" ca="1">IF($D58&gt;Calc1!$B$14,"",ROW(53:53)-SUM((($L$6:$L57="")+($N$6:$N57="")&gt;0)*1))</f>
        <v>53</v>
      </c>
      <c r="F58" s="172">
        <f ca="1">IF(OR($U$16,$D58&gt;Calc1!$B$14),"",$R$5+QUOTIENT(($E58-1),$U$18)*($R$7+$R$9)/1440+SUM($O$6:$O57)/1440)</f>
        <v>0.69097222222222221</v>
      </c>
      <c r="G58" s="174">
        <f ca="1">IF(OR($U$16,$D58&gt;Calc1!$B$14),"",MOD($E58-1,$U$18)+1)</f>
        <v>1</v>
      </c>
      <c r="H58" s="291" t="str">
        <f t="shared" ca="1" si="2"/>
        <v>A</v>
      </c>
      <c r="I58" s="535" t="str">
        <f ca="1"/>
        <v>A4</v>
      </c>
      <c r="J58" s="314" t="s">
        <v>5</v>
      </c>
      <c r="K58" s="536" t="str">
        <f ca="1"/>
        <v>A7</v>
      </c>
      <c r="L58" s="52" t="str">
        <f t="shared" ca="1" si="3"/>
        <v>Maibach 1822 eV</v>
      </c>
      <c r="M58" s="50" t="s">
        <v>5</v>
      </c>
      <c r="N58" s="51" t="str">
        <f t="shared" ca="1" si="4"/>
        <v>Raslo Winners</v>
      </c>
      <c r="O58" s="319"/>
    </row>
    <row r="59" spans="4:15" ht="17.25" x14ac:dyDescent="0.3">
      <c r="D59" s="455">
        <v>54</v>
      </c>
      <c r="E59" s="421">
        <f t="array" aca="1" ref="E59" ca="1">IF($D59&gt;Calc1!$B$14,"",ROW(54:54)-SUM((($L$6:$L58="")+($N$6:$N58="")&gt;0)*1))</f>
        <v>54</v>
      </c>
      <c r="F59" s="172">
        <f ca="1">IF(OR($U$16,$D59&gt;Calc1!$B$14),"",$R$5+QUOTIENT(($E59-1),$U$18)*($R$7+$R$9)/1440+SUM($O$6:$O58)/1440)</f>
        <v>0.69097222222222221</v>
      </c>
      <c r="G59" s="174">
        <f ca="1">IF(OR($U$16,$D59&gt;Calc1!$B$14),"",MOD($E59-1,$U$18)+1)</f>
        <v>2</v>
      </c>
      <c r="H59" s="291" t="str">
        <f t="shared" ca="1" si="2"/>
        <v>B</v>
      </c>
      <c r="I59" s="535" t="str">
        <f ca="1"/>
        <v>B4</v>
      </c>
      <c r="J59" s="314" t="s">
        <v>5</v>
      </c>
      <c r="K59" s="536" t="str">
        <f ca="1"/>
        <v>B7</v>
      </c>
      <c r="L59" s="52" t="str">
        <f t="shared" ca="1" si="3"/>
        <v>Manchester City</v>
      </c>
      <c r="M59" s="50" t="s">
        <v>5</v>
      </c>
      <c r="N59" s="51" t="str">
        <f t="shared" ca="1" si="4"/>
        <v>VFL Ronsdorf</v>
      </c>
      <c r="O59" s="319"/>
    </row>
    <row r="60" spans="4:15" ht="17.25" x14ac:dyDescent="0.3">
      <c r="D60" s="455">
        <v>55</v>
      </c>
      <c r="E60" s="421">
        <f t="array" aca="1" ref="E60" ca="1">IF($D60&gt;Calc1!$B$14,"",ROW(55:55)-SUM((($L$6:$L59="")+($N$6:$N59="")&gt;0)*1))</f>
        <v>55</v>
      </c>
      <c r="F60" s="172">
        <f ca="1">IF(OR($U$16,$D60&gt;Calc1!$B$14),"",$R$5+QUOTIENT(($E60-1),$U$18)*($R$7+$R$9)/1440+SUM($O$6:$O59)/1440)</f>
        <v>0.69097222222222221</v>
      </c>
      <c r="G60" s="174">
        <f ca="1">IF(OR($U$16,$D60&gt;Calc1!$B$14),"",MOD($E60-1,$U$18)+1)</f>
        <v>3</v>
      </c>
      <c r="H60" s="291" t="str">
        <f t="shared" ca="1" si="2"/>
        <v>A</v>
      </c>
      <c r="I60" s="535" t="str">
        <f ca="1"/>
        <v>A6</v>
      </c>
      <c r="J60" s="314" t="s">
        <v>5</v>
      </c>
      <c r="K60" s="536" t="str">
        <f ca="1"/>
        <v>A5</v>
      </c>
      <c r="L60" s="52" t="str">
        <f t="shared" ca="1" si="3"/>
        <v>Fun Kickers Oes</v>
      </c>
      <c r="M60" s="50" t="s">
        <v>5</v>
      </c>
      <c r="N60" s="51" t="str">
        <f t="shared" ca="1" si="4"/>
        <v>VFB Essenheim</v>
      </c>
      <c r="O60" s="319"/>
    </row>
    <row r="61" spans="4:15" ht="17.25" x14ac:dyDescent="0.3">
      <c r="D61" s="455">
        <v>56</v>
      </c>
      <c r="E61" s="421">
        <f t="array" aca="1" ref="E61" ca="1">IF($D61&gt;Calc1!$B$14,"",ROW(56:56)-SUM((($L$6:$L60="")+($N$6:$N60="")&gt;0)*1))</f>
        <v>56</v>
      </c>
      <c r="F61" s="172">
        <f ca="1">IF(OR($U$16,$D61&gt;Calc1!$B$14),"",$R$5+QUOTIENT(($E61-1),$U$18)*($R$7+$R$9)/1440+SUM($O$6:$O60)/1440)</f>
        <v>0.69097222222222221</v>
      </c>
      <c r="G61" s="174">
        <f ca="1">IF(OR($U$16,$D61&gt;Calc1!$B$14),"",MOD($E61-1,$U$18)+1)</f>
        <v>4</v>
      </c>
      <c r="H61" s="291" t="str">
        <f t="shared" ca="1" si="2"/>
        <v>B</v>
      </c>
      <c r="I61" s="535" t="str">
        <f ca="1"/>
        <v>B6</v>
      </c>
      <c r="J61" s="314" t="s">
        <v>5</v>
      </c>
      <c r="K61" s="536" t="str">
        <f ca="1"/>
        <v>B5</v>
      </c>
      <c r="L61" s="52" t="str">
        <f t="shared" ca="1" si="3"/>
        <v>AC Roma</v>
      </c>
      <c r="M61" s="50" t="s">
        <v>5</v>
      </c>
      <c r="N61" s="51" t="str">
        <f t="shared" ca="1" si="4"/>
        <v>FC Grönlingen</v>
      </c>
      <c r="O61" s="319"/>
    </row>
    <row r="62" spans="4:15" ht="17.25" x14ac:dyDescent="0.3">
      <c r="D62" s="455">
        <v>57</v>
      </c>
      <c r="E62" s="421" t="str">
        <f t="array" ref="E62">IF($D62&gt;Calc1!$B$14,"",ROW(57:57)-SUM((($L$6:$L61="")+($N$6:$N61="")&gt;0)*1))</f>
        <v/>
      </c>
      <c r="F62" s="172" t="str">
        <f>IF(OR($U$16,$D62&gt;Calc1!$B$14),"",$R$5+QUOTIENT(($E62-1),$U$18)*($R$7+$R$9)/1440+SUM($O$6:$O61)/1440)</f>
        <v/>
      </c>
      <c r="G62" s="174" t="str">
        <f>IF(OR($U$16,$D62&gt;Calc1!$B$14),"",MOD($E62-1,$U$18)+1)</f>
        <v/>
      </c>
      <c r="H62" s="291" t="str">
        <f t="shared" ca="1" si="2"/>
        <v/>
      </c>
      <c r="I62" s="535" t="str">
        <f ca="1"/>
        <v/>
      </c>
      <c r="J62" s="314" t="s">
        <v>5</v>
      </c>
      <c r="K62" s="536" t="str">
        <f ca="1"/>
        <v/>
      </c>
      <c r="L62" s="52" t="str">
        <f t="shared" ca="1" si="3"/>
        <v/>
      </c>
      <c r="M62" s="50" t="s">
        <v>5</v>
      </c>
      <c r="N62" s="51" t="str">
        <f t="shared" ca="1" si="4"/>
        <v/>
      </c>
      <c r="O62" s="319"/>
    </row>
    <row r="63" spans="4:15" ht="17.25" x14ac:dyDescent="0.3">
      <c r="D63" s="455">
        <v>58</v>
      </c>
      <c r="E63" s="421" t="str">
        <f t="array" ref="E63">IF($D63&gt;Calc1!$B$14,"",ROW(58:58)-SUM((($L$6:$L62="")+($N$6:$N62="")&gt;0)*1))</f>
        <v/>
      </c>
      <c r="F63" s="172" t="str">
        <f>IF(OR($U$16,$D63&gt;Calc1!$B$14),"",$R$5+QUOTIENT(($E63-1),$U$18)*($R$7+$R$9)/1440+SUM($O$6:$O62)/1440)</f>
        <v/>
      </c>
      <c r="G63" s="174" t="str">
        <f>IF(OR($U$16,$D63&gt;Calc1!$B$14),"",MOD($E63-1,$U$18)+1)</f>
        <v/>
      </c>
      <c r="H63" s="291" t="str">
        <f t="shared" ca="1" si="2"/>
        <v/>
      </c>
      <c r="I63" s="535" t="str">
        <f ca="1"/>
        <v/>
      </c>
      <c r="J63" s="314" t="s">
        <v>5</v>
      </c>
      <c r="K63" s="536" t="str">
        <f ca="1"/>
        <v/>
      </c>
      <c r="L63" s="52" t="str">
        <f t="shared" ca="1" si="3"/>
        <v/>
      </c>
      <c r="M63" s="50" t="s">
        <v>5</v>
      </c>
      <c r="N63" s="51" t="str">
        <f t="shared" ca="1" si="4"/>
        <v/>
      </c>
      <c r="O63" s="319"/>
    </row>
    <row r="64" spans="4:15" ht="17.25" x14ac:dyDescent="0.3">
      <c r="D64" s="455">
        <v>59</v>
      </c>
      <c r="E64" s="421" t="str">
        <f t="array" ref="E64">IF($D64&gt;Calc1!$B$14,"",ROW(59:59)-SUM((($L$6:$L63="")+($N$6:$N63="")&gt;0)*1))</f>
        <v/>
      </c>
      <c r="F64" s="172" t="str">
        <f>IF(OR($U$16,$D64&gt;Calc1!$B$14),"",$R$5+QUOTIENT(($E64-1),$U$18)*($R$7+$R$9)/1440+SUM($O$6:$O63)/1440)</f>
        <v/>
      </c>
      <c r="G64" s="174" t="str">
        <f>IF(OR($U$16,$D64&gt;Calc1!$B$14),"",MOD($E64-1,$U$18)+1)</f>
        <v/>
      </c>
      <c r="H64" s="291" t="str">
        <f t="shared" ca="1" si="2"/>
        <v/>
      </c>
      <c r="I64" s="535" t="str">
        <f ca="1"/>
        <v/>
      </c>
      <c r="J64" s="314" t="s">
        <v>5</v>
      </c>
      <c r="K64" s="536" t="str">
        <f ca="1"/>
        <v/>
      </c>
      <c r="L64" s="52" t="str">
        <f t="shared" ca="1" si="3"/>
        <v/>
      </c>
      <c r="M64" s="50" t="s">
        <v>5</v>
      </c>
      <c r="N64" s="51" t="str">
        <f t="shared" ca="1" si="4"/>
        <v/>
      </c>
      <c r="O64" s="319"/>
    </row>
    <row r="65" spans="4:16" ht="17.25" x14ac:dyDescent="0.3">
      <c r="D65" s="455">
        <v>60</v>
      </c>
      <c r="E65" s="421" t="str">
        <f t="array" ref="E65">IF($D65&gt;Calc1!$B$14,"",ROW(60:60)-SUM((($L$6:$L64="")+($N$6:$N64="")&gt;0)*1))</f>
        <v/>
      </c>
      <c r="F65" s="172" t="str">
        <f>IF(OR($U$16,$D65&gt;Calc1!$B$14),"",$R$5+QUOTIENT(($E65-1),$U$18)*($R$7+$R$9)/1440+SUM($O$6:$O64)/1440)</f>
        <v/>
      </c>
      <c r="G65" s="174" t="str">
        <f>IF(OR($U$16,$D65&gt;Calc1!$B$14),"",MOD($E65-1,$U$18)+1)</f>
        <v/>
      </c>
      <c r="H65" s="291" t="str">
        <f t="shared" ca="1" si="2"/>
        <v/>
      </c>
      <c r="I65" s="535" t="str">
        <f ca="1"/>
        <v/>
      </c>
      <c r="J65" s="314" t="s">
        <v>5</v>
      </c>
      <c r="K65" s="536" t="str">
        <f ca="1"/>
        <v/>
      </c>
      <c r="L65" s="52" t="str">
        <f t="shared" ca="1" si="3"/>
        <v/>
      </c>
      <c r="M65" s="50" t="s">
        <v>5</v>
      </c>
      <c r="N65" s="51" t="str">
        <f t="shared" ca="1" si="4"/>
        <v/>
      </c>
      <c r="O65" s="319"/>
    </row>
    <row r="66" spans="4:16" ht="17.25" x14ac:dyDescent="0.3">
      <c r="D66" s="455">
        <v>61</v>
      </c>
      <c r="E66" s="421" t="str">
        <f t="array" ref="E66">IF($D66&gt;Calc1!$B$14,"",ROW(61:61)-SUM((($L$6:$L65="")+($N$6:$N65="")&gt;0)*1))</f>
        <v/>
      </c>
      <c r="F66" s="172" t="str">
        <f>IF(OR($U$16,$D66&gt;Calc1!$B$14),"",$R$5+QUOTIENT(($E66-1),$U$18)*($R$7+$R$9)/1440+SUM($O$6:$O65)/1440)</f>
        <v/>
      </c>
      <c r="G66" s="174" t="str">
        <f>IF(OR($U$16,$D66&gt;Calc1!$B$14),"",MOD($E66-1,$U$18)+1)</f>
        <v/>
      </c>
      <c r="H66" s="291" t="str">
        <f t="shared" ca="1" si="2"/>
        <v/>
      </c>
      <c r="I66" s="535" t="str">
        <f ca="1"/>
        <v/>
      </c>
      <c r="J66" s="314" t="s">
        <v>5</v>
      </c>
      <c r="K66" s="536" t="str">
        <f ca="1"/>
        <v/>
      </c>
      <c r="L66" s="52" t="str">
        <f t="shared" ca="1" si="3"/>
        <v/>
      </c>
      <c r="M66" s="50" t="s">
        <v>5</v>
      </c>
      <c r="N66" s="51" t="str">
        <f t="shared" ca="1" si="4"/>
        <v/>
      </c>
      <c r="O66" s="319"/>
    </row>
    <row r="67" spans="4:16" ht="17.25" x14ac:dyDescent="0.3">
      <c r="D67" s="455">
        <v>62</v>
      </c>
      <c r="E67" s="421" t="str">
        <f t="array" ref="E67">IF($D67&gt;Calc1!$B$14,"",ROW(62:62)-SUM((($L$6:$L66="")+($N$6:$N66="")&gt;0)*1))</f>
        <v/>
      </c>
      <c r="F67" s="172" t="str">
        <f>IF(OR($U$16,$D67&gt;Calc1!$B$14),"",$R$5+QUOTIENT(($E67-1),$U$18)*($R$7+$R$9)/1440+SUM($O$6:$O66)/1440)</f>
        <v/>
      </c>
      <c r="G67" s="174" t="str">
        <f>IF(OR($U$16,$D67&gt;Calc1!$B$14),"",MOD($E67-1,$U$18)+1)</f>
        <v/>
      </c>
      <c r="H67" s="291" t="str">
        <f t="shared" ca="1" si="2"/>
        <v/>
      </c>
      <c r="I67" s="535" t="str">
        <f ca="1"/>
        <v/>
      </c>
      <c r="J67" s="314" t="s">
        <v>5</v>
      </c>
      <c r="K67" s="536" t="str">
        <f ca="1"/>
        <v/>
      </c>
      <c r="L67" s="52" t="str">
        <f t="shared" ca="1" si="3"/>
        <v/>
      </c>
      <c r="M67" s="50" t="s">
        <v>5</v>
      </c>
      <c r="N67" s="51" t="str">
        <f t="shared" ca="1" si="4"/>
        <v/>
      </c>
      <c r="O67" s="319"/>
    </row>
    <row r="68" spans="4:16" ht="17.25" x14ac:dyDescent="0.3">
      <c r="D68" s="455">
        <v>63</v>
      </c>
      <c r="E68" s="421" t="str">
        <f t="array" ref="E68">IF($D68&gt;Calc1!$B$14,"",ROW(63:63)-SUM((($L$6:$L67="")+($N$6:$N67="")&gt;0)*1))</f>
        <v/>
      </c>
      <c r="F68" s="172" t="str">
        <f>IF(OR($U$16,$D68&gt;Calc1!$B$14),"",$R$5+QUOTIENT(($E68-1),$U$18)*($R$7+$R$9)/1440+SUM($O$6:$O67)/1440)</f>
        <v/>
      </c>
      <c r="G68" s="174" t="str">
        <f>IF(OR($U$16,$D68&gt;Calc1!$B$14),"",MOD($E68-1,$U$18)+1)</f>
        <v/>
      </c>
      <c r="H68" s="291" t="str">
        <f t="shared" ca="1" si="2"/>
        <v/>
      </c>
      <c r="I68" s="535" t="str">
        <f ca="1"/>
        <v/>
      </c>
      <c r="J68" s="314" t="s">
        <v>5</v>
      </c>
      <c r="K68" s="536" t="str">
        <f ca="1"/>
        <v/>
      </c>
      <c r="L68" s="52" t="str">
        <f t="shared" ca="1" si="3"/>
        <v/>
      </c>
      <c r="M68" s="50" t="s">
        <v>5</v>
      </c>
      <c r="N68" s="51" t="str">
        <f t="shared" ca="1" si="4"/>
        <v/>
      </c>
      <c r="O68" s="319"/>
    </row>
    <row r="69" spans="4:16" ht="17.25" x14ac:dyDescent="0.3">
      <c r="D69" s="455">
        <v>64</v>
      </c>
      <c r="E69" s="421" t="str">
        <f t="array" ref="E69">IF($D69&gt;Calc1!$B$14,"",ROW(64:64)-SUM((($L$6:$L68="")+($N$6:$N68="")&gt;0)*1))</f>
        <v/>
      </c>
      <c r="F69" s="172" t="str">
        <f>IF(OR($U$16,$D69&gt;Calc1!$B$14),"",$R$5+QUOTIENT(($E69-1),$U$18)*($R$7+$R$9)/1440+SUM($O$6:$O68)/1440)</f>
        <v/>
      </c>
      <c r="G69" s="174" t="str">
        <f>IF(OR($U$16,$D69&gt;Calc1!$B$14),"",MOD($E69-1,$U$18)+1)</f>
        <v/>
      </c>
      <c r="H69" s="291" t="str">
        <f t="shared" ca="1" si="2"/>
        <v/>
      </c>
      <c r="I69" s="535" t="str">
        <f ca="1"/>
        <v/>
      </c>
      <c r="J69" s="314" t="s">
        <v>5</v>
      </c>
      <c r="K69" s="536" t="str">
        <f ca="1"/>
        <v/>
      </c>
      <c r="L69" s="52" t="str">
        <f t="shared" ca="1" si="3"/>
        <v/>
      </c>
      <c r="M69" s="50" t="s">
        <v>5</v>
      </c>
      <c r="N69" s="51" t="str">
        <f t="shared" ca="1" si="4"/>
        <v/>
      </c>
      <c r="O69" s="319"/>
    </row>
    <row r="70" spans="4:16" ht="17.25" x14ac:dyDescent="0.3">
      <c r="D70" s="455">
        <v>65</v>
      </c>
      <c r="E70" s="421" t="str">
        <f t="array" ref="E70">IF($D70&gt;Calc1!$B$14,"",ROW(65:65)-SUM((($L$6:$L69="")+($N$6:$N69="")&gt;0)*1))</f>
        <v/>
      </c>
      <c r="F70" s="172" t="str">
        <f>IF(OR($U$16,$D70&gt;Calc1!$B$14),"",$R$5+QUOTIENT(($E70-1),$U$18)*($R$7+$R$9)/1440+SUM($O$6:$O69)/1440)</f>
        <v/>
      </c>
      <c r="G70" s="174" t="str">
        <f>IF(OR($U$16,$D70&gt;Calc1!$B$14),"",MOD($E70-1,$U$18)+1)</f>
        <v/>
      </c>
      <c r="H70" s="291" t="str">
        <f t="shared" ca="1" si="2"/>
        <v/>
      </c>
      <c r="I70" s="535" t="str">
        <f ca="1"/>
        <v/>
      </c>
      <c r="J70" s="314" t="s">
        <v>5</v>
      </c>
      <c r="K70" s="536" t="str">
        <f ca="1"/>
        <v/>
      </c>
      <c r="L70" s="52" t="str">
        <f t="shared" ca="1" si="3"/>
        <v/>
      </c>
      <c r="M70" s="50" t="s">
        <v>5</v>
      </c>
      <c r="N70" s="51" t="str">
        <f t="shared" ca="1" si="4"/>
        <v/>
      </c>
      <c r="O70" s="319"/>
    </row>
    <row r="71" spans="4:16" ht="17.25" x14ac:dyDescent="0.3">
      <c r="D71" s="455">
        <v>66</v>
      </c>
      <c r="E71" s="421" t="str">
        <f t="array" ref="E71">IF($D71&gt;Calc1!$B$14,"",ROW(66:66)-SUM((($L$6:$L70="")+($N$6:$N70="")&gt;0)*1))</f>
        <v/>
      </c>
      <c r="F71" s="172" t="str">
        <f>IF(OR($U$16,$D71&gt;Calc1!$B$14),"",$R$5+QUOTIENT(($E71-1),$U$18)*($R$7+$R$9)/1440+SUM($O$6:$O70)/1440)</f>
        <v/>
      </c>
      <c r="G71" s="174" t="str">
        <f>IF(OR($U$16,$D71&gt;Calc1!$B$14),"",MOD($E71-1,$U$18)+1)</f>
        <v/>
      </c>
      <c r="H71" s="291" t="str">
        <f t="shared" ca="1" si="2"/>
        <v/>
      </c>
      <c r="I71" s="535" t="str">
        <f ca="1"/>
        <v/>
      </c>
      <c r="J71" s="314" t="s">
        <v>5</v>
      </c>
      <c r="K71" s="536" t="str">
        <f ca="1"/>
        <v/>
      </c>
      <c r="L71" s="52" t="str">
        <f t="shared" ca="1" si="3"/>
        <v/>
      </c>
      <c r="M71" s="50" t="s">
        <v>5</v>
      </c>
      <c r="N71" s="51" t="str">
        <f t="shared" ca="1" si="4"/>
        <v/>
      </c>
      <c r="O71" s="319"/>
    </row>
    <row r="72" spans="4:16" ht="17.25" x14ac:dyDescent="0.3">
      <c r="D72" s="455">
        <v>67</v>
      </c>
      <c r="E72" s="421" t="str">
        <f t="array" ref="E72">IF($D72&gt;Calc1!$B$14,"",ROW(67:67)-SUM((($L$6:$L71="")+($N$6:$N71="")&gt;0)*1))</f>
        <v/>
      </c>
      <c r="F72" s="172" t="str">
        <f>IF(OR($U$16,$D72&gt;Calc1!$B$14),"",$R$5+QUOTIENT(($E72-1),$U$18)*($R$7+$R$9)/1440+SUM($O$6:$O71)/1440)</f>
        <v/>
      </c>
      <c r="G72" s="174" t="str">
        <f>IF(OR($U$16,$D72&gt;Calc1!$B$14),"",MOD($E72-1,$U$18)+1)</f>
        <v/>
      </c>
      <c r="H72" s="291" t="str">
        <f t="shared" ca="1" si="2"/>
        <v/>
      </c>
      <c r="I72" s="535" t="str">
        <f ca="1"/>
        <v/>
      </c>
      <c r="J72" s="314" t="s">
        <v>5</v>
      </c>
      <c r="K72" s="536" t="str">
        <f ca="1"/>
        <v/>
      </c>
      <c r="L72" s="52" t="str">
        <f t="shared" ca="1" si="3"/>
        <v/>
      </c>
      <c r="M72" s="50" t="s">
        <v>5</v>
      </c>
      <c r="N72" s="51" t="str">
        <f t="shared" ca="1" si="4"/>
        <v/>
      </c>
      <c r="O72" s="319"/>
    </row>
    <row r="73" spans="4:16" ht="17.25" x14ac:dyDescent="0.3">
      <c r="D73" s="455">
        <v>68</v>
      </c>
      <c r="E73" s="421" t="str">
        <f t="array" ref="E73">IF($D73&gt;Calc1!$B$14,"",ROW(68:68)-SUM((($L$6:$L72="")+($N$6:$N72="")&gt;0)*1))</f>
        <v/>
      </c>
      <c r="F73" s="172" t="str">
        <f>IF(OR($U$16,$D73&gt;Calc1!$B$14),"",$R$5+QUOTIENT(($E73-1),$U$18)*($R$7+$R$9)/1440+SUM($O$6:$O72)/1440)</f>
        <v/>
      </c>
      <c r="G73" s="174" t="str">
        <f>IF(OR($U$16,$D73&gt;Calc1!$B$14),"",MOD($E73-1,$U$18)+1)</f>
        <v/>
      </c>
      <c r="H73" s="291" t="str">
        <f t="shared" ca="1" si="2"/>
        <v/>
      </c>
      <c r="I73" s="535" t="str">
        <f ca="1"/>
        <v/>
      </c>
      <c r="J73" s="314" t="s">
        <v>5</v>
      </c>
      <c r="K73" s="536" t="str">
        <f ca="1"/>
        <v/>
      </c>
      <c r="L73" s="52" t="str">
        <f t="shared" ca="1" si="3"/>
        <v/>
      </c>
      <c r="M73" s="50" t="s">
        <v>5</v>
      </c>
      <c r="N73" s="51" t="str">
        <f t="shared" ca="1" si="4"/>
        <v/>
      </c>
      <c r="O73" s="319"/>
    </row>
    <row r="74" spans="4:16" ht="17.25" x14ac:dyDescent="0.3">
      <c r="D74" s="455">
        <v>69</v>
      </c>
      <c r="E74" s="421" t="str">
        <f t="array" ref="E74">IF($D74&gt;Calc1!$B$14,"",ROW(69:69)-SUM((($L$6:$L73="")+($N$6:$N73="")&gt;0)*1))</f>
        <v/>
      </c>
      <c r="F74" s="172" t="str">
        <f>IF(OR($U$16,$D74&gt;Calc1!$B$14),"",$R$5+QUOTIENT(($E74-1),$U$18)*($R$7+$R$9)/1440+SUM($O$6:$O73)/1440)</f>
        <v/>
      </c>
      <c r="G74" s="174" t="str">
        <f>IF(OR($U$16,$D74&gt;Calc1!$B$14),"",MOD($E74-1,$U$18)+1)</f>
        <v/>
      </c>
      <c r="H74" s="291" t="str">
        <f t="shared" ca="1" si="2"/>
        <v/>
      </c>
      <c r="I74" s="535" t="str">
        <f ca="1"/>
        <v/>
      </c>
      <c r="J74" s="314" t="s">
        <v>5</v>
      </c>
      <c r="K74" s="536" t="str">
        <f ca="1"/>
        <v/>
      </c>
      <c r="L74" s="52" t="str">
        <f t="shared" ca="1" si="3"/>
        <v/>
      </c>
      <c r="M74" s="50" t="s">
        <v>5</v>
      </c>
      <c r="N74" s="51" t="str">
        <f t="shared" ca="1" si="4"/>
        <v/>
      </c>
      <c r="O74" s="319"/>
    </row>
    <row r="75" spans="4:16" ht="17.25" x14ac:dyDescent="0.3">
      <c r="D75" s="455">
        <v>70</v>
      </c>
      <c r="E75" s="421" t="str">
        <f t="array" ref="E75">IF($D75&gt;Calc1!$B$14,"",ROW(70:70)-SUM((($L$6:$L74="")+($N$6:$N74="")&gt;0)*1))</f>
        <v/>
      </c>
      <c r="F75" s="172" t="str">
        <f>IF(OR($U$16,$D75&gt;Calc1!$B$14),"",$R$5+QUOTIENT(($E75-1),$U$18)*($R$7+$R$9)/1440+SUM($O$6:$O74)/1440)</f>
        <v/>
      </c>
      <c r="G75" s="174" t="str">
        <f>IF(OR($U$16,$D75&gt;Calc1!$B$14),"",MOD($E75-1,$U$18)+1)</f>
        <v/>
      </c>
      <c r="H75" s="291" t="str">
        <f t="shared" ca="1" si="2"/>
        <v/>
      </c>
      <c r="I75" s="535" t="str">
        <f ca="1"/>
        <v/>
      </c>
      <c r="J75" s="314" t="s">
        <v>5</v>
      </c>
      <c r="K75" s="536" t="str">
        <f ca="1"/>
        <v/>
      </c>
      <c r="L75" s="52" t="str">
        <f t="shared" ca="1" si="3"/>
        <v/>
      </c>
      <c r="M75" s="50" t="s">
        <v>5</v>
      </c>
      <c r="N75" s="51" t="str">
        <f t="shared" ca="1" si="4"/>
        <v/>
      </c>
      <c r="O75" s="319"/>
    </row>
    <row r="76" spans="4:16" ht="17.25" x14ac:dyDescent="0.3">
      <c r="D76" s="455">
        <v>71</v>
      </c>
      <c r="E76" s="421" t="str">
        <f t="array" ref="E76">IF($D76&gt;Calc1!$B$14,"",ROW(71:71)-SUM((($L$6:$L75="")+($N$6:$N75="")&gt;0)*1))</f>
        <v/>
      </c>
      <c r="F76" s="172" t="str">
        <f>IF(OR($U$16,$D76&gt;Calc1!$B$14),"",$R$5+QUOTIENT(($E76-1),$U$18)*($R$7+$R$9)/1440+SUM($O$6:$O75)/1440)</f>
        <v/>
      </c>
      <c r="G76" s="174" t="str">
        <f>IF(OR($U$16,$D76&gt;Calc1!$B$14),"",MOD($E76-1,$U$18)+1)</f>
        <v/>
      </c>
      <c r="H76" s="291" t="str">
        <f t="shared" ca="1" si="2"/>
        <v/>
      </c>
      <c r="I76" s="535" t="str">
        <f ca="1"/>
        <v/>
      </c>
      <c r="J76" s="314" t="s">
        <v>5</v>
      </c>
      <c r="K76" s="536" t="str">
        <f ca="1"/>
        <v/>
      </c>
      <c r="L76" s="52" t="str">
        <f t="shared" ca="1" si="3"/>
        <v/>
      </c>
      <c r="M76" s="50" t="s">
        <v>5</v>
      </c>
      <c r="N76" s="51" t="str">
        <f t="shared" ca="1" si="4"/>
        <v/>
      </c>
      <c r="O76" s="319"/>
    </row>
    <row r="77" spans="4:16" ht="18" thickBot="1" x14ac:dyDescent="0.35">
      <c r="D77" s="455">
        <v>72</v>
      </c>
      <c r="E77" s="422" t="str">
        <f t="array" ref="E77">IF($D77&gt;Calc1!$B$14,"",ROW(72:72)-SUM((($L$6:$L76="")+($N$6:$N76="")&gt;0)*1))</f>
        <v/>
      </c>
      <c r="F77" s="175" t="str">
        <f>IF(OR($U$16,$D77&gt;Calc1!$B$14),"",$R$5+QUOTIENT(($E77-1),$U$18)*($R$7+$R$9)/1440+SUM($O$6:$O76)/1440)</f>
        <v/>
      </c>
      <c r="G77" s="176" t="str">
        <f>IF(OR($U$16,$D77&gt;Calc1!$B$14),"",MOD($E77-1,$U$18)+1)</f>
        <v/>
      </c>
      <c r="H77" s="537" t="str">
        <f t="shared" ca="1" si="2"/>
        <v/>
      </c>
      <c r="I77" s="538" t="str">
        <f ca="1"/>
        <v/>
      </c>
      <c r="J77" s="316" t="s">
        <v>5</v>
      </c>
      <c r="K77" s="539" t="str">
        <f ca="1"/>
        <v/>
      </c>
      <c r="L77" s="540" t="str">
        <f t="shared" ca="1" si="3"/>
        <v/>
      </c>
      <c r="M77" s="177" t="s">
        <v>5</v>
      </c>
      <c r="N77" s="541" t="str">
        <f t="shared" ca="1" si="4"/>
        <v/>
      </c>
      <c r="O77" s="423"/>
      <c r="P77" s="575">
        <f ca="1">OFFSET($O$6,Calc1!$B$14-1,0)</f>
        <v>0</v>
      </c>
    </row>
    <row r="78" spans="4:16" ht="16.5" thickTop="1" x14ac:dyDescent="0.25"/>
    <row r="79" spans="4:16" x14ac:dyDescent="0.25"/>
    <row r="80" spans="4:16" x14ac:dyDescent="0.25"/>
    <row r="81" x14ac:dyDescent="0.25"/>
  </sheetData>
  <sheetProtection sheet="1" selectLockedCells="1"/>
  <mergeCells count="63">
    <mergeCell ref="B47:B48"/>
    <mergeCell ref="C23:C24"/>
    <mergeCell ref="C47:C48"/>
    <mergeCell ref="C19:C20"/>
    <mergeCell ref="B19:B20"/>
    <mergeCell ref="B23:B24"/>
    <mergeCell ref="B43:B44"/>
    <mergeCell ref="C43:C44"/>
    <mergeCell ref="B29:B30"/>
    <mergeCell ref="C29:C30"/>
    <mergeCell ref="C27:C28"/>
    <mergeCell ref="C21:C22"/>
    <mergeCell ref="B21:B22"/>
    <mergeCell ref="B45:B46"/>
    <mergeCell ref="C45:C46"/>
    <mergeCell ref="Q25:S25"/>
    <mergeCell ref="Q26:S26"/>
    <mergeCell ref="E2:N2"/>
    <mergeCell ref="E4:F4"/>
    <mergeCell ref="O4:O5"/>
    <mergeCell ref="R5:R6"/>
    <mergeCell ref="S5:S6"/>
    <mergeCell ref="R9:R10"/>
    <mergeCell ref="S9:S10"/>
    <mergeCell ref="R13:R14"/>
    <mergeCell ref="S13:S14"/>
    <mergeCell ref="Q22:S23"/>
    <mergeCell ref="R11:R12"/>
    <mergeCell ref="S11:S12"/>
    <mergeCell ref="B5:B6"/>
    <mergeCell ref="C5:C6"/>
    <mergeCell ref="I5:K5"/>
    <mergeCell ref="L5:N5"/>
    <mergeCell ref="Q5:Q6"/>
    <mergeCell ref="B7:B8"/>
    <mergeCell ref="C7:C8"/>
    <mergeCell ref="Q7:Q8"/>
    <mergeCell ref="R7:R8"/>
    <mergeCell ref="S7:S8"/>
    <mergeCell ref="B9:B10"/>
    <mergeCell ref="C9:C10"/>
    <mergeCell ref="Q9:Q10"/>
    <mergeCell ref="B13:B14"/>
    <mergeCell ref="C13:C14"/>
    <mergeCell ref="Q13:Q14"/>
    <mergeCell ref="B11:B12"/>
    <mergeCell ref="C11:C12"/>
    <mergeCell ref="Q11:Q12"/>
    <mergeCell ref="C17:C18"/>
    <mergeCell ref="B15:B16"/>
    <mergeCell ref="C15:C16"/>
    <mergeCell ref="B17:B18"/>
    <mergeCell ref="B41:B42"/>
    <mergeCell ref="C41:C42"/>
    <mergeCell ref="B35:B36"/>
    <mergeCell ref="C35:C36"/>
    <mergeCell ref="B37:B38"/>
    <mergeCell ref="C37:C38"/>
    <mergeCell ref="B39:B40"/>
    <mergeCell ref="C39:C40"/>
    <mergeCell ref="B33:B34"/>
    <mergeCell ref="C33:C34"/>
    <mergeCell ref="C31:C32"/>
  </mergeCells>
  <conditionalFormatting sqref="C31 C7:C23 C33:C40">
    <cfRule type="duplicateValues" dxfId="65" priority="6"/>
  </conditionalFormatting>
  <conditionalFormatting sqref="H6:H77">
    <cfRule type="expression" dxfId="64" priority="3">
      <formula>$H6="??"</formula>
    </cfRule>
  </conditionalFormatting>
  <conditionalFormatting sqref="C43:C47">
    <cfRule type="duplicateValues" dxfId="63" priority="2"/>
  </conditionalFormatting>
  <conditionalFormatting sqref="E6:N34 I35 E35:H77 K35 J35:J77 L35:N77">
    <cfRule type="expression" dxfId="62" priority="318">
      <formula>AND($L6&lt;&gt;"",$N6&lt;&gt;"",OR($E6=$R$24,$E6=$S$24),NOT($U$16))</formula>
    </cfRule>
    <cfRule type="expression" dxfId="61" priority="319">
      <formula>OR($L6="",$N6="")</formula>
    </cfRule>
  </conditionalFormatting>
  <conditionalFormatting sqref="Q22:S23">
    <cfRule type="expression" dxfId="60" priority="330">
      <formula>AND($R$11&gt;$U$18,NOT($U$16))</formula>
    </cfRule>
  </conditionalFormatting>
  <conditionalFormatting sqref="C41:C42">
    <cfRule type="duplicateValues" dxfId="59" priority="1"/>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XFC31"/>
  <sheetViews>
    <sheetView showGridLines="0" showRowColHeaders="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6.7109375" hidden="1"/>
    <col min="21" max="21" width="17.28515625" hidden="1"/>
    <col min="22" max="16383" width="11.42578125" hidden="1"/>
    <col min="16384" max="16384" width="7.7109375" hidden="1"/>
  </cols>
  <sheetData>
    <row r="1" spans="1:22" ht="13.5" thickBot="1" x14ac:dyDescent="0.25"/>
    <row r="2" spans="1:22" ht="36.75" thickTop="1" x14ac:dyDescent="0.2">
      <c r="E2" s="711" t="str">
        <f>PreliminaryRound!$G$2</f>
        <v>International tournament U10 on Jun. 6th, 2025</v>
      </c>
      <c r="F2" s="712"/>
      <c r="G2" s="712"/>
      <c r="H2" s="712"/>
      <c r="I2" s="712"/>
      <c r="J2" s="712"/>
      <c r="K2" s="712"/>
      <c r="L2" s="712"/>
      <c r="M2" s="712"/>
      <c r="N2" s="712"/>
      <c r="O2" s="712"/>
      <c r="P2" s="713"/>
    </row>
    <row r="3" spans="1:22" ht="30" customHeight="1" x14ac:dyDescent="0.2">
      <c r="E3" s="714" t="str">
        <f>PreliminaryRound!$G$3</f>
        <v>Organizer:  1. FC Riedwald</v>
      </c>
      <c r="F3" s="715"/>
      <c r="G3" s="715"/>
      <c r="H3" s="715"/>
      <c r="I3" s="715"/>
      <c r="J3" s="715"/>
      <c r="K3" s="715"/>
      <c r="L3" s="715"/>
      <c r="M3" s="715"/>
      <c r="N3" s="715"/>
      <c r="O3" s="715"/>
      <c r="P3" s="716"/>
    </row>
    <row r="4" spans="1:22" ht="30" customHeight="1" x14ac:dyDescent="0.2">
      <c r="E4" s="717" t="str">
        <f>PreliminaryRound!$G$4</f>
        <v>Sports hall Wiesengrund, Wendiger Str. 51, 65432 Riedwald</v>
      </c>
      <c r="F4" s="718"/>
      <c r="G4" s="718"/>
      <c r="H4" s="718"/>
      <c r="I4" s="718"/>
      <c r="J4" s="718"/>
      <c r="K4" s="718"/>
      <c r="L4" s="718"/>
      <c r="M4" s="718"/>
      <c r="N4" s="718"/>
      <c r="O4" s="718"/>
      <c r="P4" s="719"/>
    </row>
    <row r="5" spans="1:22" ht="30" customHeight="1" thickBot="1" x14ac:dyDescent="0.25">
      <c r="E5" s="720" t="str">
        <f>PreliminaryRound!$G$5</f>
        <v>Start:  9:00 Uhr</v>
      </c>
      <c r="F5" s="721"/>
      <c r="G5" s="721"/>
      <c r="H5" s="721"/>
      <c r="I5" s="721"/>
      <c r="J5" s="721"/>
      <c r="K5" s="721"/>
      <c r="L5" s="721"/>
      <c r="M5" s="721"/>
      <c r="N5" s="721"/>
      <c r="O5" s="721"/>
      <c r="P5" s="722"/>
    </row>
    <row r="6" spans="1:22" ht="18" customHeight="1" thickTop="1" thickBot="1" x14ac:dyDescent="0.25"/>
    <row r="7" spans="1:22" ht="30" customHeight="1" thickTop="1" x14ac:dyDescent="0.2">
      <c r="G7" s="733" t="str">
        <f>Language!$E$19</f>
        <v>Final round</v>
      </c>
      <c r="H7" s="734"/>
      <c r="I7" s="735"/>
    </row>
    <row r="8" spans="1:22" ht="30" customHeight="1" thickBot="1" x14ac:dyDescent="0.25">
      <c r="G8" s="736"/>
      <c r="H8" s="737"/>
      <c r="I8" s="738"/>
    </row>
    <row r="9" spans="1:22" ht="12.6" customHeight="1" thickTop="1" x14ac:dyDescent="0.2">
      <c r="P9" s="659" t="str">
        <f>Language!$E$20</f>
        <v>Addit. Pause (min)</v>
      </c>
    </row>
    <row r="10" spans="1:22" ht="27.95" customHeight="1" thickBot="1" x14ac:dyDescent="0.35">
      <c r="C10" s="710" t="str">
        <f>Language!$E$60</f>
        <v>Semi-finals</v>
      </c>
      <c r="D10" s="710"/>
      <c r="E10" s="710"/>
      <c r="F10" s="710"/>
      <c r="P10" s="659"/>
    </row>
    <row r="11" spans="1:22" ht="24" customHeight="1" thickTop="1" thickBot="1" x14ac:dyDescent="0.25">
      <c r="B11" s="348"/>
      <c r="C11" s="386" t="str">
        <f>Language!$E$9</f>
        <v>No.</v>
      </c>
      <c r="D11" s="344" t="str">
        <f>Language!$E$39</f>
        <v>Start</v>
      </c>
      <c r="E11" s="333" t="str">
        <f>Language!$E$48</f>
        <v>Field</v>
      </c>
      <c r="F11" s="333"/>
      <c r="G11" s="679" t="str">
        <f>Language!$E$14</f>
        <v>Match pairing</v>
      </c>
      <c r="H11" s="679"/>
      <c r="I11" s="679"/>
      <c r="J11" s="679" t="str">
        <f>Language!$E$15</f>
        <v>Result</v>
      </c>
      <c r="K11" s="679"/>
      <c r="L11" s="679"/>
      <c r="M11" s="679" t="str">
        <f>Language!$E$70</f>
        <v>Penalty</v>
      </c>
      <c r="N11" s="679"/>
      <c r="O11" s="680"/>
      <c r="P11" s="660"/>
      <c r="S11" s="600" t="s">
        <v>16</v>
      </c>
      <c r="T11" s="601" t="s">
        <v>365</v>
      </c>
      <c r="U11" s="601" t="s">
        <v>367</v>
      </c>
      <c r="V11" s="600" t="s">
        <v>366</v>
      </c>
    </row>
    <row r="12" spans="1:22" ht="24" customHeight="1" x14ac:dyDescent="0.2">
      <c r="A12" s="317"/>
      <c r="B12" s="377"/>
      <c r="C12" s="456">
        <f t="array" aca="1" ref="C12" ca="1">73-SUM(((Planning!$L$6:$L$77="")+(Planning!$N$6:$N$77="")&gt;0)*1)</f>
        <v>57</v>
      </c>
      <c r="D12" s="457">
        <f ca="1">IF(Planning!$U$16,"",Planning!$R$13+(Planning!$R$9+Planning!$P$77)/1440)</f>
        <v>0.71527777777777779</v>
      </c>
      <c r="E12" s="340">
        <f>IF(Planning!$U$16,"",1)</f>
        <v>1</v>
      </c>
      <c r="F12" s="329" t="s">
        <v>251</v>
      </c>
      <c r="G12" s="330" t="str">
        <f ca="1">PreliminaryRound!$N$12</f>
        <v>FC Barcelona</v>
      </c>
      <c r="H12" s="331" t="s">
        <v>5</v>
      </c>
      <c r="I12" s="332" t="str">
        <f ca="1">PreliminaryRound!$N$26</f>
        <v>AC Roma</v>
      </c>
      <c r="J12" s="334">
        <v>3</v>
      </c>
      <c r="K12" s="338" t="str">
        <f>Language!$E$80</f>
        <v>-</v>
      </c>
      <c r="L12" s="598">
        <v>2</v>
      </c>
      <c r="M12" s="334"/>
      <c r="N12" s="338" t="str">
        <f>Language!$E$80</f>
        <v>-</v>
      </c>
      <c r="O12" s="335"/>
      <c r="P12" s="341"/>
      <c r="Q12" s="317"/>
      <c r="S12" s="317" t="b">
        <f ca="1">AND($G12&lt;&gt;"",$I12&lt;&gt;"",$J12&lt;&gt;"",$L12&lt;&gt;"")</f>
        <v>1</v>
      </c>
      <c r="T12" s="317" t="str">
        <f ca="1">IF(NOT(S12),"",IF($J12&gt;$L12,$G12,IF($J12&lt;$L12,$I12,IF(OR($M12="",$O12="",$M12=$O12),"",IF($M12&gt;$O12,$G12,$I12)))))</f>
        <v>FC Barcelona</v>
      </c>
      <c r="U12" s="317" t="str">
        <f ca="1">IF(NOT(S12),"",IF($J12&lt;$L12,$G12,IF($J12&gt;$L12,$I12,IF(OR($M12="",$O12="",$M12=$O12),"",IF($M12&lt;$O12,$G12,$I12)))))</f>
        <v>AC Roma</v>
      </c>
      <c r="V12" s="317" t="b">
        <f ca="1">AND(S12,$J12=$L12)</f>
        <v>0</v>
      </c>
    </row>
    <row r="13" spans="1:22" ht="24" customHeight="1" thickBot="1" x14ac:dyDescent="0.25">
      <c r="A13" s="317"/>
      <c r="B13" s="377"/>
      <c r="C13" s="381">
        <f ca="1">$C$12+1</f>
        <v>58</v>
      </c>
      <c r="D13" s="382">
        <f ca="1">IF(Planning!$U$16,"",$D$12+QUOTIENT(1,Planning!$U$18)*(Planning!$R$7+Planning!$R$9)/1440+$P12/1440)</f>
        <v>0.71527777777777779</v>
      </c>
      <c r="E13" s="368">
        <f>IF(Planning!$U$16,"",MOD(1,Planning!$U$18)+1)</f>
        <v>2</v>
      </c>
      <c r="F13" s="328" t="s">
        <v>252</v>
      </c>
      <c r="G13" s="324" t="str">
        <f ca="1">PreliminaryRound!$N$25</f>
        <v>Manchester City</v>
      </c>
      <c r="H13" s="153" t="s">
        <v>5</v>
      </c>
      <c r="I13" s="326" t="str">
        <f ca="1">PreliminaryRound!$N$13</f>
        <v>Eintracht Frankfurt</v>
      </c>
      <c r="J13" s="337">
        <v>4</v>
      </c>
      <c r="K13" s="369" t="str">
        <f>Language!$E$80</f>
        <v>-</v>
      </c>
      <c r="L13" s="591">
        <v>2</v>
      </c>
      <c r="M13" s="337"/>
      <c r="N13" s="369" t="str">
        <f>Language!$E$80</f>
        <v>-</v>
      </c>
      <c r="O13" s="322"/>
      <c r="P13" s="370"/>
      <c r="Q13" s="317"/>
      <c r="S13" s="317" t="b">
        <f t="shared" ref="S13" ca="1" si="0">AND($G13&lt;&gt;"",$I13&lt;&gt;"",$J13&lt;&gt;"",$L13&lt;&gt;"")</f>
        <v>1</v>
      </c>
      <c r="T13" s="317" t="str">
        <f t="shared" ref="T13" ca="1" si="1">IF(NOT(S13),"",IF($J13&gt;$L13,$G13,IF($J13&lt;$L13,$I13,IF(OR($M13="",$O13="",$M13=$O13),"",IF($M13&gt;$O13,$G13,$I13)))))</f>
        <v>Manchester City</v>
      </c>
      <c r="U13" s="317" t="str">
        <f t="shared" ref="U13" ca="1" si="2">IF(NOT(S13),"",IF($J13&lt;$L13,$G13,IF($J13&gt;$L13,$I13,IF(OR($M13="",$O13="",$M13=$O13),"",IF($M13&lt;$O13,$G13,$I13)))))</f>
        <v>Eintracht Frankfurt</v>
      </c>
      <c r="V13" s="317" t="b">
        <f t="shared" ref="V13" ca="1" si="3">AND(S13,$J13=$L13)</f>
        <v>0</v>
      </c>
    </row>
    <row r="14" spans="1:22" ht="27.95" customHeight="1" thickTop="1" thickBot="1" x14ac:dyDescent="0.35">
      <c r="A14" s="317"/>
      <c r="B14" s="378"/>
      <c r="C14" s="746" t="str">
        <f>Language!$E$61</f>
        <v>Finals</v>
      </c>
      <c r="D14" s="746"/>
      <c r="E14" s="746"/>
      <c r="F14" s="746"/>
      <c r="G14" s="443"/>
      <c r="H14" s="123"/>
      <c r="I14" s="443"/>
      <c r="J14" s="357"/>
      <c r="K14" s="357"/>
      <c r="L14" s="357"/>
      <c r="M14" s="357"/>
      <c r="N14" s="357"/>
      <c r="O14" s="357"/>
      <c r="P14" s="359"/>
      <c r="Q14" s="317"/>
    </row>
    <row r="15" spans="1:22" ht="24" customHeight="1" thickTop="1" x14ac:dyDescent="0.2">
      <c r="A15" s="317"/>
      <c r="B15" s="377"/>
      <c r="C15" s="383">
        <f ca="1">$C$12+2</f>
        <v>59</v>
      </c>
      <c r="D15" s="384">
        <f ca="1">IF(Planning!$U$16,"",$D$13+($P$13+Planning!$R$9+Planning!$R$7)/1440)</f>
        <v>0.73958333333333337</v>
      </c>
      <c r="E15" s="360">
        <f>IF(Planning!$U$16,"",1)</f>
        <v>1</v>
      </c>
      <c r="F15" s="361" t="str">
        <f>Language!$E$89</f>
        <v>3rd place</v>
      </c>
      <c r="G15" s="362" t="str">
        <f ca="1">IF(OR($G12="",$I12="",$J12="",$L12=""),"",IF($J12&lt;$L12,$G12,IF($J12&gt;$L12,$I12,IF($M12&lt;$O12,$G12,IF($M12&gt;$O12,$I12,"")))))</f>
        <v>AC Roma</v>
      </c>
      <c r="H15" s="363" t="s">
        <v>5</v>
      </c>
      <c r="I15" s="364" t="str">
        <f ca="1">IF(OR($G13="",$I13="",$J13="",$L13=""),"",IF($J13&lt;$L13,$G13,IF($J13&gt;$L13,$I13,IF($M13&lt;$O13,$G13,IF($M13&gt;$O13,$I13,"")))))</f>
        <v>Eintracht Frankfurt</v>
      </c>
      <c r="J15" s="365">
        <v>3</v>
      </c>
      <c r="K15" s="366" t="str">
        <f>Language!$E$80</f>
        <v>-</v>
      </c>
      <c r="L15" s="599">
        <v>1</v>
      </c>
      <c r="M15" s="365"/>
      <c r="N15" s="366" t="str">
        <f>Language!$E$80</f>
        <v>-</v>
      </c>
      <c r="O15" s="367"/>
      <c r="P15" s="341"/>
      <c r="Q15" s="317"/>
      <c r="S15" s="317" t="b">
        <f ca="1">AND($G15&lt;&gt;"",$I15&lt;&gt;"",$J15&lt;&gt;"",$L15&lt;&gt;"")</f>
        <v>1</v>
      </c>
      <c r="T15" s="317" t="str">
        <f ca="1">IF(NOT(S15),"",IF($J15&gt;$L15,$G15,IF($J15&lt;$L15,$I15,IF(OR($M15="",$O15="",$M15=$O15),"",IF($M15&gt;$O15,$G15,$I15)))))</f>
        <v>AC Roma</v>
      </c>
      <c r="U15" s="317" t="str">
        <f ca="1">IF(NOT(S15),"",IF($J15&lt;$L15,$G15,IF($J15&gt;$L15,$I15,IF(OR($M15="",$O15="",$M15=$O15),"",IF($M15&lt;$O15,$G15,$I15)))))</f>
        <v>Eintracht Frankfurt</v>
      </c>
      <c r="V15" s="317" t="b">
        <f ca="1">AND(S15,$J15=$L15)</f>
        <v>0</v>
      </c>
    </row>
    <row r="16" spans="1:22" ht="24" customHeight="1" thickBot="1" x14ac:dyDescent="0.25">
      <c r="A16" s="317"/>
      <c r="B16" s="377"/>
      <c r="C16" s="381">
        <f ca="1">$C$12+3</f>
        <v>60</v>
      </c>
      <c r="D16" s="382">
        <f ca="1">IF(Planning!$U$16,"",$D$15+($P$15+Planning!$R$9+Planning!$R$7)/1440)</f>
        <v>0.76388888888888895</v>
      </c>
      <c r="E16" s="368">
        <f>IF(Planning!$U$16,"",1)</f>
        <v>1</v>
      </c>
      <c r="F16" s="328" t="str">
        <f>Language!$E$90</f>
        <v>Final</v>
      </c>
      <c r="G16" s="324" t="str">
        <f ca="1">IF(OR($G12="",$I12="",$J12="",$L12=""),"",IF($J12&gt;$L12,$G12,IF($J12&lt;$L12,$I12,IF($M12&gt;$O12,$G12,IF($M12&lt;$O12,$I12,"")))))</f>
        <v>FC Barcelona</v>
      </c>
      <c r="H16" s="153" t="s">
        <v>5</v>
      </c>
      <c r="I16" s="326" t="str">
        <f ca="1">IF(OR($G13="",$I13="",$J13="",$L13=""),"",IF($J13&gt;$L13,$G13,IF($J13&lt;$L13,$I13,IF($M13&gt;$O13,$G13,IF($M13&lt;$O13,$I13,"")))))</f>
        <v>Manchester City</v>
      </c>
      <c r="J16" s="337">
        <v>1</v>
      </c>
      <c r="K16" s="369" t="str">
        <f>Language!$E$80</f>
        <v>-</v>
      </c>
      <c r="L16" s="591">
        <v>2</v>
      </c>
      <c r="M16" s="337"/>
      <c r="N16" s="369" t="str">
        <f>Language!$E$80</f>
        <v>-</v>
      </c>
      <c r="O16" s="322"/>
      <c r="P16" s="355"/>
      <c r="Q16" s="317"/>
      <c r="S16" s="317" t="b">
        <f t="shared" ref="S16" ca="1" si="4">AND($G16&lt;&gt;"",$I16&lt;&gt;"",$J16&lt;&gt;"",$L16&lt;&gt;"")</f>
        <v>1</v>
      </c>
      <c r="T16" s="317" t="str">
        <f t="shared" ref="T16" ca="1" si="5">IF(NOT(S16),"",IF($J16&gt;$L16,$G16,IF($J16&lt;$L16,$I16,IF(OR($M16="",$O16="",$M16=$O16),"",IF($M16&gt;$O16,$G16,$I16)))))</f>
        <v>Manchester City</v>
      </c>
      <c r="U16" s="317" t="str">
        <f t="shared" ref="U16" ca="1" si="6">IF(NOT(S16),"",IF($J16&lt;$L16,$G16,IF($J16&gt;$L16,$I16,IF(OR($M16="",$O16="",$M16=$O16),"",IF($M16&lt;$O16,$G16,$I16)))))</f>
        <v>FC Barcelona</v>
      </c>
      <c r="V16" s="317" t="b">
        <f t="shared" ref="V16" ca="1" si="7">AND(S16,$J16=$L16)</f>
        <v>0</v>
      </c>
    </row>
    <row r="17" spans="3:16383" ht="12.75" customHeight="1" thickTop="1" x14ac:dyDescent="0.2"/>
    <row r="18" spans="3:16383" ht="24" customHeight="1" x14ac:dyDescent="0.2">
      <c r="C18" s="351"/>
      <c r="D18" s="351"/>
      <c r="E18" s="351"/>
      <c r="F18" s="351"/>
      <c r="G18" s="739" t="str">
        <f>Language!$E$29</f>
        <v>Tournament end:</v>
      </c>
      <c r="H18" s="739"/>
      <c r="I18" s="352">
        <f ca="1">IF(Planning!$R$13="","",$D$16+Planning!$R$7/1440)</f>
        <v>0.78472222222222232</v>
      </c>
      <c r="J18" s="353"/>
      <c r="K18" s="353"/>
      <c r="L18" s="353"/>
      <c r="M18" s="353"/>
      <c r="N18" s="353"/>
      <c r="O18" s="353"/>
      <c r="P18" s="353"/>
    </row>
    <row r="19" spans="3:16383" ht="12.75" customHeight="1" x14ac:dyDescent="0.2">
      <c r="D19" s="349"/>
    </row>
    <row r="20" spans="3:16383" ht="12.75" customHeight="1" x14ac:dyDescent="0.2">
      <c r="D20" s="349"/>
    </row>
    <row r="21" spans="3:16383" ht="24" customHeight="1" thickBot="1" x14ac:dyDescent="0.25">
      <c r="F21" s="356" t="str">
        <f>Language!$E$88</f>
        <v>Rank</v>
      </c>
      <c r="G21" s="747" t="str">
        <f>"  "&amp;Language!$E$10</f>
        <v xml:space="preserve">  Participant or team</v>
      </c>
      <c r="H21" s="747"/>
      <c r="I21" s="748"/>
    </row>
    <row r="22" spans="3:16383" ht="24" customHeight="1" thickTop="1" x14ac:dyDescent="0.2">
      <c r="E22" s="350">
        <v>1</v>
      </c>
      <c r="F22" s="387">
        <v>1</v>
      </c>
      <c r="G22" s="749" t="str">
        <f ca="1">$T16</f>
        <v>Manchester City</v>
      </c>
      <c r="H22" s="749"/>
      <c r="I22" s="750"/>
    </row>
    <row r="23" spans="3:16383" ht="24" customHeight="1" x14ac:dyDescent="0.2">
      <c r="E23" s="350">
        <v>2</v>
      </c>
      <c r="F23" s="388">
        <v>2</v>
      </c>
      <c r="G23" s="751" t="str">
        <f ca="1">$U16</f>
        <v>FC Barcelona</v>
      </c>
      <c r="H23" s="751"/>
      <c r="I23" s="752"/>
    </row>
    <row r="24" spans="3:16383" ht="24" customHeight="1" x14ac:dyDescent="0.2">
      <c r="E24" s="350">
        <v>3</v>
      </c>
      <c r="F24" s="389">
        <v>3</v>
      </c>
      <c r="G24" s="753" t="str">
        <f ca="1">$T15</f>
        <v>AC Roma</v>
      </c>
      <c r="H24" s="753"/>
      <c r="I24" s="754"/>
    </row>
    <row r="25" spans="3:16383" ht="24" customHeight="1" thickBot="1" x14ac:dyDescent="0.25">
      <c r="E25" s="350">
        <v>4</v>
      </c>
      <c r="F25" s="391">
        <v>4</v>
      </c>
      <c r="G25" s="744" t="str">
        <f ca="1">$U15</f>
        <v>Eintracht Frankfurt</v>
      </c>
      <c r="H25" s="744"/>
      <c r="I25" s="745"/>
    </row>
    <row r="26" spans="3:16383" s="49" customFormat="1" ht="13.5" thickTop="1" x14ac:dyDescent="0.2">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3:16383" s="49" customFormat="1" x14ac:dyDescent="0.2">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3:16383" s="49" customFormat="1" x14ac:dyDescent="0.2">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3:16383" s="49" customFormat="1" x14ac:dyDescent="0.2">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3:16383" ht="12.75" customHeight="1" x14ac:dyDescent="0.2"/>
    <row r="31" spans="3:16383" ht="12.75" customHeight="1" x14ac:dyDescent="0.2"/>
  </sheetData>
  <sheetProtection sheet="1" selectLockedCells="1"/>
  <mergeCells count="17">
    <mergeCell ref="G25:I25"/>
    <mergeCell ref="C14:F14"/>
    <mergeCell ref="G21:I21"/>
    <mergeCell ref="G22:I22"/>
    <mergeCell ref="G23:I23"/>
    <mergeCell ref="G24:I24"/>
    <mergeCell ref="G18:H18"/>
    <mergeCell ref="E2:P2"/>
    <mergeCell ref="E3:P3"/>
    <mergeCell ref="E4:P4"/>
    <mergeCell ref="E5:P5"/>
    <mergeCell ref="G7:I8"/>
    <mergeCell ref="P9:P11"/>
    <mergeCell ref="C10:F10"/>
    <mergeCell ref="G11:I11"/>
    <mergeCell ref="J11:L11"/>
    <mergeCell ref="M11:O11"/>
  </mergeCell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 id="{C98BB549-126A-4A9E-B6DC-B74627468A8F}">
            <xm:f>$F25&gt;2*Calc1!$F$14-MOD((Calc1!$F$13+Calc2!$F$13),2)</xm:f>
            <x14:dxf>
              <numFmt numFmtId="165" formatCode=";;;"/>
            </x14:dxf>
          </x14:cfRule>
          <xm:sqref>F25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AG61"/>
  <sheetViews>
    <sheetView showGridLines="0" showRowColHeaders="0" topLeftCell="B1" zoomScaleNormal="100" workbookViewId="0">
      <selection activeCell="L12" sqref="L12"/>
    </sheetView>
  </sheetViews>
  <sheetFormatPr baseColWidth="10" defaultColWidth="0" defaultRowHeight="12.75" customHeight="1" zeroHeight="1" x14ac:dyDescent="0.2"/>
  <cols>
    <col min="1" max="1" width="3.42578125" style="49" customWidth="1"/>
    <col min="2" max="2" width="1.85546875" style="49" customWidth="1"/>
    <col min="3" max="3" width="6.85546875" style="49" customWidth="1"/>
    <col min="4" max="4" width="11.42578125" style="49" customWidth="1"/>
    <col min="5" max="5" width="8.42578125" style="49" customWidth="1"/>
    <col min="6" max="6" width="6.42578125" style="49" customWidth="1"/>
    <col min="7" max="7" width="2.42578125" style="49" customWidth="1"/>
    <col min="8" max="8" width="6.42578125" style="49" customWidth="1"/>
    <col min="9" max="9" width="26.7109375" style="49" customWidth="1"/>
    <col min="10" max="10" width="2.85546875" style="49" customWidth="1"/>
    <col min="11" max="11" width="26.7109375" style="49" customWidth="1"/>
    <col min="12" max="12" width="4.7109375" style="49" customWidth="1"/>
    <col min="13" max="13" width="2.28515625" style="49" customWidth="1"/>
    <col min="14" max="14" width="4.7109375" style="49" customWidth="1"/>
    <col min="15" max="15" width="8" style="49" customWidth="1"/>
    <col min="16" max="16" width="6.140625" style="49" customWidth="1"/>
    <col min="17" max="17" width="4.5703125" style="49" customWidth="1"/>
    <col min="18" max="18" width="28.7109375" style="49" customWidth="1"/>
    <col min="19" max="22" width="5.7109375" style="49" customWidth="1"/>
    <col min="23" max="23" width="6.7109375" style="49" customWidth="1"/>
    <col min="24" max="24" width="1.140625" style="49" customWidth="1"/>
    <col min="25" max="25" width="6.7109375" style="49" customWidth="1"/>
    <col min="26" max="27" width="5.7109375" style="49" customWidth="1"/>
    <col min="28" max="28" width="3.85546875" style="49" customWidth="1"/>
    <col min="29" max="29" width="1.42578125" style="49" customWidth="1"/>
    <col min="30" max="30" width="6.7109375" style="49" customWidth="1"/>
    <col min="31" max="31" width="28.7109375" style="49" customWidth="1"/>
    <col min="32" max="32" width="8.7109375" style="49" customWidth="1"/>
    <col min="33" max="33" width="5.5703125" style="49" customWidth="1"/>
    <col min="34" max="16384" width="11.42578125" style="49" hidden="1"/>
  </cols>
  <sheetData>
    <row r="1" spans="2:32" ht="13.5" thickBot="1" x14ac:dyDescent="0.25"/>
    <row r="2" spans="2:32" ht="36" customHeight="1" thickTop="1" x14ac:dyDescent="0.2">
      <c r="F2" s="507"/>
      <c r="G2" s="507"/>
      <c r="H2" s="508"/>
      <c r="I2" s="711" t="str">
        <f>PreliminaryRound!$G$2</f>
        <v>International tournament U10 on Jun. 6th, 2025</v>
      </c>
      <c r="J2" s="712"/>
      <c r="K2" s="712"/>
      <c r="L2" s="712"/>
      <c r="M2" s="712"/>
      <c r="N2" s="712"/>
      <c r="O2" s="712"/>
      <c r="P2" s="712"/>
      <c r="Q2" s="712"/>
      <c r="R2" s="712"/>
      <c r="S2" s="712"/>
      <c r="T2" s="712"/>
      <c r="U2" s="712"/>
      <c r="V2" s="712"/>
      <c r="W2" s="712"/>
      <c r="X2" s="712"/>
      <c r="Y2" s="713"/>
    </row>
    <row r="3" spans="2:32" ht="30" customHeight="1" x14ac:dyDescent="0.2">
      <c r="F3" s="509"/>
      <c r="G3" s="509"/>
      <c r="H3" s="510"/>
      <c r="I3" s="714" t="str">
        <f>PreliminaryRound!$G$3</f>
        <v>Organizer:  1. FC Riedwald</v>
      </c>
      <c r="J3" s="715"/>
      <c r="K3" s="715"/>
      <c r="L3" s="715"/>
      <c r="M3" s="715"/>
      <c r="N3" s="715"/>
      <c r="O3" s="715"/>
      <c r="P3" s="715"/>
      <c r="Q3" s="715"/>
      <c r="R3" s="715"/>
      <c r="S3" s="715"/>
      <c r="T3" s="715"/>
      <c r="U3" s="715"/>
      <c r="V3" s="715"/>
      <c r="W3" s="715"/>
      <c r="X3" s="715"/>
      <c r="Y3" s="716"/>
    </row>
    <row r="4" spans="2:32" ht="30" customHeight="1" x14ac:dyDescent="0.2">
      <c r="F4" s="511"/>
      <c r="G4" s="511"/>
      <c r="H4" s="512"/>
      <c r="I4" s="717" t="str">
        <f>PreliminaryRound!$G$4</f>
        <v>Sports hall Wiesengrund, Wendiger Str. 51, 65432 Riedwald</v>
      </c>
      <c r="J4" s="718"/>
      <c r="K4" s="718"/>
      <c r="L4" s="718"/>
      <c r="M4" s="718"/>
      <c r="N4" s="718"/>
      <c r="O4" s="718"/>
      <c r="P4" s="718"/>
      <c r="Q4" s="718"/>
      <c r="R4" s="718"/>
      <c r="S4" s="718"/>
      <c r="T4" s="718"/>
      <c r="U4" s="718"/>
      <c r="V4" s="718"/>
      <c r="W4" s="718"/>
      <c r="X4" s="718"/>
      <c r="Y4" s="719"/>
    </row>
    <row r="5" spans="2:32" ht="30" customHeight="1" thickBot="1" x14ac:dyDescent="0.25">
      <c r="F5" s="511"/>
      <c r="G5" s="511"/>
      <c r="H5" s="512"/>
      <c r="I5" s="720" t="str">
        <f>PreliminaryRound!$G$5</f>
        <v>Start:  9:00 Uhr</v>
      </c>
      <c r="J5" s="721"/>
      <c r="K5" s="721"/>
      <c r="L5" s="721"/>
      <c r="M5" s="721"/>
      <c r="N5" s="721"/>
      <c r="O5" s="721"/>
      <c r="P5" s="721"/>
      <c r="Q5" s="721"/>
      <c r="R5" s="721"/>
      <c r="S5" s="721"/>
      <c r="T5" s="721"/>
      <c r="U5" s="721"/>
      <c r="V5" s="721"/>
      <c r="W5" s="721"/>
      <c r="X5" s="721"/>
      <c r="Y5" s="722"/>
    </row>
    <row r="6" spans="2:32" ht="18" customHeight="1" thickTop="1" thickBot="1" x14ac:dyDescent="0.25"/>
    <row r="7" spans="2:32" ht="30" customHeight="1" thickTop="1" x14ac:dyDescent="0.2">
      <c r="L7" s="762" t="str">
        <f>Language!$E$19</f>
        <v>Final round</v>
      </c>
      <c r="M7" s="763"/>
      <c r="N7" s="763"/>
      <c r="O7" s="763"/>
      <c r="P7" s="763"/>
      <c r="Q7" s="763"/>
      <c r="R7" s="764"/>
    </row>
    <row r="8" spans="2:32" ht="30" customHeight="1" thickBot="1" x14ac:dyDescent="0.25">
      <c r="L8" s="765"/>
      <c r="M8" s="766"/>
      <c r="N8" s="766"/>
      <c r="O8" s="766"/>
      <c r="P8" s="766"/>
      <c r="Q8" s="766"/>
      <c r="R8" s="767"/>
    </row>
    <row r="9" spans="2:32" ht="12.6" customHeight="1" thickTop="1" x14ac:dyDescent="0.2"/>
    <row r="10" spans="2:32" ht="27.95" customHeight="1" thickBot="1" x14ac:dyDescent="0.45">
      <c r="C10" s="710" t="str">
        <f>Language!$E$62&amp;IF(MIN(Calc1!$F$13,Calc2!$F$13)*2&lt;2,""," 1 - "&amp;MIN(Calc1!$F$13,Calc2!$F$13)*2)</f>
        <v>Games for places  1 - 16</v>
      </c>
      <c r="D10" s="710"/>
      <c r="E10" s="710"/>
      <c r="F10" s="710"/>
      <c r="G10" s="471"/>
      <c r="H10" s="471"/>
      <c r="O10" s="659" t="str">
        <f>Language!$E$20</f>
        <v>Addit. Pause (min)</v>
      </c>
      <c r="Q10" s="755" t="str">
        <f>Language!$E$64</f>
        <v>First and second placed</v>
      </c>
      <c r="R10" s="755"/>
      <c r="S10" s="755"/>
      <c r="T10" s="755"/>
      <c r="U10" s="755"/>
      <c r="V10" s="755"/>
      <c r="W10" s="197"/>
      <c r="X10" s="197"/>
      <c r="Y10" s="197"/>
      <c r="Z10" s="197"/>
      <c r="AA10" s="197"/>
      <c r="AD10" s="756" t="str">
        <f>$Q10</f>
        <v>First and second placed</v>
      </c>
      <c r="AE10" s="756"/>
      <c r="AF10" s="756"/>
    </row>
    <row r="11" spans="2:32" ht="24" customHeight="1" thickTop="1" thickBot="1" x14ac:dyDescent="0.25">
      <c r="B11" s="348"/>
      <c r="C11" s="386" t="str">
        <f>Language!$E$9</f>
        <v>No.</v>
      </c>
      <c r="D11" s="344" t="str">
        <f>Language!$E$39</f>
        <v>Start</v>
      </c>
      <c r="E11" s="333" t="str">
        <f>Language!$E$48</f>
        <v>Field</v>
      </c>
      <c r="F11" s="475"/>
      <c r="G11" s="472"/>
      <c r="H11" s="344"/>
      <c r="I11" s="679" t="str">
        <f>Language!$E$14</f>
        <v>Match pairing</v>
      </c>
      <c r="J11" s="679"/>
      <c r="K11" s="679"/>
      <c r="L11" s="679" t="str">
        <f>Language!$E$15</f>
        <v>Result</v>
      </c>
      <c r="M11" s="679"/>
      <c r="N11" s="680"/>
      <c r="O11" s="660"/>
      <c r="Q11" s="757"/>
      <c r="R11" s="758"/>
      <c r="S11" s="199" t="str">
        <f>Language!$E$21</f>
        <v>Pld</v>
      </c>
      <c r="T11" s="200" t="str">
        <f>Language!$E$22</f>
        <v>W</v>
      </c>
      <c r="U11" s="200" t="str">
        <f>Language!$E$23</f>
        <v>D</v>
      </c>
      <c r="V11" s="470" t="str">
        <f>Language!$E$24</f>
        <v>L</v>
      </c>
      <c r="W11" s="759" t="str">
        <f>Language!$E$25</f>
        <v>Goals</v>
      </c>
      <c r="X11" s="760"/>
      <c r="Y11" s="761"/>
      <c r="Z11" s="200" t="str">
        <f>Language!$E$26</f>
        <v>GD</v>
      </c>
      <c r="AA11" s="202" t="str">
        <f>Language!$E$27</f>
        <v>Pts</v>
      </c>
      <c r="AD11" s="476"/>
      <c r="AE11" s="477" t="str">
        <f>Language!$E$10</f>
        <v>Participant or team</v>
      </c>
      <c r="AF11" s="412" t="str">
        <f>Language!$E$49</f>
        <v>bonus</v>
      </c>
    </row>
    <row r="12" spans="2:32" s="317" customFormat="1" ht="24" customHeight="1" x14ac:dyDescent="0.2">
      <c r="B12" s="377"/>
      <c r="C12" s="385">
        <f t="array" aca="1" ref="C12" ca="1">73-SUM(((Planning!$L$6:$L$77="")+(Planning!$N$6:$N$77="")&gt;0)*1)</f>
        <v>57</v>
      </c>
      <c r="D12" s="345">
        <f ca="1">IF(Planning!$U$16,"",Planning!$R$13+(Planning!$R$9+Planning!$P$77)/1440)</f>
        <v>0.71527777777777779</v>
      </c>
      <c r="E12" s="340">
        <f>IF(Planning!$U$16,"",1)</f>
        <v>1</v>
      </c>
      <c r="F12" s="494" t="s">
        <v>357</v>
      </c>
      <c r="G12" s="495" t="s">
        <v>5</v>
      </c>
      <c r="H12" s="496" t="s">
        <v>358</v>
      </c>
      <c r="I12" s="473" t="str">
        <f t="shared" ref="I12:I28" ca="1" si="0">IF($F12="","",IF(VLOOKUP($F12,$AD$12:$AE$41,2,0)="","",VLOOKUP($F12,$AD$12:$AE$41,2,0)))</f>
        <v/>
      </c>
      <c r="J12" s="331" t="s">
        <v>5</v>
      </c>
      <c r="K12" s="332" t="str">
        <f t="shared" ref="K12:K28" ca="1" si="1">IF($H12="","",IF(VLOOKUP($H12,$AD$12:$AE$41,2,0)="","",VLOOKUP($H12,$AD$12:$AE$41,2,0)))</f>
        <v/>
      </c>
      <c r="L12" s="334"/>
      <c r="M12" s="338" t="str">
        <f>Language!$E$80</f>
        <v>-</v>
      </c>
      <c r="N12" s="335"/>
      <c r="O12" s="341"/>
      <c r="Q12" s="478">
        <f ca="1">IF(CalcE1!$K$13=0,"",1)</f>
        <v>1</v>
      </c>
      <c r="R12" s="372" t="str">
        <f ca="1">IF(Calc1!$F$14&lt;3,"",IF(CalcE1!$K$13=0,CalcE1!$Q$64,VLOOKUP(CalcE1!$B$4,CalcE1!$C$4:$N$12,4,0)))</f>
        <v>FC Barcelona</v>
      </c>
      <c r="S12" s="479">
        <f ca="1">IF(CalcE1!$K$13=0,"",VLOOKUP(CalcE1!$B$4,CalcE1!$C$4:$N$12,9,0))</f>
        <v>3</v>
      </c>
      <c r="T12" s="206">
        <f ca="1">IF(CalcE1!$K$13=0,"",VLOOKUP(CalcE1!$B$4,CalcE1!$C$4:$N$12,10,0))</f>
        <v>2</v>
      </c>
      <c r="U12" s="206">
        <f ca="1">IF(CalcE1!$K$13=0,"",VLOOKUP(CalcE1!$B$4,CalcE1!$C$4:$N$12,11,0))</f>
        <v>1</v>
      </c>
      <c r="V12" s="206">
        <f ca="1">IF(CalcE1!$K$13=0,"",VLOOKUP(CalcE1!$B$4,CalcE1!$C$4:$N$12,12,0))</f>
        <v>0</v>
      </c>
      <c r="W12" s="208">
        <f ca="1">IF(CalcE1!$K$13=0,"",VLOOKUP(CalcE1!$B$4,CalcE1!$C$4:$N$12,5,0))</f>
        <v>9</v>
      </c>
      <c r="X12" s="480" t="str">
        <f>Language!$E$80</f>
        <v>-</v>
      </c>
      <c r="Y12" s="210">
        <f ca="1">IF(CalcE1!$K$13=0,"",VLOOKUP(CalcE1!$B$4,CalcE1!$C$4:$N$12,6,0))</f>
        <v>1</v>
      </c>
      <c r="Z12" s="206">
        <f ca="1">IF(CalcE1!$K$13=0,"",VLOOKUP(CalcE1!$B$4,CalcE1!$C$4:$N$12,7,0))</f>
        <v>8</v>
      </c>
      <c r="AA12" s="211">
        <f ca="1">IF(CalcE1!$K$13=0,"",VLOOKUP(CalcE1!$B$4,CalcE1!$C$4:$N$12,8,0))</f>
        <v>7</v>
      </c>
      <c r="AB12" s="49"/>
      <c r="AC12" s="49"/>
      <c r="AD12" s="465" t="s">
        <v>318</v>
      </c>
      <c r="AE12" s="481" t="str">
        <f ca="1">IF(PreliminaryRound!$N$12="","",PreliminaryRound!$N$12)</f>
        <v>FC Barcelona</v>
      </c>
      <c r="AF12" s="414"/>
    </row>
    <row r="13" spans="2:32" s="317" customFormat="1" ht="24" customHeight="1" x14ac:dyDescent="0.2">
      <c r="B13" s="377"/>
      <c r="C13" s="379">
        <f t="array" aca="1" ref="C13" ca="1">$C$12+ROW(1:1)-SUM((($I$12:$I12="")+($K$12:$K12="")&gt;0)*1)</f>
        <v>57</v>
      </c>
      <c r="D13" s="346">
        <f t="array" aca="1" ref="D13" ca="1">IF(Planning!$U$16,"",$D$12+QUOTIENT(($C13-$C$12),Planning!$U$18)*(Planning!$R$7+Planning!$R$9)/1440+SUM($O$12:$O12)/1440)</f>
        <v>0.71527777777777779</v>
      </c>
      <c r="E13" s="340">
        <f ca="1">IF(Planning!$U$16,"",MOD($C13-$C$12,Planning!$U$18)+1)</f>
        <v>1</v>
      </c>
      <c r="F13" s="497" t="s">
        <v>353</v>
      </c>
      <c r="G13" s="498" t="s">
        <v>5</v>
      </c>
      <c r="H13" s="499" t="s">
        <v>356</v>
      </c>
      <c r="I13" s="473" t="str">
        <f t="shared" ca="1" si="0"/>
        <v>VFB Essenheim</v>
      </c>
      <c r="J13" s="331" t="s">
        <v>5</v>
      </c>
      <c r="K13" s="332" t="str">
        <f t="shared" ca="1" si="1"/>
        <v>SSV Wildbach</v>
      </c>
      <c r="L13" s="336">
        <v>2</v>
      </c>
      <c r="M13" s="338" t="str">
        <f>Language!$E$80</f>
        <v>-</v>
      </c>
      <c r="N13" s="321">
        <v>4</v>
      </c>
      <c r="O13" s="342"/>
      <c r="Q13" s="482">
        <f ca="1">IF(CalcE1!$K$13=0,"",IF(VLOOKUP(CalcE1!$B$5,CalcE1!$C$4:$E$12,3,0)=MAX($Q12:$Q12),VLOOKUP(CalcE1!$B$5,CalcE1!$C$4:$E$12,3,0),CalcE1!$B$5))</f>
        <v>2</v>
      </c>
      <c r="R13" s="374" t="str">
        <f ca="1">IF(Calc1!$F$14&lt;3,"",IF(CalcE1!$K$13=0,CalcE1!$Q$65,VLOOKUP(CalcE1!$B$5,CalcE1!$C$4:$N$12,4,0)))</f>
        <v>AC Roma</v>
      </c>
      <c r="S13" s="221">
        <f ca="1">IF(CalcE1!$K$13=0,"",VLOOKUP(CalcE1!$B$5,CalcE1!$C$4:$N$12,9,0))</f>
        <v>3</v>
      </c>
      <c r="T13" s="196">
        <f ca="1">IF(CalcE1!$K$13=0,"",VLOOKUP(CalcE1!$B$5,CalcE1!$C$4:$N$12,10,0))</f>
        <v>2</v>
      </c>
      <c r="U13" s="196">
        <f ca="1">IF(CalcE1!$K$13=0,"",VLOOKUP(CalcE1!$B$5,CalcE1!$C$4:$N$12,11,0))</f>
        <v>0</v>
      </c>
      <c r="V13" s="196">
        <f ca="1">IF(CalcE1!$K$13=0,"",VLOOKUP(CalcE1!$B$5,CalcE1!$C$4:$N$12,12,0))</f>
        <v>1</v>
      </c>
      <c r="W13" s="217">
        <f ca="1">IF(CalcE1!$K$13=0,"",VLOOKUP(CalcE1!$B$5,CalcE1!$C$4:$N$12,5,0))</f>
        <v>21</v>
      </c>
      <c r="X13" s="483" t="str">
        <f>Language!$E$80</f>
        <v>-</v>
      </c>
      <c r="Y13" s="219">
        <f ca="1">IF(CalcE1!$K$13=0,"",VLOOKUP(CalcE1!$B$5,CalcE1!$C$4:$N$12,6,0))</f>
        <v>13</v>
      </c>
      <c r="Z13" s="196">
        <f ca="1">IF(CalcE1!$K$13=0,"",VLOOKUP(CalcE1!$B$5,CalcE1!$C$4:$N$12,7,0))</f>
        <v>8</v>
      </c>
      <c r="AA13" s="220">
        <f ca="1">IF(CalcE1!$K$13=0,"",VLOOKUP(CalcE1!$B$5,CalcE1!$C$4:$N$12,8,0))</f>
        <v>6</v>
      </c>
      <c r="AB13" s="49"/>
      <c r="AC13" s="49"/>
      <c r="AD13" s="484" t="s">
        <v>314</v>
      </c>
      <c r="AE13" s="485" t="str">
        <f ca="1">IF(PreliminaryRound!$N$25="","",PreliminaryRound!$N$25)</f>
        <v>Manchester City</v>
      </c>
      <c r="AF13" s="415"/>
    </row>
    <row r="14" spans="2:32" s="317" customFormat="1" ht="24" customHeight="1" x14ac:dyDescent="0.2">
      <c r="B14" s="377"/>
      <c r="C14" s="379">
        <f t="array" aca="1" ref="C14" ca="1">$C$12+ROW(2:2)-SUM((($I$12:$I13="")+($K$12:$K13="")&gt;0)*1)</f>
        <v>58</v>
      </c>
      <c r="D14" s="346">
        <f t="array" aca="1" ref="D14" ca="1">IF(Planning!$U$16,"",$D$12+QUOTIENT(($C14-$C$12),Planning!$U$18)*(Planning!$R$7+Planning!$R$9)/1440+SUM($O$12:$O13)/1440)</f>
        <v>0.71527777777777779</v>
      </c>
      <c r="E14" s="340">
        <f ca="1">IF(Planning!$U$16,"",MOD($C14-$C$12,Planning!$U$18)+1)</f>
        <v>2</v>
      </c>
      <c r="F14" s="494" t="s">
        <v>324</v>
      </c>
      <c r="G14" s="495" t="s">
        <v>5</v>
      </c>
      <c r="H14" s="496" t="s">
        <v>327</v>
      </c>
      <c r="I14" s="473" t="str">
        <f t="shared" ca="1" si="0"/>
        <v>Knock Out Rangers</v>
      </c>
      <c r="J14" s="331" t="s">
        <v>5</v>
      </c>
      <c r="K14" s="332" t="str">
        <f t="shared" ca="1" si="1"/>
        <v>FC Grönlingen</v>
      </c>
      <c r="L14" s="336">
        <v>2</v>
      </c>
      <c r="M14" s="338" t="str">
        <f>Language!$E$80</f>
        <v>-</v>
      </c>
      <c r="N14" s="321">
        <v>1</v>
      </c>
      <c r="O14" s="342"/>
      <c r="Q14" s="482">
        <f ca="1">IF(CalcE1!$K$13=0,"",IF(VLOOKUP(CalcE1!$B$6,CalcE1!$C$4:$E$12,3,0)=MAX($Q12:$Q13),VLOOKUP(CalcE1!$B$6,CalcE1!$C$4:$E$12,3,0),CalcE1!$B$6))</f>
        <v>3</v>
      </c>
      <c r="R14" s="374" t="str">
        <f ca="1">IF(Calc1!$F$14&lt;3,"",IF(CalcE1!$K$13=0,CalcE1!$Q$66,VLOOKUP(CalcE1!$B$6,CalcE1!$C$4:$N$12,4,0)))</f>
        <v>Manchester City</v>
      </c>
      <c r="S14" s="221">
        <f ca="1">IF(CalcE1!$K$13=0,"",VLOOKUP(CalcE1!$B$6,CalcE1!$C$4:$N$12,9,0))</f>
        <v>3</v>
      </c>
      <c r="T14" s="196">
        <f ca="1">IF(CalcE1!$K$13=0,"",VLOOKUP(CalcE1!$B$6,CalcE1!$C$4:$N$12,10,0))</f>
        <v>1</v>
      </c>
      <c r="U14" s="196">
        <f ca="1">IF(CalcE1!$K$13=0,"",VLOOKUP(CalcE1!$B$6,CalcE1!$C$4:$N$12,11,0))</f>
        <v>0</v>
      </c>
      <c r="V14" s="196">
        <f ca="1">IF(CalcE1!$K$13=0,"",VLOOKUP(CalcE1!$B$6,CalcE1!$C$4:$N$12,12,0))</f>
        <v>2</v>
      </c>
      <c r="W14" s="217">
        <f ca="1">IF(CalcE1!$K$13=0,"",VLOOKUP(CalcE1!$B$6,CalcE1!$C$4:$N$12,5,0))</f>
        <v>4</v>
      </c>
      <c r="X14" s="483" t="str">
        <f>Language!$E$80</f>
        <v>-</v>
      </c>
      <c r="Y14" s="219">
        <f ca="1">IF(CalcE1!$K$13=0,"",VLOOKUP(CalcE1!$B$6,CalcE1!$C$4:$N$12,6,0))</f>
        <v>13</v>
      </c>
      <c r="Z14" s="196">
        <f ca="1">IF(CalcE1!$K$13=0,"",VLOOKUP(CalcE1!$B$6,CalcE1!$C$4:$N$12,7,0))</f>
        <v>-9</v>
      </c>
      <c r="AA14" s="220">
        <f ca="1">IF(CalcE1!$K$13=0,"",VLOOKUP(CalcE1!$B$6,CalcE1!$C$4:$N$12,8,0))</f>
        <v>3</v>
      </c>
      <c r="AB14" s="49"/>
      <c r="AC14" s="49"/>
      <c r="AD14" s="466" t="s">
        <v>319</v>
      </c>
      <c r="AE14" s="485" t="str">
        <f ca="1">IF(PreliminaryRound!$N$13="","",PreliminaryRound!$N$13)</f>
        <v>Eintracht Frankfurt</v>
      </c>
      <c r="AF14" s="415"/>
    </row>
    <row r="15" spans="2:32" s="317" customFormat="1" ht="24" customHeight="1" thickBot="1" x14ac:dyDescent="0.25">
      <c r="B15" s="377"/>
      <c r="C15" s="379">
        <f t="array" aca="1" ref="C15" ca="1">$C$12+ROW(3:3)-SUM((($I$12:$I14="")+($K$12:$K14="")&gt;0)*1)</f>
        <v>59</v>
      </c>
      <c r="D15" s="346">
        <f t="array" aca="1" ref="D15" ca="1">IF(Planning!$U$16,"",$D$12+QUOTIENT(($C15-$C$12),Planning!$U$18)*(Planning!$R$7+Planning!$R$9)/1440+SUM($O$12:$O14)/1440)</f>
        <v>0.71527777777777779</v>
      </c>
      <c r="E15" s="340">
        <f ca="1">IF(Planning!$U$16,"",MOD($C15-$C$12,Planning!$U$18)+1)</f>
        <v>3</v>
      </c>
      <c r="F15" s="497" t="s">
        <v>313</v>
      </c>
      <c r="G15" s="498" t="s">
        <v>5</v>
      </c>
      <c r="H15" s="499" t="s">
        <v>323</v>
      </c>
      <c r="I15" s="473" t="str">
        <f t="shared" ca="1" si="0"/>
        <v>Raslo Winners</v>
      </c>
      <c r="J15" s="331" t="s">
        <v>5</v>
      </c>
      <c r="K15" s="332" t="str">
        <f t="shared" ca="1" si="1"/>
        <v>Mainz 05</v>
      </c>
      <c r="L15" s="336">
        <v>1</v>
      </c>
      <c r="M15" s="339" t="str">
        <f>Language!$E$80</f>
        <v>-</v>
      </c>
      <c r="N15" s="321">
        <v>1</v>
      </c>
      <c r="O15" s="342"/>
      <c r="Q15" s="486">
        <f ca="1">IF(CalcE1!$K$13=0,"",IF(VLOOKUP(CalcE1!$B$7,CalcE1!$C$4:$E$12,3,0)=MAX($Q12:$Q14),VLOOKUP(CalcE1!$B$7,CalcE1!$C$4:$E$12,3,0),CalcE1!$B$7))</f>
        <v>4</v>
      </c>
      <c r="R15" s="376" t="str">
        <f ca="1">IF(Calc1!$F$14&lt;3,"",IF(CalcE1!$K$13=0,CalcE1!$Q$67,VLOOKUP(CalcE1!$B$7,CalcE1!$C$4:$N$12,4,0)))</f>
        <v>Eintracht Frankfurt</v>
      </c>
      <c r="S15" s="232">
        <f ca="1">IF(CalcE1!$K$13=0,"",VLOOKUP(CalcE1!$B$7,CalcE1!$C$4:$N$12,9,0))</f>
        <v>3</v>
      </c>
      <c r="T15" s="226">
        <f ca="1">IF(CalcE1!$K$13=0,"",VLOOKUP(CalcE1!$B$7,CalcE1!$C$4:$N$12,10,0))</f>
        <v>0</v>
      </c>
      <c r="U15" s="226">
        <f ca="1">IF(CalcE1!$K$13=0,"",VLOOKUP(CalcE1!$B$7,CalcE1!$C$4:$N$12,11,0))</f>
        <v>1</v>
      </c>
      <c r="V15" s="226">
        <f ca="1">IF(CalcE1!$K$13=0,"",VLOOKUP(CalcE1!$B$7,CalcE1!$C$4:$N$12,12,0))</f>
        <v>2</v>
      </c>
      <c r="W15" s="228">
        <f ca="1">IF(CalcE1!$K$13=0,"",VLOOKUP(CalcE1!$B$7,CalcE1!$C$4:$N$12,5,0))</f>
        <v>7</v>
      </c>
      <c r="X15" s="487" t="str">
        <f>Language!$E$80</f>
        <v>-</v>
      </c>
      <c r="Y15" s="230">
        <f ca="1">IF(CalcE1!$K$13=0,"",VLOOKUP(CalcE1!$B$7,CalcE1!$C$4:$N$12,6,0))</f>
        <v>14</v>
      </c>
      <c r="Z15" s="226">
        <f ca="1">IF(CalcE1!$K$13=0,"",VLOOKUP(CalcE1!$B$7,CalcE1!$C$4:$N$12,7,0))</f>
        <v>-7</v>
      </c>
      <c r="AA15" s="231">
        <f ca="1">IF(CalcE1!$K$13=0,"",VLOOKUP(CalcE1!$B$7,CalcE1!$C$4:$N$12,8,0))</f>
        <v>1</v>
      </c>
      <c r="AB15" s="49"/>
      <c r="AC15" s="49"/>
      <c r="AD15" s="488" t="s">
        <v>320</v>
      </c>
      <c r="AE15" s="489" t="str">
        <f ca="1">IF(PreliminaryRound!$N$26="","",PreliminaryRound!$N$26)</f>
        <v>AC Roma</v>
      </c>
      <c r="AF15" s="416"/>
    </row>
    <row r="16" spans="2:32" s="317" customFormat="1" ht="24" customHeight="1" thickTop="1" x14ac:dyDescent="0.2">
      <c r="B16" s="377"/>
      <c r="C16" s="379">
        <f t="array" aca="1" ref="C16" ca="1">$C$12+ROW(4:4)-SUM((($I$12:$I15="")+($K$12:$K15="")&gt;0)*1)</f>
        <v>60</v>
      </c>
      <c r="D16" s="346">
        <f t="array" aca="1" ref="D16" ca="1">IF(Planning!$U$16,"",$D$12+QUOTIENT(($C16-$C$12),Planning!$U$18)*(Planning!$R$7+Planning!$R$9)/1440+SUM($O$12:$O15)/1440)</f>
        <v>0.71527777777777779</v>
      </c>
      <c r="E16" s="340">
        <f ca="1">IF(Planning!$U$16,"",MOD($C16-$C$12,Planning!$U$18)+1)</f>
        <v>4</v>
      </c>
      <c r="F16" s="497" t="s">
        <v>318</v>
      </c>
      <c r="G16" s="498" t="s">
        <v>5</v>
      </c>
      <c r="H16" s="499" t="s">
        <v>320</v>
      </c>
      <c r="I16" s="473" t="str">
        <f t="shared" ca="1" si="0"/>
        <v>FC Barcelona</v>
      </c>
      <c r="J16" s="331" t="s">
        <v>5</v>
      </c>
      <c r="K16" s="332" t="str">
        <f t="shared" ca="1" si="1"/>
        <v>AC Roma</v>
      </c>
      <c r="L16" s="336">
        <v>5</v>
      </c>
      <c r="M16" s="339" t="str">
        <f>Language!$E$80</f>
        <v>-</v>
      </c>
      <c r="N16" s="321">
        <v>1</v>
      </c>
      <c r="O16" s="354"/>
    </row>
    <row r="17" spans="2:32" s="317" customFormat="1" ht="24" customHeight="1" thickBot="1" x14ac:dyDescent="0.45">
      <c r="B17" s="377"/>
      <c r="C17" s="379">
        <f t="array" aca="1" ref="C17" ca="1">$C$12+ROW(5:5)-SUM((($I$12:$I16="")+($K$12:$K16="")&gt;0)*1)</f>
        <v>61</v>
      </c>
      <c r="D17" s="346">
        <f t="array" aca="1" ref="D17" ca="1">IF(Planning!$U$16,"",$D$12+QUOTIENT(($C17-$C$12),Planning!$U$18)*(Planning!$R$7+Planning!$R$9)/1440+SUM($O$12:$O16)/1440)</f>
        <v>0.73958333333333337</v>
      </c>
      <c r="E17" s="340">
        <f ca="1">IF(Planning!$U$16,"",MOD($C17-$C$12,Planning!$U$18)+1)</f>
        <v>1</v>
      </c>
      <c r="F17" s="497" t="s">
        <v>354</v>
      </c>
      <c r="G17" s="498" t="s">
        <v>5</v>
      </c>
      <c r="H17" s="499" t="s">
        <v>355</v>
      </c>
      <c r="I17" s="473" t="str">
        <f t="shared" ca="1" si="0"/>
        <v>VFL Ronsdorf</v>
      </c>
      <c r="J17" s="331" t="s">
        <v>5</v>
      </c>
      <c r="K17" s="332" t="str">
        <f t="shared" ca="1" si="1"/>
        <v>1. FC Riedwald</v>
      </c>
      <c r="L17" s="336">
        <v>2</v>
      </c>
      <c r="M17" s="339" t="str">
        <f>Language!$E$80</f>
        <v>-</v>
      </c>
      <c r="N17" s="321">
        <v>0</v>
      </c>
      <c r="O17" s="354"/>
      <c r="Q17" s="755" t="str">
        <f>Language!$E$65</f>
        <v>Third and fourth placed</v>
      </c>
      <c r="R17" s="755"/>
      <c r="S17" s="755"/>
      <c r="T17" s="755"/>
      <c r="U17" s="755"/>
      <c r="V17" s="755"/>
      <c r="W17" s="197"/>
      <c r="X17" s="197"/>
      <c r="Y17" s="197"/>
      <c r="Z17" s="197"/>
      <c r="AA17" s="197"/>
      <c r="AB17" s="49"/>
      <c r="AC17" s="49"/>
      <c r="AD17" s="756" t="str">
        <f>$Q17</f>
        <v>Third and fourth placed</v>
      </c>
      <c r="AE17" s="756"/>
      <c r="AF17" s="756"/>
    </row>
    <row r="18" spans="2:32" ht="24" customHeight="1" thickTop="1" thickBot="1" x14ac:dyDescent="0.25">
      <c r="C18" s="379">
        <f t="array" aca="1" ref="C18" ca="1">$C$12+ROW(6:6)-SUM((($I$12:$I17="")+($K$12:$K17="")&gt;0)*1)</f>
        <v>62</v>
      </c>
      <c r="D18" s="346">
        <f t="array" aca="1" ref="D18" ca="1">IF(Planning!$U$16,"",$D$12+QUOTIENT(($C18-$C$12),Planning!$U$18)*(Planning!$R$7+Planning!$R$9)/1440+SUM($O$12:$O17)/1440)</f>
        <v>0.73958333333333337</v>
      </c>
      <c r="E18" s="340">
        <f ca="1">IF(Planning!$U$16,"",MOD($C18-$C$12,Planning!$U$18)+1)</f>
        <v>2</v>
      </c>
      <c r="F18" s="497" t="s">
        <v>325</v>
      </c>
      <c r="G18" s="498" t="s">
        <v>5</v>
      </c>
      <c r="H18" s="499" t="s">
        <v>326</v>
      </c>
      <c r="I18" s="473" t="str">
        <f t="shared" ca="1" si="0"/>
        <v>Borussia Heine</v>
      </c>
      <c r="J18" s="331" t="s">
        <v>5</v>
      </c>
      <c r="K18" s="332" t="str">
        <f t="shared" ca="1" si="1"/>
        <v>Maibach 1822 eV</v>
      </c>
      <c r="L18" s="336">
        <v>1</v>
      </c>
      <c r="M18" s="339" t="str">
        <f>Language!$E$80</f>
        <v>-</v>
      </c>
      <c r="N18" s="321">
        <v>2</v>
      </c>
      <c r="O18" s="354"/>
      <c r="Q18" s="757"/>
      <c r="R18" s="758"/>
      <c r="S18" s="199" t="str">
        <f>Language!$E$21</f>
        <v>Pld</v>
      </c>
      <c r="T18" s="200" t="str">
        <f>Language!$E$22</f>
        <v>W</v>
      </c>
      <c r="U18" s="200" t="str">
        <f>Language!$E$23</f>
        <v>D</v>
      </c>
      <c r="V18" s="470" t="str">
        <f>Language!$E$24</f>
        <v>L</v>
      </c>
      <c r="W18" s="759" t="str">
        <f>Language!$E$25</f>
        <v>Goals</v>
      </c>
      <c r="X18" s="760"/>
      <c r="Y18" s="761"/>
      <c r="Z18" s="200" t="str">
        <f>Language!$E$26</f>
        <v>GD</v>
      </c>
      <c r="AA18" s="202" t="str">
        <f>Language!$E$27</f>
        <v>Pts</v>
      </c>
      <c r="AD18" s="476"/>
      <c r="AE18" s="477" t="str">
        <f>Language!$E$10</f>
        <v>Participant or team</v>
      </c>
      <c r="AF18" s="412" t="str">
        <f>Language!$E$49</f>
        <v>bonus</v>
      </c>
    </row>
    <row r="19" spans="2:32" ht="24" customHeight="1" x14ac:dyDescent="0.2">
      <c r="C19" s="379">
        <f t="array" aca="1" ref="C19" ca="1">$C$12+ROW(7:7)-SUM((($I$12:$I18="")+($K$12:$K18="")&gt;0)*1)</f>
        <v>63</v>
      </c>
      <c r="D19" s="346">
        <f t="array" aca="1" ref="D19" ca="1">IF(Planning!$U$16,"",$D$12+QUOTIENT(($C19-$C$12),Planning!$U$18)*(Planning!$R$7+Planning!$R$9)/1440+SUM($O$12:$O18)/1440)</f>
        <v>0.73958333333333337</v>
      </c>
      <c r="E19" s="340">
        <f ca="1">IF(Planning!$U$16,"",MOD($C19-$C$12,Planning!$U$18)+1)</f>
        <v>3</v>
      </c>
      <c r="F19" s="497" t="s">
        <v>321</v>
      </c>
      <c r="G19" s="498" t="s">
        <v>5</v>
      </c>
      <c r="H19" s="499" t="s">
        <v>322</v>
      </c>
      <c r="I19" s="473" t="str">
        <f t="shared" ca="1" si="0"/>
        <v>Inter Mailand</v>
      </c>
      <c r="J19" s="331" t="s">
        <v>5</v>
      </c>
      <c r="K19" s="332" t="str">
        <f t="shared" ca="1" si="1"/>
        <v>Fun Kickers Oes</v>
      </c>
      <c r="L19" s="336">
        <v>5</v>
      </c>
      <c r="M19" s="339" t="str">
        <f>Language!$E$80</f>
        <v>-</v>
      </c>
      <c r="N19" s="321">
        <v>3</v>
      </c>
      <c r="O19" s="354"/>
      <c r="Q19" s="478">
        <f ca="1">IF(CalcE2!$K$13=0,"",1)</f>
        <v>1</v>
      </c>
      <c r="R19" s="372" t="str">
        <f ca="1">IF(Calc1!$F$14&lt;3,"",IF(AND(CalcE2!$K$13=0,AE23&lt;&gt;1),CalcE2!$Q$64,VLOOKUP(CalcE2!$B$4,CalcE2!$C$4:$N$12,4,0)))</f>
        <v>Mainz 05</v>
      </c>
      <c r="S19" s="479">
        <f ca="1">IF(CalcE2!$K$13=0,"",VLOOKUP(CalcE2!$B$4,CalcE2!$C$4:$N$12,9,0))</f>
        <v>3</v>
      </c>
      <c r="T19" s="206">
        <f ca="1">IF(CalcE2!$K$13=0,"",VLOOKUP(CalcE2!$B$4,CalcE2!$C$4:$N$12,10,0))</f>
        <v>2</v>
      </c>
      <c r="U19" s="206">
        <f ca="1">IF(CalcE2!$K$13=0,"",VLOOKUP(CalcE2!$B$4,CalcE2!$C$4:$N$12,11,0))</f>
        <v>1</v>
      </c>
      <c r="V19" s="206">
        <f ca="1">IF(CalcE2!$K$13=0,"",VLOOKUP(CalcE2!$B$4,CalcE2!$C$4:$N$12,12,0))</f>
        <v>0</v>
      </c>
      <c r="W19" s="208">
        <f ca="1">IF(CalcE2!$K$13=0,"",VLOOKUP(CalcE2!$B$4,CalcE2!$C$4:$N$12,5,0))</f>
        <v>19</v>
      </c>
      <c r="X19" s="480" t="str">
        <f>Language!$E$80</f>
        <v>-</v>
      </c>
      <c r="Y19" s="210">
        <f ca="1">IF(CalcE2!$K$13=0,"",VLOOKUP(CalcE2!$B$4,CalcE2!$C$4:$N$12,6,0))</f>
        <v>6</v>
      </c>
      <c r="Z19" s="206">
        <f ca="1">IF(CalcE2!$K$13=0,"",VLOOKUP(CalcE2!$B$4,CalcE2!$C$4:$N$12,7,0))</f>
        <v>13</v>
      </c>
      <c r="AA19" s="211">
        <f ca="1">IF(CalcE2!$K$13=0,"",VLOOKUP(CalcE2!$B$4,CalcE2!$C$4:$N$12,8,0))</f>
        <v>7</v>
      </c>
      <c r="AD19" s="468" t="s">
        <v>313</v>
      </c>
      <c r="AE19" s="481" t="str">
        <f ca="1">IF(PreliminaryRound!$N$14="","",PreliminaryRound!$N$14)</f>
        <v>Raslo Winners</v>
      </c>
      <c r="AF19" s="414"/>
    </row>
    <row r="20" spans="2:32" ht="24" customHeight="1" x14ac:dyDescent="0.2">
      <c r="C20" s="379">
        <f t="array" aca="1" ref="C20" ca="1">$C$12+ROW(8:8)-SUM((($I$12:$I19="")+($K$12:$K19="")&gt;0)*1)</f>
        <v>64</v>
      </c>
      <c r="D20" s="346">
        <f t="array" aca="1" ref="D20" ca="1">IF(Planning!$U$16,"",$D$12+QUOTIENT(($C20-$C$12),Planning!$U$18)*(Planning!$R$7+Planning!$R$9)/1440+SUM($O$12:$O19)/1440)</f>
        <v>0.73958333333333337</v>
      </c>
      <c r="E20" s="340">
        <f ca="1">IF(Planning!$U$16,"",MOD($C20-$C$12,Planning!$U$18)+1)</f>
        <v>4</v>
      </c>
      <c r="F20" s="497" t="s">
        <v>314</v>
      </c>
      <c r="G20" s="498" t="s">
        <v>5</v>
      </c>
      <c r="H20" s="499" t="s">
        <v>319</v>
      </c>
      <c r="I20" s="473" t="str">
        <f t="shared" ca="1" si="0"/>
        <v>Manchester City</v>
      </c>
      <c r="J20" s="331" t="s">
        <v>5</v>
      </c>
      <c r="K20" s="332" t="str">
        <f t="shared" ca="1" si="1"/>
        <v>Eintracht Frankfurt</v>
      </c>
      <c r="L20" s="336">
        <v>2</v>
      </c>
      <c r="M20" s="339" t="str">
        <f>Language!$E$80</f>
        <v>-</v>
      </c>
      <c r="N20" s="321">
        <v>1</v>
      </c>
      <c r="O20" s="354"/>
      <c r="Q20" s="482">
        <f ca="1">IF(CalcE2!$K$13=0,"",IF(VLOOKUP(CalcE2!$B$5,CalcE2!$C$4:$E$12,3,0)=MAX($Q19:$Q19),VLOOKUP(CalcE2!$B$5,CalcE2!$C$4:$E$12,3,0),CalcE2!$B$5))</f>
        <v>2</v>
      </c>
      <c r="R20" s="374" t="str">
        <f ca="1">IF(OR(Calc1!$F$14&lt;3,AE23=1),"",IF(CalcE2!$K$13=0,CalcE2!$Q$65,VLOOKUP(CalcE2!$B$5,CalcE2!$C$4:$N$12,4,0)))</f>
        <v>Inter Mailand</v>
      </c>
      <c r="S20" s="221">
        <f ca="1">IF(CalcE2!$K$13=0,"",VLOOKUP(CalcE2!$B$5,CalcE2!$C$4:$N$12,9,0))</f>
        <v>3</v>
      </c>
      <c r="T20" s="196">
        <f ca="1">IF(CalcE2!$K$13=0,"",VLOOKUP(CalcE2!$B$5,CalcE2!$C$4:$N$12,10,0))</f>
        <v>2</v>
      </c>
      <c r="U20" s="196">
        <f ca="1">IF(CalcE2!$K$13=0,"",VLOOKUP(CalcE2!$B$5,CalcE2!$C$4:$N$12,11,0))</f>
        <v>0</v>
      </c>
      <c r="V20" s="196">
        <f ca="1">IF(CalcE2!$K$13=0,"",VLOOKUP(CalcE2!$B$5,CalcE2!$C$4:$N$12,12,0))</f>
        <v>1</v>
      </c>
      <c r="W20" s="217">
        <f ca="1">IF(CalcE2!$K$13=0,"",VLOOKUP(CalcE2!$B$5,CalcE2!$C$4:$N$12,5,0))</f>
        <v>20</v>
      </c>
      <c r="X20" s="483" t="str">
        <f>Language!$E$80</f>
        <v>-</v>
      </c>
      <c r="Y20" s="219">
        <f ca="1">IF(CalcE2!$K$13=0,"",VLOOKUP(CalcE2!$B$5,CalcE2!$C$4:$N$12,6,0))</f>
        <v>19</v>
      </c>
      <c r="Z20" s="196">
        <f ca="1">IF(CalcE2!$K$13=0,"",VLOOKUP(CalcE2!$B$5,CalcE2!$C$4:$N$12,7,0))</f>
        <v>1</v>
      </c>
      <c r="AA20" s="220">
        <f ca="1">IF(CalcE2!$K$13=0,"",VLOOKUP(CalcE2!$B$5,CalcE2!$C$4:$N$12,8,0))</f>
        <v>6</v>
      </c>
      <c r="AD20" s="484" t="s">
        <v>321</v>
      </c>
      <c r="AE20" s="485" t="str">
        <f ca="1">IF(PreliminaryRound!$N$27="","",PreliminaryRound!$N$27)</f>
        <v>Inter Mailand</v>
      </c>
      <c r="AF20" s="415"/>
    </row>
    <row r="21" spans="2:32" ht="24" customHeight="1" x14ac:dyDescent="0.2">
      <c r="C21" s="379">
        <f t="array" aca="1" ref="C21" ca="1">$C$12+ROW(9:9)-SUM((($I$12:$I20="")+($K$12:$K20="")&gt;0)*1)</f>
        <v>65</v>
      </c>
      <c r="D21" s="346">
        <f t="array" aca="1" ref="D21" ca="1">IF(Planning!$U$16,"",$D$12+QUOTIENT(($C21-$C$12),Planning!$U$18)*(Planning!$R$7+Planning!$R$9)/1440+SUM($O$12:$O20)/1440)</f>
        <v>0.76388888888888895</v>
      </c>
      <c r="E21" s="340">
        <f ca="1">IF(Planning!$U$16,"",MOD($C21-$C$12,Planning!$U$18)+1)</f>
        <v>1</v>
      </c>
      <c r="F21" s="497" t="s">
        <v>353</v>
      </c>
      <c r="G21" s="498" t="s">
        <v>5</v>
      </c>
      <c r="H21" s="499" t="s">
        <v>355</v>
      </c>
      <c r="I21" s="473" t="str">
        <f t="shared" ca="1" si="0"/>
        <v>VFB Essenheim</v>
      </c>
      <c r="J21" s="331" t="s">
        <v>5</v>
      </c>
      <c r="K21" s="332" t="str">
        <f t="shared" ca="1" si="1"/>
        <v>1. FC Riedwald</v>
      </c>
      <c r="L21" s="336">
        <v>2</v>
      </c>
      <c r="M21" s="339" t="str">
        <f>Language!$E$80</f>
        <v>-</v>
      </c>
      <c r="N21" s="321">
        <v>2</v>
      </c>
      <c r="O21" s="354"/>
      <c r="Q21" s="482">
        <f ca="1">IF(CalcE2!$K$13=0,"",IF(VLOOKUP(CalcE2!$B$6,CalcE2!$C$4:$E$12,3,0)=MAX($Q19:$Q20),VLOOKUP(CalcE2!$B$6,CalcE2!$C$4:$E$12,3,0),CalcE2!$B$6))</f>
        <v>3</v>
      </c>
      <c r="R21" s="374" t="str">
        <f ca="1">IF(OR(Calc1!$F$14&lt;3,AE23=1),"",IF(CalcE2!$K$13=0,CalcE2!$Q$66,VLOOKUP(CalcE2!$B$6,CalcE2!$C$4:$N$12,4,0)))</f>
        <v>Raslo Winners</v>
      </c>
      <c r="S21" s="221">
        <f ca="1">IF(CalcE2!$K$13=0,"",VLOOKUP(CalcE2!$B$6,CalcE2!$C$4:$N$12,9,0))</f>
        <v>3</v>
      </c>
      <c r="T21" s="196">
        <f ca="1">IF(CalcE2!$K$13=0,"",VLOOKUP(CalcE2!$B$6,CalcE2!$C$4:$N$12,10,0))</f>
        <v>1</v>
      </c>
      <c r="U21" s="196">
        <f ca="1">IF(CalcE2!$K$13=0,"",VLOOKUP(CalcE2!$B$6,CalcE2!$C$4:$N$12,11,0))</f>
        <v>1</v>
      </c>
      <c r="V21" s="196">
        <f ca="1">IF(CalcE2!$K$13=0,"",VLOOKUP(CalcE2!$B$6,CalcE2!$C$4:$N$12,12,0))</f>
        <v>1</v>
      </c>
      <c r="W21" s="217">
        <f ca="1">IF(CalcE2!$K$13=0,"",VLOOKUP(CalcE2!$B$6,CalcE2!$C$4:$N$12,5,0))</f>
        <v>14</v>
      </c>
      <c r="X21" s="483" t="str">
        <f>Language!$E$80</f>
        <v>-</v>
      </c>
      <c r="Y21" s="219">
        <f ca="1">IF(CalcE2!$K$13=0,"",VLOOKUP(CalcE2!$B$6,CalcE2!$C$4:$N$12,6,0))</f>
        <v>19</v>
      </c>
      <c r="Z21" s="196">
        <f ca="1">IF(CalcE2!$K$13=0,"",VLOOKUP(CalcE2!$B$6,CalcE2!$C$4:$N$12,7,0))</f>
        <v>-5</v>
      </c>
      <c r="AA21" s="220">
        <f ca="1">IF(CalcE2!$K$13=0,"",VLOOKUP(CalcE2!$B$6,CalcE2!$C$4:$N$12,8,0))</f>
        <v>4</v>
      </c>
      <c r="AD21" s="469" t="s">
        <v>322</v>
      </c>
      <c r="AE21" s="485" t="str">
        <f ca="1">IF(PreliminaryRound!$N$15="","",PreliminaryRound!$N$15)</f>
        <v>Fun Kickers Oes</v>
      </c>
      <c r="AF21" s="415"/>
    </row>
    <row r="22" spans="2:32" ht="24" customHeight="1" thickBot="1" x14ac:dyDescent="0.25">
      <c r="C22" s="379">
        <f t="array" aca="1" ref="C22" ca="1">$C$12+ROW(10:10)-SUM((($I$12:$I21="")+($K$12:$K21="")&gt;0)*1)</f>
        <v>66</v>
      </c>
      <c r="D22" s="346">
        <f t="array" aca="1" ref="D22" ca="1">IF(Planning!$U$16,"",$D$12+QUOTIENT(($C22-$C$12),Planning!$U$18)*(Planning!$R$7+Planning!$R$9)/1440+SUM($O$12:$O21)/1440)</f>
        <v>0.76388888888888895</v>
      </c>
      <c r="E22" s="340">
        <f ca="1">IF(Planning!$U$16,"",MOD($C22-$C$12,Planning!$U$18)+1)</f>
        <v>2</v>
      </c>
      <c r="F22" s="497" t="s">
        <v>324</v>
      </c>
      <c r="G22" s="498" t="s">
        <v>5</v>
      </c>
      <c r="H22" s="499" t="s">
        <v>326</v>
      </c>
      <c r="I22" s="473" t="str">
        <f t="shared" ca="1" si="0"/>
        <v>Knock Out Rangers</v>
      </c>
      <c r="J22" s="331" t="s">
        <v>5</v>
      </c>
      <c r="K22" s="332" t="str">
        <f t="shared" ca="1" si="1"/>
        <v>Maibach 1822 eV</v>
      </c>
      <c r="L22" s="336">
        <v>4</v>
      </c>
      <c r="M22" s="339" t="str">
        <f>Language!$E$80</f>
        <v>-</v>
      </c>
      <c r="N22" s="321">
        <v>2</v>
      </c>
      <c r="O22" s="354"/>
      <c r="Q22" s="486">
        <f ca="1">IF(CalcE2!$K$13=0,"",IF(VLOOKUP(CalcE2!$B$7,CalcE2!$C$4:$E$12,3,0)=MAX($Q19:$Q21),VLOOKUP(CalcE2!$B$7,CalcE2!$C$4:$E$12,3,0),CalcE2!$B$7))</f>
        <v>4</v>
      </c>
      <c r="R22" s="376" t="str">
        <f ca="1">IF(OR(Calc1!$F$14&lt;3,AE23=1),"",IF(CalcE2!$K$13=0,CalcE2!$Q$67,VLOOKUP(CalcE2!$B$7,CalcE2!$C$4:$N$12,4,0)))</f>
        <v>Fun Kickers Oes</v>
      </c>
      <c r="S22" s="232">
        <f ca="1">IF(CalcE2!$K$13=0,"",VLOOKUP(CalcE2!$B$7,CalcE2!$C$4:$N$12,9,0))</f>
        <v>3</v>
      </c>
      <c r="T22" s="226">
        <f ca="1">IF(CalcE2!$K$13=0,"",VLOOKUP(CalcE2!$B$7,CalcE2!$C$4:$N$12,10,0))</f>
        <v>0</v>
      </c>
      <c r="U22" s="226">
        <f ca="1">IF(CalcE2!$K$13=0,"",VLOOKUP(CalcE2!$B$7,CalcE2!$C$4:$N$12,11,0))</f>
        <v>0</v>
      </c>
      <c r="V22" s="226">
        <f ca="1">IF(CalcE2!$K$13=0,"",VLOOKUP(CalcE2!$B$7,CalcE2!$C$4:$N$12,12,0))</f>
        <v>3</v>
      </c>
      <c r="W22" s="228">
        <f ca="1">IF(CalcE2!$K$13=0,"",VLOOKUP(CalcE2!$B$7,CalcE2!$C$4:$N$12,5,0))</f>
        <v>11</v>
      </c>
      <c r="X22" s="487" t="str">
        <f>Language!$E$80</f>
        <v>-</v>
      </c>
      <c r="Y22" s="230">
        <f ca="1">IF(CalcE2!$K$13=0,"",VLOOKUP(CalcE2!$B$7,CalcE2!$C$4:$N$12,6,0))</f>
        <v>20</v>
      </c>
      <c r="Z22" s="226">
        <f ca="1">IF(CalcE2!$K$13=0,"",VLOOKUP(CalcE2!$B$7,CalcE2!$C$4:$N$12,7,0))</f>
        <v>-9</v>
      </c>
      <c r="AA22" s="231">
        <f ca="1">IF(CalcE2!$K$13=0,"",VLOOKUP(CalcE2!$B$7,CalcE2!$C$4:$N$12,8,0))</f>
        <v>0</v>
      </c>
      <c r="AD22" s="488" t="s">
        <v>323</v>
      </c>
      <c r="AE22" s="489" t="str">
        <f ca="1">IF(PreliminaryRound!$N$28="","",PreliminaryRound!$N$28)</f>
        <v>Mainz 05</v>
      </c>
      <c r="AF22" s="416"/>
    </row>
    <row r="23" spans="2:32" ht="24" customHeight="1" thickTop="1" x14ac:dyDescent="0.2">
      <c r="C23" s="379">
        <f t="array" aca="1" ref="C23" ca="1">$C$12+ROW(11:11)-SUM((($I$12:$I22="")+($K$12:$K22="")&gt;0)*1)</f>
        <v>67</v>
      </c>
      <c r="D23" s="346">
        <f t="array" aca="1" ref="D23" ca="1">IF(Planning!$U$16,"",$D$12+QUOTIENT(($C23-$C$12),Planning!$U$18)*(Planning!$R$7+Planning!$R$9)/1440+SUM($O$12:$O22)/1440)</f>
        <v>0.76388888888888895</v>
      </c>
      <c r="E23" s="340">
        <f ca="1">IF(Planning!$U$16,"",MOD($C23-$C$12,Planning!$U$18)+1)</f>
        <v>3</v>
      </c>
      <c r="F23" s="497" t="s">
        <v>313</v>
      </c>
      <c r="G23" s="498" t="s">
        <v>5</v>
      </c>
      <c r="H23" s="499" t="s">
        <v>322</v>
      </c>
      <c r="I23" s="473" t="str">
        <f t="shared" ca="1" si="0"/>
        <v>Raslo Winners</v>
      </c>
      <c r="J23" s="331" t="s">
        <v>5</v>
      </c>
      <c r="K23" s="332" t="str">
        <f t="shared" ca="1" si="1"/>
        <v>Fun Kickers Oes</v>
      </c>
      <c r="L23" s="336">
        <v>4</v>
      </c>
      <c r="M23" s="339" t="str">
        <f>Language!$E$80</f>
        <v>-</v>
      </c>
      <c r="N23" s="321">
        <v>3</v>
      </c>
      <c r="O23" s="354"/>
      <c r="AE23" s="513">
        <f t="array" aca="1" ref="AE23" ca="1">SUM((AE19:AE22&lt;&gt;"")*1)</f>
        <v>4</v>
      </c>
    </row>
    <row r="24" spans="2:32" ht="24" customHeight="1" thickBot="1" x14ac:dyDescent="0.45">
      <c r="C24" s="379">
        <f t="array" aca="1" ref="C24" ca="1">$C$12+ROW(12:12)-SUM((($I$12:$I23="")+($K$12:$K23="")&gt;0)*1)</f>
        <v>68</v>
      </c>
      <c r="D24" s="346">
        <f t="array" aca="1" ref="D24" ca="1">IF(Planning!$U$16,"",$D$12+QUOTIENT(($C24-$C$12),Planning!$U$18)*(Planning!$R$7+Planning!$R$9)/1440+SUM($O$12:$O23)/1440)</f>
        <v>0.76388888888888895</v>
      </c>
      <c r="E24" s="340">
        <f ca="1">IF(Planning!$U$16,"",MOD($C24-$C$12,Planning!$U$18)+1)</f>
        <v>4</v>
      </c>
      <c r="F24" s="497" t="s">
        <v>318</v>
      </c>
      <c r="G24" s="498" t="s">
        <v>5</v>
      </c>
      <c r="H24" s="499" t="s">
        <v>319</v>
      </c>
      <c r="I24" s="473" t="str">
        <f t="shared" ca="1" si="0"/>
        <v>FC Barcelona</v>
      </c>
      <c r="J24" s="331" t="s">
        <v>5</v>
      </c>
      <c r="K24" s="332" t="str">
        <f t="shared" ca="1" si="1"/>
        <v>Eintracht Frankfurt</v>
      </c>
      <c r="L24" s="336">
        <v>0</v>
      </c>
      <c r="M24" s="339" t="str">
        <f>Language!$E$80</f>
        <v>-</v>
      </c>
      <c r="N24" s="321">
        <v>0</v>
      </c>
      <c r="O24" s="354"/>
      <c r="Q24" s="755" t="str">
        <f>Language!$E$66</f>
        <v>Fifth and sixth placed</v>
      </c>
      <c r="R24" s="755"/>
      <c r="S24" s="755"/>
      <c r="T24" s="755"/>
      <c r="U24" s="755"/>
      <c r="V24" s="755"/>
      <c r="W24" s="197"/>
      <c r="X24" s="197"/>
      <c r="Y24" s="197"/>
      <c r="Z24" s="197"/>
      <c r="AA24" s="197"/>
      <c r="AD24" s="756" t="str">
        <f>$Q24</f>
        <v>Fifth and sixth placed</v>
      </c>
      <c r="AE24" s="756"/>
      <c r="AF24" s="756"/>
    </row>
    <row r="25" spans="2:32" ht="24" customHeight="1" thickTop="1" thickBot="1" x14ac:dyDescent="0.25">
      <c r="C25" s="379">
        <f t="array" aca="1" ref="C25" ca="1">$C$12+ROW(13:13)-SUM((($I$12:$I24="")+($K$12:$K24="")&gt;0)*1)</f>
        <v>69</v>
      </c>
      <c r="D25" s="346">
        <f t="array" aca="1" ref="D25" ca="1">IF(Planning!$U$16,"",$D$12+QUOTIENT(($C25-$C$12),Planning!$U$18)*(Planning!$R$7+Planning!$R$9)/1440+SUM($O$12:$O24)/1440)</f>
        <v>0.78819444444444442</v>
      </c>
      <c r="E25" s="340">
        <f ca="1">IF(Planning!$U$16,"",MOD($C25-$C$12,Planning!$U$18)+1)</f>
        <v>1</v>
      </c>
      <c r="F25" s="497" t="s">
        <v>354</v>
      </c>
      <c r="G25" s="498" t="s">
        <v>5</v>
      </c>
      <c r="H25" s="499" t="s">
        <v>356</v>
      </c>
      <c r="I25" s="473" t="str">
        <f t="shared" ca="1" si="0"/>
        <v>VFL Ronsdorf</v>
      </c>
      <c r="J25" s="331" t="s">
        <v>5</v>
      </c>
      <c r="K25" s="332" t="str">
        <f t="shared" ca="1" si="1"/>
        <v>SSV Wildbach</v>
      </c>
      <c r="L25" s="336">
        <v>1</v>
      </c>
      <c r="M25" s="339" t="str">
        <f>Language!$E$80</f>
        <v>-</v>
      </c>
      <c r="N25" s="321">
        <v>5</v>
      </c>
      <c r="O25" s="354"/>
      <c r="Q25" s="757"/>
      <c r="R25" s="758"/>
      <c r="S25" s="199" t="str">
        <f>Language!$E$21</f>
        <v>Pld</v>
      </c>
      <c r="T25" s="200" t="str">
        <f>Language!$E$22</f>
        <v>W</v>
      </c>
      <c r="U25" s="200" t="str">
        <f>Language!$E$23</f>
        <v>D</v>
      </c>
      <c r="V25" s="470" t="str">
        <f>Language!$E$24</f>
        <v>L</v>
      </c>
      <c r="W25" s="759" t="str">
        <f>Language!$E$25</f>
        <v>Goals</v>
      </c>
      <c r="X25" s="760"/>
      <c r="Y25" s="761"/>
      <c r="Z25" s="200" t="str">
        <f>Language!$E$26</f>
        <v>GD</v>
      </c>
      <c r="AA25" s="202" t="str">
        <f>Language!$E$27</f>
        <v>Pts</v>
      </c>
      <c r="AD25" s="476"/>
      <c r="AE25" s="477" t="str">
        <f>Language!$E$10</f>
        <v>Participant or team</v>
      </c>
      <c r="AF25" s="412" t="str">
        <f>Language!$E$49</f>
        <v>bonus</v>
      </c>
    </row>
    <row r="26" spans="2:32" ht="24" customHeight="1" x14ac:dyDescent="0.2">
      <c r="C26" s="379">
        <f t="array" aca="1" ref="C26" ca="1">$C$12+ROW(14:14)-SUM((($I$12:$I25="")+($K$12:$K25="")&gt;0)*1)</f>
        <v>70</v>
      </c>
      <c r="D26" s="346">
        <f t="array" aca="1" ref="D26" ca="1">IF(Planning!$U$16,"",$D$12+QUOTIENT(($C26-$C$12),Planning!$U$18)*(Planning!$R$7+Planning!$R$9)/1440+SUM($O$12:$O25)/1440)</f>
        <v>0.78819444444444442</v>
      </c>
      <c r="E26" s="503">
        <f ca="1">IF(Planning!$U$16,"",MOD($C26-$C$12,Planning!$U$18)+1)</f>
        <v>2</v>
      </c>
      <c r="F26" s="497" t="s">
        <v>325</v>
      </c>
      <c r="G26" s="498" t="s">
        <v>5</v>
      </c>
      <c r="H26" s="499" t="s">
        <v>327</v>
      </c>
      <c r="I26" s="474" t="str">
        <f t="shared" ca="1" si="0"/>
        <v>Borussia Heine</v>
      </c>
      <c r="J26" s="152" t="s">
        <v>5</v>
      </c>
      <c r="K26" s="325" t="str">
        <f t="shared" ca="1" si="1"/>
        <v>FC Grönlingen</v>
      </c>
      <c r="L26" s="336">
        <v>4</v>
      </c>
      <c r="M26" s="339" t="str">
        <f>Language!$E$80</f>
        <v>-</v>
      </c>
      <c r="N26" s="321">
        <v>4</v>
      </c>
      <c r="O26" s="354"/>
      <c r="Q26" s="478">
        <f ca="1">IF(CalcE3!$K$13=0,"",1)</f>
        <v>1</v>
      </c>
      <c r="R26" s="372" t="str">
        <f ca="1">IF(Calc1!$F$14&lt;3,"",IF(AND(CalcE3!$K$13=0,AE30&lt;&gt;1),CalcE3!$Q$64,VLOOKUP(CalcE3!$B$4,CalcE3!$C$4:$N$12,4,0)))</f>
        <v>Knock Out Rangers</v>
      </c>
      <c r="S26" s="479">
        <f ca="1">IF(CalcE3!$K$13=0,"",VLOOKUP(CalcE3!$B$4,CalcE3!$C$4:$N$12,9,0))</f>
        <v>3</v>
      </c>
      <c r="T26" s="206">
        <f ca="1">IF(CalcE3!$K$13=0,"",VLOOKUP(CalcE3!$B$4,CalcE3!$C$4:$N$12,10,0))</f>
        <v>2</v>
      </c>
      <c r="U26" s="206">
        <f ca="1">IF(CalcE3!$K$13=0,"",VLOOKUP(CalcE3!$B$4,CalcE3!$C$4:$N$12,11,0))</f>
        <v>0</v>
      </c>
      <c r="V26" s="206">
        <f ca="1">IF(CalcE3!$K$13=0,"",VLOOKUP(CalcE3!$B$4,CalcE3!$C$4:$N$12,12,0))</f>
        <v>1</v>
      </c>
      <c r="W26" s="208">
        <f ca="1">IF(CalcE3!$K$13=0,"",VLOOKUP(CalcE3!$B$4,CalcE3!$C$4:$N$12,5,0))</f>
        <v>14</v>
      </c>
      <c r="X26" s="480" t="str">
        <f>Language!$E$80</f>
        <v>-</v>
      </c>
      <c r="Y26" s="210">
        <f ca="1">IF(CalcE3!$K$13=0,"",VLOOKUP(CalcE3!$B$4,CalcE3!$C$4:$N$12,6,0))</f>
        <v>17</v>
      </c>
      <c r="Z26" s="206">
        <f ca="1">IF(CalcE3!$K$13=0,"",VLOOKUP(CalcE3!$B$4,CalcE3!$C$4:$N$12,7,0))</f>
        <v>-3</v>
      </c>
      <c r="AA26" s="211">
        <f ca="1">IF(CalcE3!$K$13=0,"",VLOOKUP(CalcE3!$B$4,CalcE3!$C$4:$N$12,8,0))</f>
        <v>6</v>
      </c>
      <c r="AD26" s="468" t="s">
        <v>324</v>
      </c>
      <c r="AE26" s="481" t="str">
        <f ca="1">IF(PreliminaryRound!$N$16="","",PreliminaryRound!$N$16)</f>
        <v>Knock Out Rangers</v>
      </c>
      <c r="AF26" s="414"/>
    </row>
    <row r="27" spans="2:32" ht="24" customHeight="1" x14ac:dyDescent="0.2">
      <c r="C27" s="379">
        <f t="array" aca="1" ref="C27" ca="1">$C$12+ROW(15:15)-SUM((($I$12:$I26="")+($K$12:$K26="")&gt;0)*1)</f>
        <v>71</v>
      </c>
      <c r="D27" s="346">
        <f t="array" aca="1" ref="D27" ca="1">IF(Planning!$U$16,"",$D$12+QUOTIENT(($C27-$C$12),Planning!$U$18)*(Planning!$R$7+Planning!$R$9)/1440+SUM($O$12:$O26)/1440)</f>
        <v>0.78819444444444442</v>
      </c>
      <c r="E27" s="340">
        <f ca="1">IF(Planning!$U$16,"",MOD($C27-$C$12,Planning!$U$18)+1)</f>
        <v>3</v>
      </c>
      <c r="F27" s="497" t="s">
        <v>321</v>
      </c>
      <c r="G27" s="498" t="s">
        <v>5</v>
      </c>
      <c r="H27" s="499" t="s">
        <v>323</v>
      </c>
      <c r="I27" s="473" t="str">
        <f t="shared" ca="1" si="0"/>
        <v>Inter Mailand</v>
      </c>
      <c r="J27" s="331" t="s">
        <v>5</v>
      </c>
      <c r="K27" s="332" t="str">
        <f t="shared" ca="1" si="1"/>
        <v>Mainz 05</v>
      </c>
      <c r="L27" s="336">
        <v>0</v>
      </c>
      <c r="M27" s="339" t="str">
        <f>Language!$E$80</f>
        <v>-</v>
      </c>
      <c r="N27" s="321">
        <v>7</v>
      </c>
      <c r="O27" s="354"/>
      <c r="Q27" s="482">
        <f ca="1">IF(CalcE3!$K$13=0,"",IF(VLOOKUP(CalcE3!$B$5,CalcE3!$C$4:$E$12,3,0)=MAX($Q26:$Q26),VLOOKUP(CalcE3!$B$5,CalcE3!$C$4:$E$12,3,0),CalcE3!$B$5))</f>
        <v>2</v>
      </c>
      <c r="R27" s="374" t="str">
        <f ca="1">IF(OR(Calc1!$F$14&lt;3,AE30=1),"",IF(CalcE3!$K$13=0,CalcE3!$Q$65,VLOOKUP(CalcE3!$B$5,CalcE3!$C$4:$N$12,4,0)))</f>
        <v>Borussia Heine</v>
      </c>
      <c r="S27" s="221">
        <f ca="1">IF(CalcE3!$K$13=0,"",VLOOKUP(CalcE3!$B$5,CalcE3!$C$4:$N$12,9,0))</f>
        <v>3</v>
      </c>
      <c r="T27" s="196">
        <f ca="1">IF(CalcE3!$K$13=0,"",VLOOKUP(CalcE3!$B$5,CalcE3!$C$4:$N$12,10,0))</f>
        <v>1</v>
      </c>
      <c r="U27" s="196">
        <f ca="1">IF(CalcE3!$K$13=0,"",VLOOKUP(CalcE3!$B$5,CalcE3!$C$4:$N$12,11,0))</f>
        <v>1</v>
      </c>
      <c r="V27" s="196">
        <f ca="1">IF(CalcE3!$K$13=0,"",VLOOKUP(CalcE3!$B$5,CalcE3!$C$4:$N$12,12,0))</f>
        <v>1</v>
      </c>
      <c r="W27" s="217">
        <f ca="1">IF(CalcE3!$K$13=0,"",VLOOKUP(CalcE3!$B$5,CalcE3!$C$4:$N$12,5,0))</f>
        <v>19</v>
      </c>
      <c r="X27" s="483" t="str">
        <f>Language!$E$80</f>
        <v>-</v>
      </c>
      <c r="Y27" s="219">
        <f ca="1">IF(CalcE3!$K$13=0,"",VLOOKUP(CalcE3!$B$5,CalcE3!$C$4:$N$12,6,0))</f>
        <v>14</v>
      </c>
      <c r="Z27" s="196">
        <f ca="1">IF(CalcE3!$K$13=0,"",VLOOKUP(CalcE3!$B$5,CalcE3!$C$4:$N$12,7,0))</f>
        <v>5</v>
      </c>
      <c r="AA27" s="220">
        <f ca="1">IF(CalcE3!$K$13=0,"",VLOOKUP(CalcE3!$B$5,CalcE3!$C$4:$N$12,8,0))</f>
        <v>4</v>
      </c>
      <c r="AD27" s="484" t="s">
        <v>325</v>
      </c>
      <c r="AE27" s="485" t="str">
        <f ca="1">IF(PreliminaryRound!$N$29="","",PreliminaryRound!$N$29)</f>
        <v>Borussia Heine</v>
      </c>
      <c r="AF27" s="415"/>
    </row>
    <row r="28" spans="2:32" ht="24" customHeight="1" x14ac:dyDescent="0.2">
      <c r="C28" s="379">
        <f t="array" aca="1" ref="C28" ca="1">$C$12+ROW(16:16)-SUM((($I$12:$I27="")+($K$12:$K27="")&gt;0)*1)</f>
        <v>72</v>
      </c>
      <c r="D28" s="346">
        <f t="array" aca="1" ref="D28" ca="1">IF(Planning!$U$16,"",$D$12+QUOTIENT(($C28-$C$12),Planning!$U$18)*(Planning!$R$7+Planning!$R$9)/1440+SUM($O$12:$O27)/1440)</f>
        <v>0.78819444444444442</v>
      </c>
      <c r="E28" s="503">
        <f ca="1">IF(Planning!$U$16,"",MOD($C28-$C$12,Planning!$U$18)+1)</f>
        <v>4</v>
      </c>
      <c r="F28" s="497" t="s">
        <v>314</v>
      </c>
      <c r="G28" s="498" t="s">
        <v>5</v>
      </c>
      <c r="H28" s="499" t="s">
        <v>320</v>
      </c>
      <c r="I28" s="474" t="str">
        <f t="shared" ca="1" si="0"/>
        <v>Manchester City</v>
      </c>
      <c r="J28" s="152" t="s">
        <v>5</v>
      </c>
      <c r="K28" s="325" t="str">
        <f t="shared" ca="1" si="1"/>
        <v>AC Roma</v>
      </c>
      <c r="L28" s="336">
        <v>2</v>
      </c>
      <c r="M28" s="339" t="str">
        <f>Language!$E$80</f>
        <v>-</v>
      </c>
      <c r="N28" s="321">
        <v>8</v>
      </c>
      <c r="O28" s="354"/>
      <c r="Q28" s="482">
        <f ca="1">IF(CalcE3!$K$13=0,"",IF(VLOOKUP(CalcE3!$B$6,CalcE3!$C$4:$E$12,3,0)=MAX($Q26:$Q27),VLOOKUP(CalcE3!$B$6,CalcE3!$C$4:$E$12,3,0),CalcE3!$B$6))</f>
        <v>3</v>
      </c>
      <c r="R28" s="374" t="str">
        <f ca="1">IF(OR(Calc1!$F$14&lt;3,AE30=1),"",IF(CalcE3!$K$13=0,CalcE3!$Q$66,VLOOKUP(CalcE3!$B$6,CalcE3!$C$4:$N$12,4,0)))</f>
        <v>FC Grönlingen</v>
      </c>
      <c r="S28" s="221">
        <f ca="1">IF(CalcE3!$K$13=0,"",VLOOKUP(CalcE3!$B$6,CalcE3!$C$4:$N$12,9,0))</f>
        <v>3</v>
      </c>
      <c r="T28" s="196">
        <f ca="1">IF(CalcE3!$K$13=0,"",VLOOKUP(CalcE3!$B$6,CalcE3!$C$4:$N$12,10,0))</f>
        <v>1</v>
      </c>
      <c r="U28" s="196">
        <f ca="1">IF(CalcE3!$K$13=0,"",VLOOKUP(CalcE3!$B$6,CalcE3!$C$4:$N$12,11,0))</f>
        <v>1</v>
      </c>
      <c r="V28" s="196">
        <f ca="1">IF(CalcE3!$K$13=0,"",VLOOKUP(CalcE3!$B$6,CalcE3!$C$4:$N$12,12,0))</f>
        <v>1</v>
      </c>
      <c r="W28" s="217">
        <f ca="1">IF(CalcE3!$K$13=0,"",VLOOKUP(CalcE3!$B$6,CalcE3!$C$4:$N$12,5,0))</f>
        <v>15</v>
      </c>
      <c r="X28" s="483" t="str">
        <f>Language!$E$80</f>
        <v>-</v>
      </c>
      <c r="Y28" s="219">
        <f ca="1">IF(CalcE3!$K$13=0,"",VLOOKUP(CalcE3!$B$6,CalcE3!$C$4:$N$12,6,0))</f>
        <v>10</v>
      </c>
      <c r="Z28" s="196">
        <f ca="1">IF(CalcE3!$K$13=0,"",VLOOKUP(CalcE3!$B$6,CalcE3!$C$4:$N$12,7,0))</f>
        <v>5</v>
      </c>
      <c r="AA28" s="220">
        <f ca="1">IF(CalcE3!$K$13=0,"",VLOOKUP(CalcE3!$B$6,CalcE3!$C$4:$N$12,8,0))</f>
        <v>4</v>
      </c>
      <c r="AD28" s="469" t="s">
        <v>326</v>
      </c>
      <c r="AE28" s="485" t="str">
        <f ca="1">IF(PreliminaryRound!$N$17="","",PreliminaryRound!$N$17)</f>
        <v>Maibach 1822 eV</v>
      </c>
      <c r="AF28" s="415"/>
    </row>
    <row r="29" spans="2:32" ht="24" customHeight="1" thickBot="1" x14ac:dyDescent="0.25">
      <c r="C29" s="379">
        <f t="array" aca="1" ref="C29" ca="1">$C$12+ROW(17:17)-SUM((($I$12:$I28="")+($K$12:$K28="")&gt;0)*1)</f>
        <v>73</v>
      </c>
      <c r="D29" s="346">
        <f t="array" aca="1" ref="D29" ca="1">IF(Planning!$U$16,"",$D$12+QUOTIENT(($C29-$C$12),Planning!$U$18)*(Planning!$R$7+Planning!$R$9)/1440+SUM($O$12:$O28)/1440)</f>
        <v>0.8125</v>
      </c>
      <c r="E29" s="503">
        <f ca="1">IF(Planning!$U$16,"",MOD($C29-$C$12,Planning!$U$18)+1)</f>
        <v>1</v>
      </c>
      <c r="F29" s="497" t="s">
        <v>355</v>
      </c>
      <c r="G29" s="498" t="s">
        <v>5</v>
      </c>
      <c r="H29" s="499" t="s">
        <v>356</v>
      </c>
      <c r="I29" s="474" t="str">
        <f t="shared" ref="I29:I35" ca="1" si="2">IF($F29="","",IF(VLOOKUP($F29,$AD$12:$AE$41,2,0)="","",VLOOKUP($F29,$AD$12:$AE$41,2,0)))</f>
        <v>1. FC Riedwald</v>
      </c>
      <c r="J29" s="152" t="s">
        <v>5</v>
      </c>
      <c r="K29" s="325" t="str">
        <f t="shared" ref="K29:K35" ca="1" si="3">IF($H29="","",IF(VLOOKUP($H29,$AD$12:$AE$41,2,0)="","",VLOOKUP($H29,$AD$12:$AE$41,2,0)))</f>
        <v>SSV Wildbach</v>
      </c>
      <c r="L29" s="336">
        <v>3</v>
      </c>
      <c r="M29" s="339" t="str">
        <f>Language!$E$80</f>
        <v>-</v>
      </c>
      <c r="N29" s="321">
        <v>9</v>
      </c>
      <c r="O29" s="354"/>
      <c r="Q29" s="486">
        <f ca="1">IF(CalcE3!$K$13=0,"",IF(VLOOKUP(CalcE3!$B$7,CalcE3!$C$4:$E$12,3,0)=MAX($Q26:$Q28),VLOOKUP(CalcE3!$B$7,CalcE3!$C$4:$E$12,3,0),CalcE3!$B$7))</f>
        <v>4</v>
      </c>
      <c r="R29" s="376" t="str">
        <f ca="1">IF(OR(Calc1!$F$14&lt;3,AE30=1),"",IF(CalcE3!$K$13=0,CalcE3!$Q$67,VLOOKUP(CalcE3!$B$7,CalcE3!$C$4:$N$12,4,0)))</f>
        <v>Maibach 1822 eV</v>
      </c>
      <c r="S29" s="232">
        <f ca="1">IF(CalcE3!$K$13=0,"",VLOOKUP(CalcE3!$B$7,CalcE3!$C$4:$N$12,9,0))</f>
        <v>3</v>
      </c>
      <c r="T29" s="226">
        <f ca="1">IF(CalcE3!$K$13=0,"",VLOOKUP(CalcE3!$B$7,CalcE3!$C$4:$N$12,10,0))</f>
        <v>1</v>
      </c>
      <c r="U29" s="226">
        <f ca="1">IF(CalcE3!$K$13=0,"",VLOOKUP(CalcE3!$B$7,CalcE3!$C$4:$N$12,11,0))</f>
        <v>0</v>
      </c>
      <c r="V29" s="226">
        <f ca="1">IF(CalcE3!$K$13=0,"",VLOOKUP(CalcE3!$B$7,CalcE3!$C$4:$N$12,12,0))</f>
        <v>2</v>
      </c>
      <c r="W29" s="228">
        <f ca="1">IF(CalcE3!$K$13=0,"",VLOOKUP(CalcE3!$B$7,CalcE3!$C$4:$N$12,5,0))</f>
        <v>8</v>
      </c>
      <c r="X29" s="487" t="str">
        <f>Language!$E$80</f>
        <v>-</v>
      </c>
      <c r="Y29" s="230">
        <f ca="1">IF(CalcE3!$K$13=0,"",VLOOKUP(CalcE3!$B$7,CalcE3!$C$4:$N$12,6,0))</f>
        <v>15</v>
      </c>
      <c r="Z29" s="226">
        <f ca="1">IF(CalcE3!$K$13=0,"",VLOOKUP(CalcE3!$B$7,CalcE3!$C$4:$N$12,7,0))</f>
        <v>-7</v>
      </c>
      <c r="AA29" s="231">
        <f ca="1">IF(CalcE3!$K$13=0,"",VLOOKUP(CalcE3!$B$7,CalcE3!$C$4:$N$12,8,0))</f>
        <v>3</v>
      </c>
      <c r="AD29" s="488" t="s">
        <v>327</v>
      </c>
      <c r="AE29" s="489" t="str">
        <f ca="1">IF(PreliminaryRound!$N$30="","",PreliminaryRound!$N$30)</f>
        <v>FC Grönlingen</v>
      </c>
      <c r="AF29" s="416"/>
    </row>
    <row r="30" spans="2:32" ht="24" customHeight="1" thickTop="1" x14ac:dyDescent="0.2">
      <c r="C30" s="379">
        <f t="array" aca="1" ref="C30" ca="1">$C$12+ROW(18:18)-SUM((($I$12:$I29="")+($K$12:$K29="")&gt;0)*1)</f>
        <v>74</v>
      </c>
      <c r="D30" s="346">
        <f t="array" aca="1" ref="D30" ca="1">IF(Planning!$U$16,"",$D$12+QUOTIENT(($C30-$C$12),Planning!$U$18)*(Planning!$R$7+Planning!$R$9)/1440+SUM($O$12:$O29)/1440)</f>
        <v>0.8125</v>
      </c>
      <c r="E30" s="503">
        <f ca="1">IF(Planning!$U$16,"",MOD($C30-$C$12,Planning!$U$18)+1)</f>
        <v>2</v>
      </c>
      <c r="F30" s="497" t="s">
        <v>326</v>
      </c>
      <c r="G30" s="498" t="s">
        <v>5</v>
      </c>
      <c r="H30" s="499" t="s">
        <v>327</v>
      </c>
      <c r="I30" s="474" t="str">
        <f t="shared" ca="1" si="2"/>
        <v>Maibach 1822 eV</v>
      </c>
      <c r="J30" s="152" t="s">
        <v>5</v>
      </c>
      <c r="K30" s="325" t="str">
        <f t="shared" ca="1" si="3"/>
        <v>FC Grönlingen</v>
      </c>
      <c r="L30" s="336">
        <v>4</v>
      </c>
      <c r="M30" s="339" t="str">
        <f>Language!$E$80</f>
        <v>-</v>
      </c>
      <c r="N30" s="321">
        <v>10</v>
      </c>
      <c r="O30" s="354"/>
      <c r="AE30" s="513">
        <f t="array" aca="1" ref="AE30" ca="1">SUM((AE26:AE29&lt;&gt;"")*1)</f>
        <v>4</v>
      </c>
    </row>
    <row r="31" spans="2:32" ht="24" customHeight="1" thickBot="1" x14ac:dyDescent="0.45">
      <c r="C31" s="379">
        <f t="array" aca="1" ref="C31" ca="1">$C$12+ROW(19:19)-SUM((($I$12:$I30="")+($K$12:$K30="")&gt;0)*1)</f>
        <v>75</v>
      </c>
      <c r="D31" s="346">
        <f t="array" aca="1" ref="D31" ca="1">IF(Planning!$U$16,"",$D$12+QUOTIENT(($C31-$C$12),Planning!$U$18)*(Planning!$R$7+Planning!$R$9)/1440+SUM($O$12:$O30)/1440)</f>
        <v>0.8125</v>
      </c>
      <c r="E31" s="503">
        <f ca="1">IF(Planning!$U$16,"",MOD($C31-$C$12,Planning!$U$18)+1)</f>
        <v>3</v>
      </c>
      <c r="F31" s="497" t="s">
        <v>322</v>
      </c>
      <c r="G31" s="498" t="s">
        <v>5</v>
      </c>
      <c r="H31" s="499" t="s">
        <v>323</v>
      </c>
      <c r="I31" s="474" t="str">
        <f t="shared" ca="1" si="2"/>
        <v>Fun Kickers Oes</v>
      </c>
      <c r="J31" s="152" t="s">
        <v>5</v>
      </c>
      <c r="K31" s="325" t="str">
        <f t="shared" ca="1" si="3"/>
        <v>Mainz 05</v>
      </c>
      <c r="L31" s="336">
        <v>5</v>
      </c>
      <c r="M31" s="339" t="str">
        <f>Language!$E$80</f>
        <v>-</v>
      </c>
      <c r="N31" s="321">
        <v>11</v>
      </c>
      <c r="O31" s="354"/>
      <c r="Q31" s="755" t="str">
        <f>Language!$E$67</f>
        <v>Seventh and eighth placed</v>
      </c>
      <c r="R31" s="755"/>
      <c r="S31" s="755"/>
      <c r="T31" s="755"/>
      <c r="U31" s="755"/>
      <c r="V31" s="755"/>
      <c r="W31" s="197"/>
      <c r="X31" s="197"/>
      <c r="Y31" s="197"/>
      <c r="Z31" s="197"/>
      <c r="AA31" s="197"/>
      <c r="AD31" s="756" t="str">
        <f>$Q31</f>
        <v>Seventh and eighth placed</v>
      </c>
      <c r="AE31" s="756"/>
      <c r="AF31" s="756"/>
    </row>
    <row r="32" spans="2:32" ht="24" customHeight="1" thickTop="1" thickBot="1" x14ac:dyDescent="0.25">
      <c r="C32" s="379">
        <f t="array" aca="1" ref="C32" ca="1">$C$12+ROW(20:20)-SUM((($I$12:$I31="")+($K$12:$K31="")&gt;0)*1)</f>
        <v>76</v>
      </c>
      <c r="D32" s="346">
        <f t="array" aca="1" ref="D32" ca="1">IF(Planning!$U$16,"",$D$12+QUOTIENT(($C32-$C$12),Planning!$U$18)*(Planning!$R$7+Planning!$R$9)/1440+SUM($O$12:$O31)/1440)</f>
        <v>0.8125</v>
      </c>
      <c r="E32" s="503">
        <f ca="1">IF(Planning!$U$16,"",MOD($C32-$C$12,Planning!$U$18)+1)</f>
        <v>4</v>
      </c>
      <c r="F32" s="497" t="s">
        <v>319</v>
      </c>
      <c r="G32" s="498" t="s">
        <v>5</v>
      </c>
      <c r="H32" s="499" t="s">
        <v>320</v>
      </c>
      <c r="I32" s="474" t="str">
        <f t="shared" ca="1" si="2"/>
        <v>Eintracht Frankfurt</v>
      </c>
      <c r="J32" s="152" t="s">
        <v>5</v>
      </c>
      <c r="K32" s="325" t="str">
        <f t="shared" ca="1" si="3"/>
        <v>AC Roma</v>
      </c>
      <c r="L32" s="336">
        <v>6</v>
      </c>
      <c r="M32" s="339" t="str">
        <f>Language!$E$80</f>
        <v>-</v>
      </c>
      <c r="N32" s="321">
        <v>12</v>
      </c>
      <c r="O32" s="354"/>
      <c r="Q32" s="569"/>
      <c r="R32" s="570"/>
      <c r="S32" s="199" t="str">
        <f>Language!$E$21</f>
        <v>Pld</v>
      </c>
      <c r="T32" s="200" t="str">
        <f>Language!$E$22</f>
        <v>W</v>
      </c>
      <c r="U32" s="200" t="str">
        <f>Language!$E$23</f>
        <v>D</v>
      </c>
      <c r="V32" s="568" t="str">
        <f>Language!$E$24</f>
        <v>L</v>
      </c>
      <c r="W32" s="571" t="str">
        <f>Language!$E$25</f>
        <v>Goals</v>
      </c>
      <c r="X32" s="572"/>
      <c r="Y32" s="573"/>
      <c r="Z32" s="200" t="str">
        <f>Language!$E$26</f>
        <v>GD</v>
      </c>
      <c r="AA32" s="202" t="str">
        <f>Language!$E$27</f>
        <v>Pts</v>
      </c>
      <c r="AD32" s="476"/>
      <c r="AE32" s="477" t="str">
        <f>Language!$E$10</f>
        <v>Participant or team</v>
      </c>
      <c r="AF32" s="412" t="str">
        <f>Language!$E$49</f>
        <v>bonus</v>
      </c>
    </row>
    <row r="33" spans="3:32" ht="24" customHeight="1" x14ac:dyDescent="0.2">
      <c r="C33" s="379">
        <f t="array" aca="1" ref="C33" ca="1">$C$12+ROW(21:21)-SUM((($I$12:$I32="")+($K$12:$K32="")&gt;0)*1)</f>
        <v>77</v>
      </c>
      <c r="D33" s="346">
        <f t="array" aca="1" ref="D33" ca="1">IF(Planning!$U$16,"",$D$12+QUOTIENT(($C33-$C$12),Planning!$U$18)*(Planning!$R$7+Planning!$R$9)/1440+SUM($O$12:$O32)/1440)</f>
        <v>0.83680555555555558</v>
      </c>
      <c r="E33" s="503">
        <f ca="1">IF(Planning!$U$16,"",MOD($C33-$C$12,Planning!$U$18)+1)</f>
        <v>1</v>
      </c>
      <c r="F33" s="497" t="s">
        <v>353</v>
      </c>
      <c r="G33" s="498" t="s">
        <v>5</v>
      </c>
      <c r="H33" s="499" t="s">
        <v>354</v>
      </c>
      <c r="I33" s="474" t="str">
        <f t="shared" ca="1" si="2"/>
        <v>VFB Essenheim</v>
      </c>
      <c r="J33" s="152" t="s">
        <v>5</v>
      </c>
      <c r="K33" s="325" t="str">
        <f t="shared" ca="1" si="3"/>
        <v>VFL Ronsdorf</v>
      </c>
      <c r="L33" s="336">
        <v>7</v>
      </c>
      <c r="M33" s="339" t="str">
        <f>Language!$E$80</f>
        <v>-</v>
      </c>
      <c r="N33" s="321">
        <v>13</v>
      </c>
      <c r="O33" s="354"/>
      <c r="Q33" s="478">
        <f ca="1">IF(CalcE4!$K$13=0,"",1)</f>
        <v>1</v>
      </c>
      <c r="R33" s="372" t="str">
        <f ca="1">IF(Calc1!$F$14&lt;3,"",IF(AND(CalcE4!$K$13=0,AE37&lt;&gt;1),CalcE4!$Q$64,VLOOKUP(CalcE4!$B$4,CalcE4!$C$4:$N$12,4,0)))</f>
        <v>SSV Wildbach</v>
      </c>
      <c r="S33" s="479">
        <f ca="1">IF(CalcE4!$K$13=0,"",VLOOKUP(CalcE4!$B$4,CalcE4!$C$4:$N$12,9,0))</f>
        <v>3</v>
      </c>
      <c r="T33" s="206">
        <f ca="1">IF(CalcE4!$K$13=0,"",VLOOKUP(CalcE4!$B$4,CalcE4!$C$4:$N$12,10,0))</f>
        <v>3</v>
      </c>
      <c r="U33" s="206">
        <f ca="1">IF(CalcE4!$K$13=0,"",VLOOKUP(CalcE4!$B$4,CalcE4!$C$4:$N$12,11,0))</f>
        <v>0</v>
      </c>
      <c r="V33" s="206">
        <f ca="1">IF(CalcE4!$K$13=0,"",VLOOKUP(CalcE4!$B$4,CalcE4!$C$4:$N$12,12,0))</f>
        <v>0</v>
      </c>
      <c r="W33" s="208">
        <f ca="1">IF(CalcE4!$K$13=0,"",VLOOKUP(CalcE4!$B$4,CalcE4!$C$4:$N$12,5,0))</f>
        <v>18</v>
      </c>
      <c r="X33" s="480" t="str">
        <f>Language!$E$80</f>
        <v>-</v>
      </c>
      <c r="Y33" s="210">
        <f ca="1">IF(CalcE4!$K$13=0,"",VLOOKUP(CalcE4!$B$4,CalcE4!$C$4:$N$12,6,0))</f>
        <v>6</v>
      </c>
      <c r="Z33" s="206">
        <f ca="1">IF(CalcE4!$K$13=0,"",VLOOKUP(CalcE4!$B$4,CalcE4!$C$4:$N$12,7,0))</f>
        <v>12</v>
      </c>
      <c r="AA33" s="211">
        <f ca="1">IF(CalcE4!$K$13=0,"",VLOOKUP(CalcE4!$B$4,CalcE4!$C$4:$N$12,8,0))</f>
        <v>9</v>
      </c>
      <c r="AD33" s="567" t="s">
        <v>353</v>
      </c>
      <c r="AE33" s="481" t="str">
        <f ca="1">IF(PreliminaryRound!$N$18="","",PreliminaryRound!$N$18)</f>
        <v>VFB Essenheim</v>
      </c>
      <c r="AF33" s="414"/>
    </row>
    <row r="34" spans="3:32" ht="24" customHeight="1" x14ac:dyDescent="0.2">
      <c r="C34" s="379">
        <f t="array" aca="1" ref="C34" ca="1">$C$12+ROW(22:22)-SUM((($I$12:$I33="")+($K$12:$K33="")&gt;0)*1)</f>
        <v>78</v>
      </c>
      <c r="D34" s="346">
        <f t="array" aca="1" ref="D34" ca="1">IF(Planning!$U$16,"",$D$12+QUOTIENT(($C34-$C$12),Planning!$U$18)*(Planning!$R$7+Planning!$R$9)/1440+SUM($O$12:$O33)/1440)</f>
        <v>0.83680555555555558</v>
      </c>
      <c r="E34" s="503">
        <f ca="1">IF(Planning!$U$16,"",MOD($C34-$C$12,Planning!$U$18)+1)</f>
        <v>2</v>
      </c>
      <c r="F34" s="497" t="s">
        <v>324</v>
      </c>
      <c r="G34" s="498" t="s">
        <v>5</v>
      </c>
      <c r="H34" s="499" t="s">
        <v>325</v>
      </c>
      <c r="I34" s="474" t="str">
        <f t="shared" ca="1" si="2"/>
        <v>Knock Out Rangers</v>
      </c>
      <c r="J34" s="152" t="s">
        <v>5</v>
      </c>
      <c r="K34" s="325" t="str">
        <f t="shared" ca="1" si="3"/>
        <v>Borussia Heine</v>
      </c>
      <c r="L34" s="336">
        <v>8</v>
      </c>
      <c r="M34" s="339" t="str">
        <f>Language!$E$80</f>
        <v>-</v>
      </c>
      <c r="N34" s="321">
        <v>14</v>
      </c>
      <c r="O34" s="354"/>
      <c r="Q34" s="482">
        <f ca="1">IF(CalcE4!$K$13=0,"",IF(VLOOKUP(CalcE4!$B$5,CalcE4!$C$4:$E$12,3,0)=MAX($Q33:$Q33),VLOOKUP(CalcE4!$B$5,CalcE4!$C$4:$E$12,3,0),CalcE4!$B$5))</f>
        <v>2</v>
      </c>
      <c r="R34" s="374" t="str">
        <f ca="1">IF(OR(Calc1!$F$14&lt;3,AE37=1),"",IF(CalcE4!$K$13=0,CalcE4!$Q$65,VLOOKUP(CalcE4!$B$5,CalcE4!$C$4:$N$12,4,0)))</f>
        <v>VFL Ronsdorf</v>
      </c>
      <c r="S34" s="221">
        <f ca="1">IF(CalcE4!$K$13=0,"",VLOOKUP(CalcE4!$B$5,CalcE4!$C$4:$N$12,9,0))</f>
        <v>3</v>
      </c>
      <c r="T34" s="196">
        <f ca="1">IF(CalcE4!$K$13=0,"",VLOOKUP(CalcE4!$B$5,CalcE4!$C$4:$N$12,10,0))</f>
        <v>2</v>
      </c>
      <c r="U34" s="196">
        <f ca="1">IF(CalcE4!$K$13=0,"",VLOOKUP(CalcE4!$B$5,CalcE4!$C$4:$N$12,11,0))</f>
        <v>0</v>
      </c>
      <c r="V34" s="196">
        <f ca="1">IF(CalcE4!$K$13=0,"",VLOOKUP(CalcE4!$B$5,CalcE4!$C$4:$N$12,12,0))</f>
        <v>1</v>
      </c>
      <c r="W34" s="217">
        <f ca="1">IF(CalcE4!$K$13=0,"",VLOOKUP(CalcE4!$B$5,CalcE4!$C$4:$N$12,5,0))</f>
        <v>16</v>
      </c>
      <c r="X34" s="483" t="str">
        <f>Language!$E$80</f>
        <v>-</v>
      </c>
      <c r="Y34" s="219">
        <f ca="1">IF(CalcE4!$K$13=0,"",VLOOKUP(CalcE4!$B$5,CalcE4!$C$4:$N$12,6,0))</f>
        <v>12</v>
      </c>
      <c r="Z34" s="196">
        <f ca="1">IF(CalcE4!$K$13=0,"",VLOOKUP(CalcE4!$B$5,CalcE4!$C$4:$N$12,7,0))</f>
        <v>4</v>
      </c>
      <c r="AA34" s="220">
        <f ca="1">IF(CalcE4!$K$13=0,"",VLOOKUP(CalcE4!$B$5,CalcE4!$C$4:$N$12,8,0))</f>
        <v>6</v>
      </c>
      <c r="AD34" s="484" t="s">
        <v>354</v>
      </c>
      <c r="AE34" s="485" t="str">
        <f ca="1">IF(PreliminaryRound!$N$31="","",PreliminaryRound!$N$31)</f>
        <v>VFL Ronsdorf</v>
      </c>
      <c r="AF34" s="415"/>
    </row>
    <row r="35" spans="3:32" ht="24" customHeight="1" thickBot="1" x14ac:dyDescent="0.25">
      <c r="C35" s="379">
        <f t="array" aca="1" ref="C35" ca="1">$C$12+ROW(23:23)-SUM((($I$12:$I34="")+($K$12:$K34="")&gt;0)*1)</f>
        <v>79</v>
      </c>
      <c r="D35" s="346">
        <f t="array" aca="1" ref="D35" ca="1">IF(Planning!$U$16,"",$D$12+QUOTIENT(($C35-$C$12),Planning!$U$18)*(Planning!$R$7+Planning!$R$9)/1440+SUM($O$12:$O34)/1440)</f>
        <v>0.83680555555555558</v>
      </c>
      <c r="E35" s="503">
        <f ca="1">IF(Planning!$U$16,"",MOD($C35-$C$12,Planning!$U$18)+1)</f>
        <v>3</v>
      </c>
      <c r="F35" s="497" t="s">
        <v>313</v>
      </c>
      <c r="G35" s="498" t="s">
        <v>5</v>
      </c>
      <c r="H35" s="499" t="s">
        <v>321</v>
      </c>
      <c r="I35" s="474" t="str">
        <f t="shared" ca="1" si="2"/>
        <v>Raslo Winners</v>
      </c>
      <c r="J35" s="152" t="s">
        <v>5</v>
      </c>
      <c r="K35" s="325" t="str">
        <f t="shared" ca="1" si="3"/>
        <v>Inter Mailand</v>
      </c>
      <c r="L35" s="336">
        <v>9</v>
      </c>
      <c r="M35" s="339" t="str">
        <f>Language!$E$80</f>
        <v>-</v>
      </c>
      <c r="N35" s="321">
        <v>15</v>
      </c>
      <c r="O35" s="354"/>
      <c r="Q35" s="482">
        <f ca="1">IF(CalcE4!$K$13=0,"",IF(VLOOKUP(CalcE4!$B$6,CalcE4!$C$4:$E$12,3,0)=MAX($Q33:$Q34),VLOOKUP(CalcE4!$B$6,CalcE4!$C$4:$E$12,3,0),CalcE4!$B$6))</f>
        <v>3</v>
      </c>
      <c r="R35" s="374" t="str">
        <f ca="1">IF(OR(Calc1!$F$14&lt;3,AE37=1),"",IF(CalcE4!$K$13=0,CalcE4!$Q$66,VLOOKUP(CalcE4!$B$6,CalcE4!$C$4:$N$12,4,0)))</f>
        <v>VFB Essenheim</v>
      </c>
      <c r="S35" s="221">
        <f ca="1">IF(CalcE4!$K$13=0,"",VLOOKUP(CalcE4!$B$6,CalcE4!$C$4:$N$12,9,0))</f>
        <v>3</v>
      </c>
      <c r="T35" s="196">
        <f ca="1">IF(CalcE4!$K$13=0,"",VLOOKUP(CalcE4!$B$6,CalcE4!$C$4:$N$12,10,0))</f>
        <v>0</v>
      </c>
      <c r="U35" s="196">
        <f ca="1">IF(CalcE4!$K$13=0,"",VLOOKUP(CalcE4!$B$6,CalcE4!$C$4:$N$12,11,0))</f>
        <v>1</v>
      </c>
      <c r="V35" s="196">
        <f ca="1">IF(CalcE4!$K$13=0,"",VLOOKUP(CalcE4!$B$6,CalcE4!$C$4:$N$12,12,0))</f>
        <v>2</v>
      </c>
      <c r="W35" s="217">
        <f ca="1">IF(CalcE4!$K$13=0,"",VLOOKUP(CalcE4!$B$6,CalcE4!$C$4:$N$12,5,0))</f>
        <v>11</v>
      </c>
      <c r="X35" s="483" t="str">
        <f>Language!$E$80</f>
        <v>-</v>
      </c>
      <c r="Y35" s="219">
        <f ca="1">IF(CalcE4!$K$13=0,"",VLOOKUP(CalcE4!$B$6,CalcE4!$C$4:$N$12,6,0))</f>
        <v>19</v>
      </c>
      <c r="Z35" s="196">
        <f ca="1">IF(CalcE4!$K$13=0,"",VLOOKUP(CalcE4!$B$6,CalcE4!$C$4:$N$12,7,0))</f>
        <v>-8</v>
      </c>
      <c r="AA35" s="220">
        <f ca="1">IF(CalcE4!$K$13=0,"",VLOOKUP(CalcE4!$B$6,CalcE4!$C$4:$N$12,8,0))</f>
        <v>1</v>
      </c>
      <c r="AD35" s="566" t="s">
        <v>355</v>
      </c>
      <c r="AE35" s="485" t="str">
        <f ca="1">IF(PreliminaryRound!$N$19="","",PreliminaryRound!$N$19)</f>
        <v>1. FC Riedwald</v>
      </c>
      <c r="AF35" s="415"/>
    </row>
    <row r="36" spans="3:32" ht="24" customHeight="1" thickBot="1" x14ac:dyDescent="0.25">
      <c r="C36" s="380">
        <f t="array" aca="1" ref="C36" ca="1">$C$12+ROW(24:24)-SUM((($I$12:$I35="")+($K$12:$K35="")&gt;0)*1)</f>
        <v>80</v>
      </c>
      <c r="D36" s="347">
        <f t="array" aca="1" ref="D36" ca="1">IF(Planning!$U$16,"",$D$12+QUOTIENT(($C36-$C$12),Planning!$U$18)*(Planning!$R$7+Planning!$R$9)/1440+SUM($O$12:$O35)/1440)</f>
        <v>0.83680555555555558</v>
      </c>
      <c r="E36" s="368">
        <f ca="1">IF(Planning!$U$16,"",MOD($C36-$C$12,Planning!$U$18)+1)</f>
        <v>4</v>
      </c>
      <c r="F36" s="500" t="s">
        <v>318</v>
      </c>
      <c r="G36" s="501" t="s">
        <v>5</v>
      </c>
      <c r="H36" s="502" t="s">
        <v>314</v>
      </c>
      <c r="I36" s="504" t="str">
        <f ca="1">IF($F36="","",IF(VLOOKUP($F36,$AD$12:$AE$41,2,0)="","",VLOOKUP($F36,$AD$12:$AE$41,2,0)))</f>
        <v>FC Barcelona</v>
      </c>
      <c r="J36" s="505" t="s">
        <v>5</v>
      </c>
      <c r="K36" s="506" t="str">
        <f ca="1">IF($H36="","",IF(VLOOKUP($H36,$AD$12:$AE$41,2,0)="","",VLOOKUP($H36,$AD$12:$AE$41,2,0)))</f>
        <v>Manchester City</v>
      </c>
      <c r="L36" s="337">
        <v>4</v>
      </c>
      <c r="M36" s="369" t="str">
        <f>Language!$E$80</f>
        <v>-</v>
      </c>
      <c r="N36" s="322">
        <v>0</v>
      </c>
      <c r="O36" s="493"/>
      <c r="Q36" s="486">
        <f ca="1">IF(CalcE4!$K$13=0,"",IF(VLOOKUP(CalcE4!$B$7,CalcE4!$C$4:$E$12,3,0)=MAX($Q33:$Q35),VLOOKUP(CalcE4!$B$7,CalcE4!$C$4:$E$12,3,0),CalcE4!$B$7))</f>
        <v>4</v>
      </c>
      <c r="R36" s="376" t="str">
        <f ca="1">IF(OR(Calc1!$F$14&lt;3,AE37=1),"",IF(CalcE4!$K$13=0,CalcE4!$Q$67,VLOOKUP(CalcE4!$B$7,CalcE4!$C$4:$N$12,4,0)))</f>
        <v>1. FC Riedwald</v>
      </c>
      <c r="S36" s="232">
        <f ca="1">IF(CalcE4!$K$13=0,"",VLOOKUP(CalcE4!$B$7,CalcE4!$C$4:$N$12,9,0))</f>
        <v>3</v>
      </c>
      <c r="T36" s="226">
        <f ca="1">IF(CalcE4!$K$13=0,"",VLOOKUP(CalcE4!$B$7,CalcE4!$C$4:$N$12,10,0))</f>
        <v>0</v>
      </c>
      <c r="U36" s="226">
        <f ca="1">IF(CalcE4!$K$13=0,"",VLOOKUP(CalcE4!$B$7,CalcE4!$C$4:$N$12,11,0))</f>
        <v>1</v>
      </c>
      <c r="V36" s="226">
        <f ca="1">IF(CalcE4!$K$13=0,"",VLOOKUP(CalcE4!$B$7,CalcE4!$C$4:$N$12,12,0))</f>
        <v>2</v>
      </c>
      <c r="W36" s="228">
        <f ca="1">IF(CalcE4!$K$13=0,"",VLOOKUP(CalcE4!$B$7,CalcE4!$C$4:$N$12,5,0))</f>
        <v>5</v>
      </c>
      <c r="X36" s="487" t="str">
        <f>Language!$E$80</f>
        <v>-</v>
      </c>
      <c r="Y36" s="230">
        <f ca="1">IF(CalcE4!$K$13=0,"",VLOOKUP(CalcE4!$B$7,CalcE4!$C$4:$N$12,6,0))</f>
        <v>13</v>
      </c>
      <c r="Z36" s="226">
        <f ca="1">IF(CalcE4!$K$13=0,"",VLOOKUP(CalcE4!$B$7,CalcE4!$C$4:$N$12,7,0))</f>
        <v>-8</v>
      </c>
      <c r="AA36" s="231">
        <f ca="1">IF(CalcE4!$K$13=0,"",VLOOKUP(CalcE4!$B$7,CalcE4!$C$4:$N$12,8,0))</f>
        <v>1</v>
      </c>
      <c r="AD36" s="488" t="s">
        <v>356</v>
      </c>
      <c r="AE36" s="489" t="str">
        <f ca="1">IF(PreliminaryRound!$N$32="","",PreliminaryRound!$N$32)</f>
        <v>SSV Wildbach</v>
      </c>
      <c r="AF36" s="416"/>
    </row>
    <row r="37" spans="3:32" ht="24" customHeight="1" thickTop="1" x14ac:dyDescent="0.2"/>
    <row r="38" spans="3:32" ht="24" customHeight="1" thickBot="1" x14ac:dyDescent="0.45">
      <c r="C38" s="351"/>
      <c r="D38" s="351"/>
      <c r="E38" s="351"/>
      <c r="F38" s="351"/>
      <c r="G38" s="351"/>
      <c r="H38" s="351"/>
      <c r="I38" s="739" t="str">
        <f>Language!$E$29</f>
        <v>Tournament end:</v>
      </c>
      <c r="J38" s="739"/>
      <c r="K38" s="352">
        <f ca="1">IF(Planning!$R$13="","",$D$36+Planning!$R$7/1440)</f>
        <v>0.85763888888888895</v>
      </c>
      <c r="L38" s="353"/>
      <c r="M38" s="353"/>
      <c r="N38" s="353"/>
      <c r="O38" s="353"/>
      <c r="Q38" s="755" t="str">
        <f>Language!$E$68</f>
        <v>Ninth placed</v>
      </c>
      <c r="R38" s="755"/>
      <c r="S38" s="755"/>
      <c r="T38" s="755"/>
      <c r="U38" s="755"/>
      <c r="V38" s="755"/>
      <c r="W38" s="197"/>
      <c r="X38" s="197"/>
      <c r="Y38" s="197"/>
      <c r="Z38" s="197"/>
      <c r="AA38" s="197"/>
      <c r="AD38" s="756" t="str">
        <f>$Q38</f>
        <v>Ninth placed</v>
      </c>
      <c r="AE38" s="756"/>
      <c r="AF38" s="756"/>
    </row>
    <row r="39" spans="3:32" ht="24" customHeight="1" thickTop="1" thickBot="1" x14ac:dyDescent="0.25">
      <c r="D39" s="349"/>
      <c r="Q39" s="757"/>
      <c r="R39" s="758"/>
      <c r="S39" s="199" t="str">
        <f>Language!$E$21</f>
        <v>Pld</v>
      </c>
      <c r="T39" s="200" t="str">
        <f>Language!$E$22</f>
        <v>W</v>
      </c>
      <c r="U39" s="200" t="str">
        <f>Language!$E$23</f>
        <v>D</v>
      </c>
      <c r="V39" s="568" t="str">
        <f>Language!$E$24</f>
        <v>L</v>
      </c>
      <c r="W39" s="759" t="str">
        <f>Language!$E$25</f>
        <v>Goals</v>
      </c>
      <c r="X39" s="760"/>
      <c r="Y39" s="761"/>
      <c r="Z39" s="200" t="str">
        <f>Language!$E$26</f>
        <v>GD</v>
      </c>
      <c r="AA39" s="202" t="str">
        <f>Language!$E$27</f>
        <v>Pts</v>
      </c>
      <c r="AD39" s="476"/>
      <c r="AE39" s="477" t="str">
        <f>Language!$E$10</f>
        <v>Participant or team</v>
      </c>
      <c r="AF39" s="412" t="str">
        <f>Language!$E$49</f>
        <v>bonus</v>
      </c>
    </row>
    <row r="40" spans="3:32" ht="24" customHeight="1" thickBot="1" x14ac:dyDescent="0.25">
      <c r="F40" s="490"/>
      <c r="G40" s="491"/>
      <c r="H40" s="444" t="str">
        <f>Language!$E$88</f>
        <v>Rank</v>
      </c>
      <c r="I40" s="768" t="str">
        <f>"  "&amp;Language!$E$10</f>
        <v xml:space="preserve">  Participant or team</v>
      </c>
      <c r="J40" s="769"/>
      <c r="K40" s="770"/>
      <c r="Q40" s="478" t="str">
        <f ca="1">IF(CalcE5!$K$13=0,"",1)</f>
        <v/>
      </c>
      <c r="R40" s="372" t="str">
        <f ca="1">IF(Calc1!$F$14&lt;3,"",IF(AND(CalcE5!$K$13=0,AE51&lt;&gt;1),CalcE5!$Q$64,VLOOKUP(CalcE5!$B$4,CalcE5!$C$4:$N$12,4,0)))</f>
        <v/>
      </c>
      <c r="S40" s="479" t="str">
        <f ca="1">IF(CalcE5!$K$13=0,"",VLOOKUP(CalcE5!$B$4,CalcE5!$C$4:$N$12,9,0))</f>
        <v/>
      </c>
      <c r="T40" s="206" t="str">
        <f ca="1">IF(CalcE5!$K$13=0,"",VLOOKUP(CalcE5!$B$4,CalcE5!$C$4:$N$12,10,0))</f>
        <v/>
      </c>
      <c r="U40" s="206" t="str">
        <f ca="1">IF(CalcE5!$K$13=0,"",VLOOKUP(CalcE5!$B$4,CalcE5!$C$4:$N$12,11,0))</f>
        <v/>
      </c>
      <c r="V40" s="206" t="str">
        <f ca="1">IF(CalcE5!$K$13=0,"",VLOOKUP(CalcE5!$B$4,CalcE5!$C$4:$N$12,12,0))</f>
        <v/>
      </c>
      <c r="W40" s="208" t="str">
        <f ca="1">IF(CalcE5!$K$13=0,"",VLOOKUP(CalcE5!$B$4,CalcE5!$C$4:$N$12,5,0))</f>
        <v/>
      </c>
      <c r="X40" s="480" t="str">
        <f>Language!$E$80</f>
        <v>-</v>
      </c>
      <c r="Y40" s="210" t="str">
        <f ca="1">IF(CalcE5!$K$13=0,"",VLOOKUP(CalcE5!$B$4,CalcE5!$C$4:$N$12,6,0))</f>
        <v/>
      </c>
      <c r="Z40" s="206" t="str">
        <f ca="1">IF(CalcE5!$K$13=0,"",VLOOKUP(CalcE5!$B$4,CalcE5!$C$4:$N$12,7,0))</f>
        <v/>
      </c>
      <c r="AA40" s="211" t="str">
        <f ca="1">IF(CalcE5!$K$13=0,"",VLOOKUP(CalcE5!$B$4,CalcE5!$C$4:$N$12,8,0))</f>
        <v/>
      </c>
      <c r="AD40" s="567" t="s">
        <v>357</v>
      </c>
      <c r="AE40" s="481" t="str">
        <f ca="1">IF(PreliminaryRound!$N$20="","",PreliminaryRound!$N$20)</f>
        <v/>
      </c>
      <c r="AF40" s="414"/>
    </row>
    <row r="41" spans="3:32" ht="24" customHeight="1" thickTop="1" thickBot="1" x14ac:dyDescent="0.25">
      <c r="E41" s="350">
        <v>1</v>
      </c>
      <c r="F41" s="492"/>
      <c r="G41" s="492"/>
      <c r="H41" s="387">
        <v>1</v>
      </c>
      <c r="I41" s="723" t="str">
        <f ca="1">IF(CalcE1!$K$13=0,"",$R$12)</f>
        <v>FC Barcelona</v>
      </c>
      <c r="J41" s="723"/>
      <c r="K41" s="724"/>
      <c r="Q41" s="486" t="str">
        <f ca="1">IF(CalcE5!$K$13=0,"",IF(VLOOKUP(CalcE5!$B$5,CalcE5!$C$4:$E$12,3,0)=MAX($Q40:$Q40),VLOOKUP(CalcE5!$B$5,CalcE5!$C$4:$E$12,3,0),CalcE5!$B$5))</f>
        <v/>
      </c>
      <c r="R41" s="376" t="str">
        <f ca="1">IF(OR(Calc1!$F$14&lt;3,AE51=1),"",IF(CalcE5!$K$13=0,CalcE5!$Q$65,VLOOKUP(CalcE5!$B$5,CalcE5!$C$4:$N$12,4,0)))</f>
        <v/>
      </c>
      <c r="S41" s="232" t="str">
        <f ca="1">IF(CalcE5!$K$13=0,"",VLOOKUP(CalcE5!$B$5,CalcE5!$C$4:$N$12,9,0))</f>
        <v/>
      </c>
      <c r="T41" s="226" t="str">
        <f ca="1">IF(CalcE5!$K$13=0,"",VLOOKUP(CalcE5!$B$5,CalcE5!$C$4:$N$12,10,0))</f>
        <v/>
      </c>
      <c r="U41" s="226" t="str">
        <f ca="1">IF(CalcE5!$K$13=0,"",VLOOKUP(CalcE5!$B$5,CalcE5!$C$4:$N$12,11,0))</f>
        <v/>
      </c>
      <c r="V41" s="226" t="str">
        <f ca="1">IF(CalcE5!$K$13=0,"",VLOOKUP(CalcE5!$B$5,CalcE5!$C$4:$N$12,12,0))</f>
        <v/>
      </c>
      <c r="W41" s="228" t="str">
        <f ca="1">IF(CalcE5!$K$13=0,"",VLOOKUP(CalcE5!$B$5,CalcE5!$C$4:$N$12,5,0))</f>
        <v/>
      </c>
      <c r="X41" s="487" t="str">
        <f>Language!$E$80</f>
        <v>-</v>
      </c>
      <c r="Y41" s="230" t="str">
        <f ca="1">IF(CalcE5!$K$13=0,"",VLOOKUP(CalcE5!$B$5,CalcE5!$C$4:$N$12,6,0))</f>
        <v/>
      </c>
      <c r="Z41" s="226" t="str">
        <f ca="1">IF(CalcE5!$K$13=0,"",VLOOKUP(CalcE5!$B$5,CalcE5!$C$4:$N$12,7,0))</f>
        <v/>
      </c>
      <c r="AA41" s="231" t="str">
        <f ca="1">IF(CalcE5!$K$13=0,"",VLOOKUP(CalcE5!$B$5,CalcE5!$C$4:$N$12,8,0))</f>
        <v/>
      </c>
      <c r="AD41" s="488" t="s">
        <v>358</v>
      </c>
      <c r="AE41" s="489" t="str">
        <f ca="1">IF(PreliminaryRound!$N$33="","",PreliminaryRound!$N$33)</f>
        <v/>
      </c>
      <c r="AF41" s="416"/>
    </row>
    <row r="42" spans="3:32" ht="24" customHeight="1" thickTop="1" x14ac:dyDescent="0.2">
      <c r="E42" s="350">
        <v>2</v>
      </c>
      <c r="F42" s="492"/>
      <c r="G42" s="492"/>
      <c r="H42" s="388">
        <v>2</v>
      </c>
      <c r="I42" s="725" t="str">
        <f ca="1">IF(CalcE1!$K$13=0,"",$R$13)</f>
        <v>AC Roma</v>
      </c>
      <c r="J42" s="725"/>
      <c r="K42" s="726"/>
      <c r="Q42" s="576"/>
      <c r="R42" s="281"/>
      <c r="S42" s="282"/>
      <c r="T42" s="282"/>
      <c r="U42" s="282"/>
      <c r="V42" s="282"/>
      <c r="W42" s="283"/>
      <c r="X42" s="577"/>
      <c r="Y42" s="281"/>
      <c r="Z42" s="282"/>
      <c r="AA42" s="284"/>
      <c r="AB42" s="578"/>
      <c r="AC42" s="578"/>
      <c r="AD42" s="579"/>
      <c r="AE42" s="580"/>
      <c r="AF42" s="581"/>
    </row>
    <row r="43" spans="3:32" ht="24" customHeight="1" x14ac:dyDescent="0.2">
      <c r="E43" s="350">
        <v>3</v>
      </c>
      <c r="F43" s="492"/>
      <c r="G43" s="492"/>
      <c r="H43" s="389">
        <v>3</v>
      </c>
      <c r="I43" s="727" t="str">
        <f ca="1">IF(CalcE1!$K$13=0,"",$R$14)</f>
        <v>Manchester City</v>
      </c>
      <c r="J43" s="727"/>
      <c r="K43" s="728"/>
      <c r="Q43" s="576"/>
      <c r="R43" s="281"/>
      <c r="S43" s="282"/>
      <c r="T43" s="282"/>
      <c r="U43" s="282"/>
      <c r="V43" s="282"/>
      <c r="W43" s="283"/>
      <c r="X43" s="577"/>
      <c r="Y43" s="281"/>
      <c r="Z43" s="282"/>
      <c r="AA43" s="284"/>
      <c r="AB43" s="578"/>
      <c r="AC43" s="578"/>
      <c r="AD43" s="579"/>
      <c r="AE43" s="580"/>
      <c r="AF43" s="581"/>
    </row>
    <row r="44" spans="3:32" ht="24" customHeight="1" x14ac:dyDescent="0.2">
      <c r="E44" s="350">
        <v>4</v>
      </c>
      <c r="F44" s="492"/>
      <c r="G44" s="492"/>
      <c r="H44" s="390">
        <v>4</v>
      </c>
      <c r="I44" s="708" t="str">
        <f ca="1">IF(CalcE1!$K$13=0,"",$R$15)</f>
        <v>Eintracht Frankfurt</v>
      </c>
      <c r="J44" s="708"/>
      <c r="K44" s="709"/>
    </row>
    <row r="45" spans="3:32" ht="24" customHeight="1" x14ac:dyDescent="0.2">
      <c r="E45" s="350">
        <v>5</v>
      </c>
      <c r="F45" s="492"/>
      <c r="G45" s="492"/>
      <c r="H45" s="390">
        <v>5</v>
      </c>
      <c r="I45" s="708" t="str">
        <f ca="1">IF(AND(CalcE2!$K$13=0,CalcE2!$F$13&lt;&gt;1),"",$R$19)</f>
        <v>Mainz 05</v>
      </c>
      <c r="J45" s="708"/>
      <c r="K45" s="709"/>
    </row>
    <row r="46" spans="3:32" ht="24" customHeight="1" x14ac:dyDescent="0.2">
      <c r="E46" s="350">
        <v>6</v>
      </c>
      <c r="F46" s="492"/>
      <c r="G46" s="492"/>
      <c r="H46" s="390">
        <v>6</v>
      </c>
      <c r="I46" s="708" t="str">
        <f ca="1">IF(CalcE2!$K$13=0,"",$R$20)</f>
        <v>Inter Mailand</v>
      </c>
      <c r="J46" s="708"/>
      <c r="K46" s="709"/>
    </row>
    <row r="47" spans="3:32" ht="24" customHeight="1" x14ac:dyDescent="0.2">
      <c r="E47" s="350">
        <v>7</v>
      </c>
      <c r="F47" s="492"/>
      <c r="G47" s="492"/>
      <c r="H47" s="390">
        <v>7</v>
      </c>
      <c r="I47" s="708" t="str">
        <f ca="1">IF(CalcE2!$K$13=0,"",$R$21)</f>
        <v>Raslo Winners</v>
      </c>
      <c r="J47" s="708"/>
      <c r="K47" s="709"/>
    </row>
    <row r="48" spans="3:32" ht="24" customHeight="1" x14ac:dyDescent="0.2">
      <c r="E48" s="350">
        <v>8</v>
      </c>
      <c r="F48" s="492"/>
      <c r="G48" s="492"/>
      <c r="H48" s="390">
        <v>8</v>
      </c>
      <c r="I48" s="708" t="str">
        <f ca="1">IF(CalcE2!$K$13=0,"",$R$22)</f>
        <v>Fun Kickers Oes</v>
      </c>
      <c r="J48" s="708"/>
      <c r="K48" s="709"/>
    </row>
    <row r="49" spans="5:11" ht="24" customHeight="1" x14ac:dyDescent="0.2">
      <c r="E49" s="350">
        <v>9</v>
      </c>
      <c r="F49" s="492"/>
      <c r="G49" s="492"/>
      <c r="H49" s="390">
        <v>9</v>
      </c>
      <c r="I49" s="708" t="str">
        <f ca="1">IF(AND(CalcE3!$K$13=0,CalcE3!$F$13&lt;&gt;1),"",$R$26)</f>
        <v>Knock Out Rangers</v>
      </c>
      <c r="J49" s="708"/>
      <c r="K49" s="709"/>
    </row>
    <row r="50" spans="5:11" ht="24" customHeight="1" x14ac:dyDescent="0.2">
      <c r="E50" s="350">
        <v>10</v>
      </c>
      <c r="F50" s="492"/>
      <c r="G50" s="492"/>
      <c r="H50" s="390">
        <v>10</v>
      </c>
      <c r="I50" s="708" t="str">
        <f ca="1">IF(CalcE3!$K$13=0,"",$R$27)</f>
        <v>Borussia Heine</v>
      </c>
      <c r="J50" s="708"/>
      <c r="K50" s="709"/>
    </row>
    <row r="51" spans="5:11" ht="24" customHeight="1" x14ac:dyDescent="0.2">
      <c r="E51" s="350">
        <v>11</v>
      </c>
      <c r="F51" s="492"/>
      <c r="G51" s="492"/>
      <c r="H51" s="390">
        <v>11</v>
      </c>
      <c r="I51" s="708" t="str">
        <f ca="1">IF(CalcE3!$K$13=0,"",$R$28)</f>
        <v>FC Grönlingen</v>
      </c>
      <c r="J51" s="708"/>
      <c r="K51" s="709"/>
    </row>
    <row r="52" spans="5:11" ht="24" customHeight="1" x14ac:dyDescent="0.2">
      <c r="E52" s="350">
        <v>12</v>
      </c>
      <c r="F52" s="492"/>
      <c r="G52" s="492"/>
      <c r="H52" s="390">
        <v>12</v>
      </c>
      <c r="I52" s="708" t="str">
        <f ca="1">IF(CalcE3!$K$13=0,"",$R$29)</f>
        <v>Maibach 1822 eV</v>
      </c>
      <c r="J52" s="708"/>
      <c r="K52" s="709"/>
    </row>
    <row r="53" spans="5:11" ht="24" customHeight="1" x14ac:dyDescent="0.2">
      <c r="H53" s="390">
        <v>13</v>
      </c>
      <c r="I53" s="708" t="str">
        <f ca="1">IF(AND(CalcE4!$K$13=0,CalcE4!$F$13&lt;&gt;1),"",$R$33)</f>
        <v>SSV Wildbach</v>
      </c>
      <c r="J53" s="708"/>
      <c r="K53" s="709"/>
    </row>
    <row r="54" spans="5:11" ht="24" customHeight="1" x14ac:dyDescent="0.2">
      <c r="H54" s="390">
        <v>14</v>
      </c>
      <c r="I54" s="708" t="str">
        <f ca="1">IF(CalcE4!$K$13=0,"",$R$34)</f>
        <v>VFL Ronsdorf</v>
      </c>
      <c r="J54" s="708"/>
      <c r="K54" s="709"/>
    </row>
    <row r="55" spans="5:11" ht="24" customHeight="1" x14ac:dyDescent="0.2">
      <c r="H55" s="390">
        <v>15</v>
      </c>
      <c r="I55" s="708" t="str">
        <f ca="1">IF(CalcE4!$K$13=0,"",$R$35)</f>
        <v>VFB Essenheim</v>
      </c>
      <c r="J55" s="708"/>
      <c r="K55" s="709"/>
    </row>
    <row r="56" spans="5:11" ht="24" customHeight="1" x14ac:dyDescent="0.2">
      <c r="H56" s="390">
        <v>16</v>
      </c>
      <c r="I56" s="708" t="str">
        <f ca="1">IF(CalcE4!$K$13=0,"",$R$36)</f>
        <v>1. FC Riedwald</v>
      </c>
      <c r="J56" s="708"/>
      <c r="K56" s="709"/>
    </row>
    <row r="57" spans="5:11" ht="24" customHeight="1" x14ac:dyDescent="0.2">
      <c r="H57" s="390">
        <v>17</v>
      </c>
      <c r="I57" s="708" t="str">
        <f ca="1">IF(AND(CalcE5!$K$13=0,CalcE5!$F$13&lt;&gt;1),"",$R$40)</f>
        <v/>
      </c>
      <c r="J57" s="708"/>
      <c r="K57" s="709"/>
    </row>
    <row r="58" spans="5:11" ht="24" customHeight="1" thickBot="1" x14ac:dyDescent="0.25">
      <c r="H58" s="391">
        <v>18</v>
      </c>
      <c r="I58" s="729" t="str">
        <f ca="1">IF(CalcE5!$K$13=0,"",$R$41)</f>
        <v/>
      </c>
      <c r="J58" s="729"/>
      <c r="K58" s="730"/>
    </row>
    <row r="59" spans="5:11" ht="24" customHeight="1" thickTop="1" x14ac:dyDescent="0.2"/>
    <row r="60" spans="5:11" ht="12.75" customHeight="1" x14ac:dyDescent="0.2"/>
    <row r="61" spans="5:11" ht="12.75" customHeight="1" x14ac:dyDescent="0.2"/>
  </sheetData>
  <sheetProtection sheet="1" selectLockedCells="1"/>
  <mergeCells count="47">
    <mergeCell ref="I58:K58"/>
    <mergeCell ref="I53:K53"/>
    <mergeCell ref="I54:K54"/>
    <mergeCell ref="I55:K55"/>
    <mergeCell ref="I56:K56"/>
    <mergeCell ref="I57:K57"/>
    <mergeCell ref="Q38:V38"/>
    <mergeCell ref="AD38:AF38"/>
    <mergeCell ref="Q39:R39"/>
    <mergeCell ref="W39:Y39"/>
    <mergeCell ref="I44:K44"/>
    <mergeCell ref="I43:K43"/>
    <mergeCell ref="I42:K42"/>
    <mergeCell ref="I41:K41"/>
    <mergeCell ref="I40:K40"/>
    <mergeCell ref="I38:J38"/>
    <mergeCell ref="I49:K49"/>
    <mergeCell ref="I50:K50"/>
    <mergeCell ref="I51:K51"/>
    <mergeCell ref="I52:K52"/>
    <mergeCell ref="I45:K45"/>
    <mergeCell ref="I48:K48"/>
    <mergeCell ref="I47:K47"/>
    <mergeCell ref="I46:K46"/>
    <mergeCell ref="C10:F10"/>
    <mergeCell ref="I11:K11"/>
    <mergeCell ref="L11:N11"/>
    <mergeCell ref="Q17:V17"/>
    <mergeCell ref="AD17:AF17"/>
    <mergeCell ref="O10:O11"/>
    <mergeCell ref="Q10:V10"/>
    <mergeCell ref="AD10:AF10"/>
    <mergeCell ref="Q11:R11"/>
    <mergeCell ref="W11:Y11"/>
    <mergeCell ref="I2:Y2"/>
    <mergeCell ref="I3:Y3"/>
    <mergeCell ref="I4:Y4"/>
    <mergeCell ref="I5:Y5"/>
    <mergeCell ref="L7:R8"/>
    <mergeCell ref="Q31:V31"/>
    <mergeCell ref="AD31:AF31"/>
    <mergeCell ref="Q18:R18"/>
    <mergeCell ref="W18:Y18"/>
    <mergeCell ref="Q24:V24"/>
    <mergeCell ref="AD24:AF24"/>
    <mergeCell ref="Q25:R25"/>
    <mergeCell ref="W25:Y25"/>
  </mergeCells>
  <conditionalFormatting sqref="C12:N35">
    <cfRule type="expression" dxfId="15" priority="23">
      <formula>OR($I12="",$K12="")</formula>
    </cfRule>
  </conditionalFormatting>
  <conditionalFormatting sqref="Q12:AA15 Q19:AA22 Q26:AA29 Q33:AA36 Q40:AA42">
    <cfRule type="expression" dxfId="14" priority="11">
      <formula>$R12=""</formula>
    </cfRule>
    <cfRule type="expression" dxfId="13" priority="12">
      <formula>OR(AND($Q12=$Q11,$R11&lt;&gt;""),AND($Q12=$Q13,$R13&lt;&gt;""))</formula>
    </cfRule>
  </conditionalFormatting>
  <conditionalFormatting sqref="Q43:AA43">
    <cfRule type="expression" dxfId="12" priority="338">
      <formula>$R43=""</formula>
    </cfRule>
    <cfRule type="expression" dxfId="11" priority="339">
      <formula>OR(AND($Q43=$Q42,$R42&lt;&gt;""),AND($Q43=$Q51,$R51&lt;&gt;""))</formula>
    </cfRule>
  </conditionalFormatting>
  <conditionalFormatting sqref="I36:N36">
    <cfRule type="expression" dxfId="10" priority="6">
      <formula>OR($I36="",$K36="")</formula>
    </cfRule>
  </conditionalFormatting>
  <conditionalFormatting sqref="F36:H36">
    <cfRule type="expression" dxfId="9" priority="5">
      <formula>OR($I36="",$K36="")</formula>
    </cfRule>
  </conditionalFormatting>
  <conditionalFormatting sqref="F26:H29">
    <cfRule type="expression" dxfId="8" priority="4">
      <formula>OR($I26="",$K26="")</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 id="{648D8133-7717-4F1D-AB74-A1A63E64B3CD}">
            <xm:f>$H41&gt;2*Calc1!$F$14-MOD((Calc1!$F$13+Calc2!$F$13),2)</xm:f>
            <x14:dxf>
              <numFmt numFmtId="165" formatCode=";;;"/>
            </x14:dxf>
          </x14:cfRule>
          <xm:sqref>H41:H58</xm:sqref>
        </x14:conditionalFormatting>
        <x14:conditionalFormatting xmlns:xm="http://schemas.microsoft.com/office/excel/2006/main">
          <x14:cfRule type="expression" priority="3" id="{7DA64C19-BE21-458B-8C78-11A600A87C78}">
            <xm:f>AND(COUNTIF('Kick-off times finals 4'!$J$5:$J$92,$C12)&gt;0,COUNTIF('Kick-off times finals 4'!$K$5:$K$92,I12)&gt;0)</xm:f>
            <x14:dxf>
              <font>
                <b/>
                <i val="0"/>
                <color rgb="FFDA0000"/>
              </font>
            </x14:dxf>
          </x14:cfRule>
          <xm:sqref>I12:K36</xm:sqref>
        </x14:conditionalFormatting>
        <x14:conditionalFormatting xmlns:xm="http://schemas.microsoft.com/office/excel/2006/main">
          <x14:cfRule type="expression" priority="1" id="{EFA64ADC-1E96-4E0A-847E-CD1631D810CD}">
            <xm:f>AND($I12&lt;&gt;"",$K12&lt;&gt;"",COUNTIF('Kick-off times finals 4'!$J$5:$J$92,$C12))</xm:f>
            <x14:dxf>
              <font>
                <b/>
                <i val="0"/>
                <color rgb="FFDA0000"/>
              </font>
            </x14:dxf>
          </x14:cfRule>
          <xm:sqref>D12:D36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7E38-528C-4430-B099-94993CD9CC08}">
  <dimension ref="A1:CX95"/>
  <sheetViews>
    <sheetView showGridLines="0" showRowColHeaders="0" zoomScaleNormal="100" zoomScaleSheetLayoutView="115" workbookViewId="0">
      <selection activeCell="J1" sqref="J1:XFD1048576"/>
    </sheetView>
  </sheetViews>
  <sheetFormatPr baseColWidth="10" defaultColWidth="0" defaultRowHeight="12.75" zeroHeight="1" x14ac:dyDescent="0.2"/>
  <cols>
    <col min="1" max="1" width="6.140625" customWidth="1"/>
    <col min="2" max="2" width="5" style="604" customWidth="1"/>
    <col min="3" max="3" width="18.140625" style="605" customWidth="1"/>
    <col min="4" max="4" width="8.28515625" style="267" customWidth="1"/>
    <col min="5" max="5" width="8.85546875" customWidth="1"/>
    <col min="6" max="6" width="8.42578125" customWidth="1"/>
    <col min="7" max="7" width="7.7109375" customWidth="1"/>
    <col min="8" max="8" width="18.42578125" customWidth="1"/>
    <col min="9" max="9" width="6.28515625" customWidth="1"/>
    <col min="10" max="10" width="5.7109375" style="602" hidden="1" customWidth="1"/>
    <col min="11" max="11" width="15.7109375" style="602"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02" width="0" hidden="1" customWidth="1"/>
    <col min="103" max="16384" width="11.42578125" hidden="1"/>
  </cols>
  <sheetData>
    <row r="1" spans="2:102" ht="33" customHeight="1" x14ac:dyDescent="0.2">
      <c r="B1" s="771" t="str">
        <f>Language!$E$102</f>
        <v>Kick-off times finals 4</v>
      </c>
      <c r="C1" s="771"/>
      <c r="D1" s="771"/>
      <c r="E1" s="771"/>
      <c r="F1" s="771"/>
      <c r="G1" s="771"/>
      <c r="H1" s="771"/>
    </row>
    <row r="2" spans="2:102" ht="15.95" customHeight="1" x14ac:dyDescent="0.2"/>
    <row r="3" spans="2:102" ht="15.95" customHeight="1" thickBot="1" x14ac:dyDescent="0.25"/>
    <row r="4" spans="2:102" ht="15.95" customHeight="1" x14ac:dyDescent="0.2">
      <c r="B4" s="604" t="s">
        <v>208</v>
      </c>
      <c r="C4" s="605" t="str">
        <f>IF(Planning!$C$7="","",Planning!$C$7)</f>
        <v>1. FC Riedwald</v>
      </c>
      <c r="E4" s="606" t="str">
        <f>Language!$E$69</f>
        <v>Match No.</v>
      </c>
      <c r="F4" s="607" t="str">
        <f>Language!$E$39</f>
        <v>Start</v>
      </c>
      <c r="G4" s="608" t="str">
        <f>Language!$E$48</f>
        <v>Field</v>
      </c>
      <c r="H4" s="609" t="str">
        <f>Language!$E$46</f>
        <v>Match against</v>
      </c>
    </row>
    <row r="5" spans="2:102" ht="15.95" customHeight="1" x14ac:dyDescent="0.2">
      <c r="E5" s="610">
        <f ca="1">IF($Q$12&lt;99999,INDEX($L$12:$L$36,MATCH($Q$12,$M$12:$M$36,0)),"")</f>
        <v>61</v>
      </c>
      <c r="F5" s="611">
        <f ca="1">IF($Q$12&lt;99999,VLOOKUP($Q$12,$M$12:$P$36,2,0),"")</f>
        <v>0.73958333333333337</v>
      </c>
      <c r="G5" s="612">
        <f ca="1">IF($Q$12&lt;99999,VLOOKUP($Q$12,$M$12:$P$36,3,0),"")</f>
        <v>1</v>
      </c>
      <c r="H5" s="613" t="str">
        <f ca="1">IF($Q$12&lt;99999,VLOOKUP($Q$12,$M$12:$P$36,4,0),"")</f>
        <v>VFL Ronsdorf</v>
      </c>
      <c r="J5" s="602">
        <f t="shared" ref="J5:J14" ca="1" si="0">IF(AND(F5&lt;&gt;"",OR(F5=F4,F5=F6)),E5,0)</f>
        <v>0</v>
      </c>
      <c r="K5" s="602" t="str">
        <f ca="1">IF(J5=0,"",$C$4)</f>
        <v/>
      </c>
    </row>
    <row r="6" spans="2:102" ht="15.95" customHeight="1" x14ac:dyDescent="0.2">
      <c r="E6" s="610">
        <f ca="1">IF($Q$13&lt;99999,INDEX($L$12:$L$36,MATCH($Q$13,$M$12:$M$36,0)),"")</f>
        <v>65</v>
      </c>
      <c r="F6" s="614">
        <f ca="1">IF($Q$13&lt;99999,VLOOKUP($Q$13,$M$12:$P$36,2,0),"")</f>
        <v>0.76388888888888895</v>
      </c>
      <c r="G6" s="615">
        <f ca="1">IF($Q$13&lt;99999,VLOOKUP($Q$13,$M$12:$P$36,3,0),"")</f>
        <v>1</v>
      </c>
      <c r="H6" s="616" t="str">
        <f ca="1">IF($Q$13&lt;99999,VLOOKUP($Q$13,$M$12:$P$36,4,0),"")</f>
        <v>VFB Essenheim</v>
      </c>
      <c r="J6" s="602">
        <f t="shared" ca="1" si="0"/>
        <v>0</v>
      </c>
      <c r="K6" s="602" t="str">
        <f t="shared" ref="K6:K7" ca="1" si="1">IF(J6=0,"",$C$4)</f>
        <v/>
      </c>
    </row>
    <row r="7" spans="2:102" ht="15.95" customHeight="1" thickBot="1" x14ac:dyDescent="0.25">
      <c r="E7" s="617">
        <f ca="1">IF($Q$14&lt;99999,INDEX($L$12:$L$36,MATCH($Q$14,$M$12:$M$36,0)),"")</f>
        <v>73</v>
      </c>
      <c r="F7" s="618">
        <f ca="1">IF($Q$14&lt;99999,VLOOKUP($Q$14,$M$12:$P$36,2,0),"")</f>
        <v>0.8125</v>
      </c>
      <c r="G7" s="619">
        <f ca="1">IF($Q$14&lt;99999,VLOOKUP($Q$14,$M$12:$P$36,3,0),"")</f>
        <v>1</v>
      </c>
      <c r="H7" s="620" t="str">
        <f ca="1">IF($Q$14&lt;99999,VLOOKUP($Q$14,$M$12:$P$36,4,0),"")</f>
        <v>SSV Wildbach</v>
      </c>
      <c r="J7" s="602">
        <f t="shared" ca="1" si="0"/>
        <v>0</v>
      </c>
      <c r="K7" s="602" t="str">
        <f t="shared" ca="1" si="1"/>
        <v/>
      </c>
    </row>
    <row r="8" spans="2:102" ht="30" customHeight="1" thickBot="1" x14ac:dyDescent="0.25">
      <c r="J8" s="602">
        <f t="shared" ca="1" si="0"/>
        <v>0</v>
      </c>
    </row>
    <row r="9" spans="2:102" ht="15.95" customHeight="1" x14ac:dyDescent="0.2">
      <c r="B9" s="604" t="s">
        <v>210</v>
      </c>
      <c r="C9" s="605" t="str">
        <f>IF(Planning!$C$9="","",Planning!$C$9)</f>
        <v>FC Barcelona</v>
      </c>
      <c r="E9" s="606" t="str">
        <f>Language!$E$69</f>
        <v>Match No.</v>
      </c>
      <c r="F9" s="607" t="str">
        <f>Language!$E$39</f>
        <v>Start</v>
      </c>
      <c r="G9" s="608" t="str">
        <f>Language!$E$48</f>
        <v>Field</v>
      </c>
      <c r="H9" s="609" t="str">
        <f>Language!$E$46</f>
        <v>Match against</v>
      </c>
      <c r="J9" s="602">
        <f t="shared" ca="1" si="0"/>
        <v>0</v>
      </c>
    </row>
    <row r="10" spans="2:102" ht="15.95" customHeight="1" x14ac:dyDescent="0.2">
      <c r="E10" s="610">
        <f ca="1">IF($V$12&lt;99999,INDEX($L$12:$L$36,MATCH($V$12,$R$12:$R$36,0)),"")</f>
        <v>60</v>
      </c>
      <c r="F10" s="611">
        <f ca="1">IF($V$12&lt;99999,VLOOKUP($V$12,$R$12:$U$36,2,0),"")</f>
        <v>0.71527777777777779</v>
      </c>
      <c r="G10" s="612">
        <f ca="1">IF($V$12&lt;99999,VLOOKUP($V$12,$R$12:$U$36,3,0),"")</f>
        <v>4</v>
      </c>
      <c r="H10" s="613" t="str">
        <f ca="1">IF($V$12&lt;99999,VLOOKUP($V$12,$R$12:$U$36,4,0),"")</f>
        <v>AC Roma</v>
      </c>
      <c r="J10" s="602">
        <f t="shared" ca="1" si="0"/>
        <v>0</v>
      </c>
      <c r="K10" s="602" t="str">
        <f ca="1">IF(J10=0,"",$C$9)</f>
        <v/>
      </c>
    </row>
    <row r="11" spans="2:102" ht="15.95" customHeight="1" x14ac:dyDescent="0.2">
      <c r="E11" s="610">
        <f ca="1">IF($V$13&lt;99999,INDEX($L$12:$L$36,MATCH($V$13,$R$12:$R$36,0)),"")</f>
        <v>68</v>
      </c>
      <c r="F11" s="614">
        <f ca="1">IF($V$13&lt;99999,VLOOKUP($V$13,$R$12:$U$36,2,0),"")</f>
        <v>0.76388888888888895</v>
      </c>
      <c r="G11" s="615">
        <f ca="1">IF($V$13&lt;99999,VLOOKUP($V$13,$R$12:$U$36,3,0),"")</f>
        <v>4</v>
      </c>
      <c r="H11" s="616" t="str">
        <f ca="1">IF($V$13&lt;99999,VLOOKUP($V$13,$R$12:$U$36,4,0),"")</f>
        <v>Eintracht Frankfurt</v>
      </c>
      <c r="J11" s="602">
        <f t="shared" ca="1" si="0"/>
        <v>0</v>
      </c>
      <c r="K11" s="602" t="str">
        <f t="shared" ref="K11:K12" ca="1" si="2">IF(J11=0,"",$C$9)</f>
        <v/>
      </c>
      <c r="L11" s="621" t="str">
        <f>Language!$E$9</f>
        <v>No.</v>
      </c>
      <c r="M11" s="621"/>
      <c r="N11" s="267"/>
      <c r="O11" s="267"/>
      <c r="P11" s="267" t="str">
        <f>$C$4</f>
        <v>1. FC Riedwald</v>
      </c>
      <c r="Q11" s="267"/>
      <c r="R11" s="267"/>
      <c r="S11" s="267"/>
      <c r="T11" s="267"/>
      <c r="U11" s="267" t="str">
        <f>$C$9</f>
        <v>FC Barcelona</v>
      </c>
      <c r="V11" s="267"/>
      <c r="W11" s="267"/>
      <c r="X11" s="267"/>
      <c r="Y11" s="267"/>
      <c r="Z11" s="267" t="str">
        <f>$C$14</f>
        <v>Eintracht Frankfurt</v>
      </c>
      <c r="AA11" s="267"/>
      <c r="AB11" s="267"/>
      <c r="AC11" s="267"/>
      <c r="AD11" s="267"/>
      <c r="AE11" s="267" t="str">
        <f>$C$19</f>
        <v>Maibach 1822 eV</v>
      </c>
      <c r="AF11" s="267"/>
      <c r="AG11" s="267"/>
      <c r="AH11" s="267"/>
      <c r="AI11" s="267"/>
      <c r="AJ11" s="267" t="str">
        <f>$C$24</f>
        <v>VFB Essenheim</v>
      </c>
      <c r="AK11" s="267"/>
      <c r="AL11" s="267"/>
      <c r="AM11" s="267"/>
      <c r="AN11" s="267"/>
      <c r="AO11" s="267" t="str">
        <f>$C$29</f>
        <v>Fun Kickers Oes</v>
      </c>
      <c r="AP11" s="267"/>
      <c r="AQ11" s="267"/>
      <c r="AR11" s="267"/>
      <c r="AS11" s="267"/>
      <c r="AT11" s="267" t="str">
        <f>$C$34</f>
        <v>Raslo Winners</v>
      </c>
      <c r="AU11" s="267"/>
      <c r="AV11" s="267"/>
      <c r="AW11" s="267"/>
      <c r="AX11" s="267"/>
      <c r="AY11" s="267" t="str">
        <f>$C$39</f>
        <v>Knock Out Rangers</v>
      </c>
      <c r="AZ11" s="267"/>
      <c r="BA11" s="267"/>
      <c r="BB11" s="267"/>
      <c r="BC11" s="267"/>
      <c r="BD11" s="267" t="str">
        <f>$C$44</f>
        <v/>
      </c>
      <c r="BE11" s="267"/>
      <c r="BF11" s="267"/>
      <c r="BG11" s="267"/>
      <c r="BH11" s="267"/>
      <c r="BI11" s="267" t="str">
        <f>$C$49</f>
        <v>Mainz 05</v>
      </c>
      <c r="BJ11" s="267"/>
      <c r="BK11" s="267"/>
      <c r="BL11" s="267"/>
      <c r="BM11" s="267"/>
      <c r="BN11" s="267" t="str">
        <f>$C$54</f>
        <v>Inter Mailand</v>
      </c>
      <c r="BO11" s="267"/>
      <c r="BP11" s="267"/>
      <c r="BQ11" s="267"/>
      <c r="BR11" s="267"/>
      <c r="BS11" s="267" t="str">
        <f>$C$59</f>
        <v>SSV Wildbach</v>
      </c>
      <c r="BT11" s="267"/>
      <c r="BU11" s="621"/>
      <c r="BV11" s="267"/>
      <c r="BW11" s="267"/>
      <c r="BX11" s="267" t="str">
        <f>$C$64</f>
        <v>Manchester City</v>
      </c>
      <c r="BY11" s="267"/>
      <c r="BZ11" s="621"/>
      <c r="CA11" s="267"/>
      <c r="CB11" s="267"/>
      <c r="CC11" s="267" t="str">
        <f>$C$69</f>
        <v>FC Grönlingen</v>
      </c>
      <c r="CD11" s="267"/>
      <c r="CE11" s="621"/>
      <c r="CF11" s="267"/>
      <c r="CG11" s="267"/>
      <c r="CH11" s="267" t="str">
        <f>$C$74</f>
        <v>AC Roma</v>
      </c>
      <c r="CI11" s="267"/>
      <c r="CJ11" s="621"/>
      <c r="CK11" s="267"/>
      <c r="CL11" s="267"/>
      <c r="CM11" s="267" t="str">
        <f>$C$79</f>
        <v>VFL Ronsdorf</v>
      </c>
      <c r="CN11" s="267"/>
      <c r="CO11" s="621"/>
      <c r="CP11" s="267"/>
      <c r="CQ11" s="267"/>
      <c r="CR11" s="267" t="str">
        <f>$C$84</f>
        <v>Borussia Heine</v>
      </c>
      <c r="CS11" s="267"/>
      <c r="CT11" s="621"/>
      <c r="CU11" s="267"/>
      <c r="CV11" s="267"/>
      <c r="CW11" s="267" t="str">
        <f>$C$89</f>
        <v/>
      </c>
      <c r="CX11" s="267"/>
    </row>
    <row r="12" spans="2:102" ht="15.95" customHeight="1" thickBot="1" x14ac:dyDescent="0.25">
      <c r="E12" s="617">
        <f ca="1">IF($V$14&lt;99999,INDEX($L$12:$L$36,MATCH($V$14,$R$12:$R$36,0)),"")</f>
        <v>80</v>
      </c>
      <c r="F12" s="618">
        <f ca="1">IF($V$14&lt;99999,VLOOKUP($V$14,$R$12:$U$36,2,0),"")</f>
        <v>0.83680555555555558</v>
      </c>
      <c r="G12" s="619">
        <f ca="1">IF($V$14&lt;99999,VLOOKUP($V$14,$R$12:$U$36,3,0),"")</f>
        <v>4</v>
      </c>
      <c r="H12" s="620" t="str">
        <f ca="1">IF($V$14&lt;99999,VLOOKUP($V$14,$R$12:$U$36,4,0),"")</f>
        <v>Manchester City</v>
      </c>
      <c r="J12" s="602">
        <f t="shared" ca="1" si="0"/>
        <v>0</v>
      </c>
      <c r="K12" s="602" t="str">
        <f t="shared" ca="1" si="2"/>
        <v/>
      </c>
      <c r="L12" s="164">
        <f ca="1">'Finals 4'!$C12</f>
        <v>57</v>
      </c>
      <c r="M12" s="622">
        <f ca="1">N12+ROW(N12)</f>
        <v>100011</v>
      </c>
      <c r="N12" s="623">
        <f ca="1">IF(P12="",99999,'Finals 4'!$D12)</f>
        <v>99999</v>
      </c>
      <c r="O12" s="624" t="str">
        <f ca="1">IF(P12="","",'Finals 4'!$E12)</f>
        <v/>
      </c>
      <c r="P12" s="625" t="str">
        <f ca="1">IF($C$4="","",IF('Finals 4'!$I12=$C$4,'Finals 4'!$K12,IF('Finals 4'!$K12=$C$4,'Finals 4'!$I12,"")))</f>
        <v/>
      </c>
      <c r="Q12" s="626">
        <f ca="1">SMALL(M$12:M$36,ROW(M12)-11)</f>
        <v>17.739583333333332</v>
      </c>
      <c r="R12" s="622">
        <f ca="1">S12+ROW(S12)</f>
        <v>100011</v>
      </c>
      <c r="S12" s="623">
        <f ca="1">IF(U12="",99999,'Finals 4'!$D12)</f>
        <v>99999</v>
      </c>
      <c r="T12" s="624" t="str">
        <f ca="1">IF(U12="","",'Finals 4'!$E12)</f>
        <v/>
      </c>
      <c r="U12" s="625" t="str">
        <f ca="1">IF($C$9="","",IF('Finals 4'!$I12=$C$9,'Finals 4'!$K12,IF('Finals 4'!$K12=$C$9,'Finals 4'!$I12,"")))</f>
        <v/>
      </c>
      <c r="V12" s="626">
        <f ca="1">SMALL(R$12:R$36,ROW(R12)-11)</f>
        <v>16.715277777777779</v>
      </c>
      <c r="W12" s="622">
        <f ca="1">X12+ROW(X12)</f>
        <v>100011</v>
      </c>
      <c r="X12" s="623">
        <f ca="1">IF(Z12="",99999,'Finals 4'!$D12)</f>
        <v>99999</v>
      </c>
      <c r="Y12" s="624" t="str">
        <f ca="1">IF(Z12="","",'Finals 4'!$E12)</f>
        <v/>
      </c>
      <c r="Z12" s="625" t="str">
        <f ca="1">IF($C$14="","",IF('Finals 4'!$I12=$C$14,'Finals 4'!$K12,IF('Finals 4'!$K12=$C$14,'Finals 4'!$I12,"")))</f>
        <v/>
      </c>
      <c r="AA12" s="626">
        <f ca="1">SMALL(W$12:W$36,ROW(W12)-11)</f>
        <v>20.739583333333332</v>
      </c>
      <c r="AB12" s="622">
        <f ca="1">AC12+ROW(AC12)</f>
        <v>100011</v>
      </c>
      <c r="AC12" s="623">
        <f ca="1">IF(AE12="",99999,'Finals 4'!$D12)</f>
        <v>99999</v>
      </c>
      <c r="AD12" s="624" t="str">
        <f ca="1">IF(AE12="","",'Finals 4'!$E12)</f>
        <v/>
      </c>
      <c r="AE12" s="625" t="str">
        <f ca="1">IF($C$19="","",IF('Finals 4'!$I12=$C$19,'Finals 4'!$K12,IF('Finals 4'!$K12=$C$19,'Finals 4'!$I12,"")))</f>
        <v/>
      </c>
      <c r="AF12" s="626">
        <f ca="1">SMALL(AB$12:AB$36,ROW(AB12)-11)</f>
        <v>18.739583333333332</v>
      </c>
      <c r="AG12" s="622">
        <f ca="1">AH12+ROW(AH12)</f>
        <v>100011</v>
      </c>
      <c r="AH12" s="623">
        <f ca="1">IF(AJ12="",99999,'Finals 4'!$D12)</f>
        <v>99999</v>
      </c>
      <c r="AI12" s="624" t="str">
        <f ca="1">IF(AJ12="","",'Finals 4'!$E12)</f>
        <v/>
      </c>
      <c r="AJ12" s="625" t="str">
        <f ca="1">IF($C$24="","",IF('Finals 4'!$I12=$C$24,'Finals 4'!$K12,IF('Finals 4'!$K12=$C$24,'Finals 4'!$I12,"")))</f>
        <v/>
      </c>
      <c r="AK12" s="626">
        <f ca="1">SMALL(AG$12:AG$36,ROW(AG12)-11)</f>
        <v>13.715277777777779</v>
      </c>
      <c r="AL12" s="622">
        <f ca="1">AM12+ROW(AM12)</f>
        <v>100011</v>
      </c>
      <c r="AM12" s="623">
        <f ca="1">IF(AO12="",99999,'Finals 4'!$D12)</f>
        <v>99999</v>
      </c>
      <c r="AN12" s="624" t="str">
        <f ca="1">IF(AO12="","",'Finals 4'!$E12)</f>
        <v/>
      </c>
      <c r="AO12" s="625" t="str">
        <f ca="1">IF($C$29="","",IF('Finals 4'!$I12=$C$29,'Finals 4'!$K12,IF('Finals 4'!$K12=$C$29,'Finals 4'!$I12,"")))</f>
        <v/>
      </c>
      <c r="AP12" s="626">
        <f ca="1">SMALL(AL$12:AL$36,ROW(AL12)-11)</f>
        <v>19.739583333333332</v>
      </c>
      <c r="AQ12" s="622">
        <f ca="1">AR12+ROW(AR12)</f>
        <v>100011</v>
      </c>
      <c r="AR12" s="623">
        <f ca="1">IF(AT12="",99999,'Finals 4'!$D12)</f>
        <v>99999</v>
      </c>
      <c r="AS12" s="624" t="str">
        <f ca="1">IF(AT12="","",'Finals 4'!$E12)</f>
        <v/>
      </c>
      <c r="AT12" s="625" t="str">
        <f ca="1">IF($C$34="","",IF('Finals 4'!$I12=$C$34,'Finals 4'!$K12,IF('Finals 4'!$K12=$C$34,'Finals 4'!$I12,"")))</f>
        <v/>
      </c>
      <c r="AU12" s="626">
        <f ca="1">SMALL(AQ$12:AQ$36,ROW(AQ12)-11)</f>
        <v>15.715277777777779</v>
      </c>
      <c r="AV12" s="622">
        <f ca="1">AW12+ROW(AW12)</f>
        <v>100011</v>
      </c>
      <c r="AW12" s="623">
        <f ca="1">IF(AY12="",99999,'Finals 4'!$D12)</f>
        <v>99999</v>
      </c>
      <c r="AX12" s="624" t="str">
        <f ca="1">IF(AY12="","",'Finals 4'!$E12)</f>
        <v/>
      </c>
      <c r="AY12" s="625" t="str">
        <f ca="1">IF($C$39="","",IF('Finals 4'!$I12=$C$39,'Finals 4'!$K12,IF('Finals 4'!$K12=$C$39,'Finals 4'!$I12,"")))</f>
        <v/>
      </c>
      <c r="AZ12" s="626">
        <f ca="1">SMALL(AV$12:AV$36,ROW(AV12)-11)</f>
        <v>14.715277777777779</v>
      </c>
      <c r="BA12" s="622">
        <f>BB12+ROW(BB12)</f>
        <v>100011</v>
      </c>
      <c r="BB12" s="623">
        <f>IF(BD12="",99999,'Finals 4'!$D12)</f>
        <v>99999</v>
      </c>
      <c r="BC12" s="624" t="str">
        <f>IF(BD12="","",'Finals 4'!$E12)</f>
        <v/>
      </c>
      <c r="BD12" s="625" t="str">
        <f>IF($C$44="","",IF('Finals 4'!$I12=$C$44,'Finals 4'!$K12,IF('Finals 4'!$K12=$C$44,'Finals 4'!$I12,"")))</f>
        <v/>
      </c>
      <c r="BE12" s="626">
        <f>SMALL(BA$12:BA$36,ROW(BA12)-11)</f>
        <v>100011</v>
      </c>
      <c r="BF12" s="622">
        <f ca="1">BG12+ROW(BG12)</f>
        <v>100011</v>
      </c>
      <c r="BG12" s="623">
        <f ca="1">IF(BI12="",99999,'Finals 4'!$D12)</f>
        <v>99999</v>
      </c>
      <c r="BH12" s="624" t="str">
        <f ca="1">IF(BI12="","",'Finals 4'!$E12)</f>
        <v/>
      </c>
      <c r="BI12" s="625" t="str">
        <f ca="1">IF($C$49="","",IF('Finals 4'!$I12=$C$49,'Finals 4'!$K12,IF('Finals 4'!$K12=$C$49,'Finals 4'!$I12,"")))</f>
        <v/>
      </c>
      <c r="BJ12" s="626">
        <f ca="1">SMALL(BF$12:BF$36,ROW(BF12)-11)</f>
        <v>15.715277777777779</v>
      </c>
      <c r="BK12" s="622">
        <f ca="1">BL12+ROW(BL12)</f>
        <v>100011</v>
      </c>
      <c r="BL12" s="623">
        <f ca="1">IF(BN12="",99999,'Finals 4'!$D12)</f>
        <v>99999</v>
      </c>
      <c r="BM12" s="624" t="str">
        <f ca="1">IF(BN12="","",'Finals 4'!$E12)</f>
        <v/>
      </c>
      <c r="BN12" s="625" t="str">
        <f ca="1">IF($C$54="","",IF('Finals 4'!$I12=$C$54,'Finals 4'!$K12,IF('Finals 4'!$K12=$C$54,'Finals 4'!$I12,"")))</f>
        <v/>
      </c>
      <c r="BO12" s="626">
        <f ca="1">SMALL(BK$12:BK$36,ROW(BK12)-11)</f>
        <v>19.739583333333332</v>
      </c>
      <c r="BP12" s="622">
        <f ca="1">BQ12+ROW(BQ12)</f>
        <v>100011</v>
      </c>
      <c r="BQ12" s="623">
        <f ca="1">IF(BS12="",99999,'Finals 4'!$D12)</f>
        <v>99999</v>
      </c>
      <c r="BR12" s="624" t="str">
        <f ca="1">IF(BS12="","",'Finals 4'!$E12)</f>
        <v/>
      </c>
      <c r="BS12" s="625" t="str">
        <f ca="1">IF($C$59="","",IF('Finals 4'!$I12=$C$59,'Finals 4'!$K12,IF('Finals 4'!$K12=$C$59,'Finals 4'!$I12,"")))</f>
        <v/>
      </c>
      <c r="BT12" s="626">
        <f ca="1">SMALL(BP$12:BP$36,ROW(BP12)-11)</f>
        <v>13.715277777777779</v>
      </c>
      <c r="BU12" s="622">
        <f ca="1">BV12+ROW(BV12)</f>
        <v>100011</v>
      </c>
      <c r="BV12" s="623">
        <f ca="1">IF(BX12="",99999,'Finals 4'!$D12)</f>
        <v>99999</v>
      </c>
      <c r="BW12" s="624" t="str">
        <f ca="1">IF(BX12="","",'Finals 4'!$E12)</f>
        <v/>
      </c>
      <c r="BX12" s="625" t="str">
        <f ca="1">IF($C$64="","",IF('Finals 4'!$I12=$C$64,'Finals 4'!$K12,IF('Finals 4'!$K12=$C$64,'Finals 4'!$I12,"")))</f>
        <v/>
      </c>
      <c r="BY12" s="626">
        <f ca="1">SMALL(BU$12:BU$36,ROW(BU12)-11)</f>
        <v>20.739583333333332</v>
      </c>
      <c r="BZ12" s="622">
        <f ca="1">CA12+ROW(CA12)</f>
        <v>100011</v>
      </c>
      <c r="CA12" s="623">
        <f ca="1">IF(CC12="",99999,'Finals 4'!$D12)</f>
        <v>99999</v>
      </c>
      <c r="CB12" s="624" t="str">
        <f ca="1">IF(CC12="","",'Finals 4'!$E12)</f>
        <v/>
      </c>
      <c r="CC12" s="625" t="str">
        <f ca="1">IF($C$69="","",IF('Finals 4'!$I12=$C$69,'Finals 4'!$K12,IF('Finals 4'!$K12=$C$69,'Finals 4'!$I12,"")))</f>
        <v/>
      </c>
      <c r="CD12" s="626">
        <f ca="1">SMALL(BZ$12:BZ$36,ROW(BZ12)-11)</f>
        <v>14.715277777777779</v>
      </c>
      <c r="CE12" s="622">
        <f ca="1">CF12+ROW(CF12)</f>
        <v>100011</v>
      </c>
      <c r="CF12" s="623">
        <f ca="1">IF(CH12="",99999,'Finals 4'!$D12)</f>
        <v>99999</v>
      </c>
      <c r="CG12" s="624" t="str">
        <f ca="1">IF(CH12="","",'Finals 4'!$E12)</f>
        <v/>
      </c>
      <c r="CH12" s="625" t="str">
        <f ca="1">IF($C$74="","",IF('Finals 4'!$I12=$C$74,'Finals 4'!$K12,IF('Finals 4'!$K12=$C$74,'Finals 4'!$I12,"")))</f>
        <v/>
      </c>
      <c r="CI12" s="626">
        <f ca="1">SMALL(CE$12:CE$36,ROW(CE12)-11)</f>
        <v>16.715277777777779</v>
      </c>
      <c r="CJ12" s="622">
        <f ca="1">CK12+ROW(CK12)</f>
        <v>100011</v>
      </c>
      <c r="CK12" s="623">
        <f ca="1">IF(CM12="",99999,'Finals 4'!$D12)</f>
        <v>99999</v>
      </c>
      <c r="CL12" s="624" t="str">
        <f ca="1">IF(CM12="","",'Finals 4'!$E12)</f>
        <v/>
      </c>
      <c r="CM12" s="625" t="str">
        <f ca="1">IF($C$79="","",IF('Finals 4'!$I12=$C$79,'Finals 4'!$K12,IF('Finals 4'!$K12=$C$79,'Finals 4'!$I12,"")))</f>
        <v/>
      </c>
      <c r="CN12" s="626">
        <f ca="1">SMALL(CJ$12:CJ$36,ROW(CJ12)-11)</f>
        <v>17.739583333333332</v>
      </c>
      <c r="CO12" s="622">
        <f ca="1">CP12+ROW(CP12)</f>
        <v>100011</v>
      </c>
      <c r="CP12" s="623">
        <f ca="1">IF(CR12="",99999,'Finals 4'!$D12)</f>
        <v>99999</v>
      </c>
      <c r="CQ12" s="624" t="str">
        <f ca="1">IF(CR12="","",'Finals 4'!$E12)</f>
        <v/>
      </c>
      <c r="CR12" s="625" t="str">
        <f ca="1">IF($C$84="","",IF('Finals 4'!$I12=$C$84,'Finals 4'!$K12,IF('Finals 4'!$K12=$C$84,'Finals 4'!$I12,"")))</f>
        <v/>
      </c>
      <c r="CS12" s="626">
        <f ca="1">SMALL(CO$12:CO$36,ROW(CO12)-11)</f>
        <v>18.739583333333332</v>
      </c>
      <c r="CT12" s="622">
        <f>CU12+ROW(CU12)</f>
        <v>100011</v>
      </c>
      <c r="CU12" s="623">
        <f>IF(CW12="",99999,'Finals 4'!$D12)</f>
        <v>99999</v>
      </c>
      <c r="CV12" s="624" t="str">
        <f>IF(CW12="","",'Finals 4'!$E12)</f>
        <v/>
      </c>
      <c r="CW12" s="625" t="str">
        <f>IF($C$89="","",IF('Finals 4'!$I12=$C$89,'Finals 4'!$K12,IF('Finals 4'!$K12=$C$89,'Finals 4'!$I12,"")))</f>
        <v/>
      </c>
      <c r="CX12" s="626">
        <f>SMALL(CT$12:CT$36,ROW(CT12)-11)</f>
        <v>100011</v>
      </c>
    </row>
    <row r="13" spans="2:102" ht="30" customHeight="1" thickBot="1" x14ac:dyDescent="0.25">
      <c r="J13" s="602">
        <f t="shared" ca="1" si="0"/>
        <v>0</v>
      </c>
      <c r="L13" s="164">
        <f ca="1">'Finals 4'!$C13</f>
        <v>57</v>
      </c>
      <c r="M13" s="627">
        <f t="shared" ref="M13:M29" ca="1" si="3">N13+ROW(N13)</f>
        <v>100012</v>
      </c>
      <c r="N13" s="628">
        <f ca="1">IF(P13="",99999,'Finals 4'!$D13)</f>
        <v>99999</v>
      </c>
      <c r="O13" s="293" t="str">
        <f ca="1">IF(P13="","",'Finals 4'!$E13)</f>
        <v/>
      </c>
      <c r="P13" s="294" t="str">
        <f ca="1">IF($C$4="","",IF('Finals 4'!$I13=$C$4,'Finals 4'!$K13,IF('Finals 4'!$K13=$C$4,'Finals 4'!$I13,"")))</f>
        <v/>
      </c>
      <c r="Q13" s="629">
        <f t="shared" ref="Q13:Q29" ca="1" si="4">SMALL(M$12:M$36,ROW(M13)-11)</f>
        <v>21.763888888888889</v>
      </c>
      <c r="R13" s="627">
        <f t="shared" ref="R13:R29" ca="1" si="5">S13+ROW(S13)</f>
        <v>100012</v>
      </c>
      <c r="S13" s="628">
        <f ca="1">IF(U13="",99999,'Finals 4'!$D13)</f>
        <v>99999</v>
      </c>
      <c r="T13" s="293" t="str">
        <f ca="1">IF(U13="","",'Finals 4'!$E13)</f>
        <v/>
      </c>
      <c r="U13" s="294" t="str">
        <f ca="1">IF($C$9="","",IF('Finals 4'!$I13=$C$9,'Finals 4'!$K13,IF('Finals 4'!$K13=$C$9,'Finals 4'!$I13,"")))</f>
        <v/>
      </c>
      <c r="V13" s="629">
        <f t="shared" ref="V13:V29" ca="1" si="6">SMALL(R$12:R$36,ROW(R13)-11)</f>
        <v>24.763888888888889</v>
      </c>
      <c r="W13" s="627">
        <f t="shared" ref="W13:W29" ca="1" si="7">X13+ROW(X13)</f>
        <v>100012</v>
      </c>
      <c r="X13" s="628">
        <f ca="1">IF(Z13="",99999,'Finals 4'!$D13)</f>
        <v>99999</v>
      </c>
      <c r="Y13" s="293" t="str">
        <f ca="1">IF(Z13="","",'Finals 4'!$E13)</f>
        <v/>
      </c>
      <c r="Z13" s="294" t="str">
        <f ca="1">IF($C$14="","",IF('Finals 4'!$I13=$C$14,'Finals 4'!$K13,IF('Finals 4'!$K13=$C$14,'Finals 4'!$I13,"")))</f>
        <v/>
      </c>
      <c r="AA13" s="629">
        <f t="shared" ref="AA13:AA29" ca="1" si="8">SMALL(W$12:W$36,ROW(W13)-11)</f>
        <v>24.763888888888889</v>
      </c>
      <c r="AB13" s="627">
        <f t="shared" ref="AB13:AB29" ca="1" si="9">AC13+ROW(AC13)</f>
        <v>100012</v>
      </c>
      <c r="AC13" s="628">
        <f ca="1">IF(AE13="",99999,'Finals 4'!$D13)</f>
        <v>99999</v>
      </c>
      <c r="AD13" s="293" t="str">
        <f ca="1">IF(AE13="","",'Finals 4'!$E13)</f>
        <v/>
      </c>
      <c r="AE13" s="294" t="str">
        <f ca="1">IF($C$19="","",IF('Finals 4'!$I13=$C$19,'Finals 4'!$K13,IF('Finals 4'!$K13=$C$19,'Finals 4'!$I13,"")))</f>
        <v/>
      </c>
      <c r="AF13" s="629">
        <f t="shared" ref="AF13:AF29" ca="1" si="10">SMALL(AB$12:AB$36,ROW(AB13)-11)</f>
        <v>22.763888888888889</v>
      </c>
      <c r="AG13" s="627">
        <f t="shared" ref="AG13:AG29" ca="1" si="11">AH13+ROW(AH13)</f>
        <v>13.715277777777779</v>
      </c>
      <c r="AH13" s="628">
        <f ca="1">IF(AJ13="",99999,'Finals 4'!$D13)</f>
        <v>0.71527777777777779</v>
      </c>
      <c r="AI13" s="293">
        <f ca="1">IF(AJ13="","",'Finals 4'!$E13)</f>
        <v>1</v>
      </c>
      <c r="AJ13" s="294" t="str">
        <f ca="1">IF($C$24="","",IF('Finals 4'!$I13=$C$24,'Finals 4'!$K13,IF('Finals 4'!$K13=$C$24,'Finals 4'!$I13,"")))</f>
        <v>SSV Wildbach</v>
      </c>
      <c r="AK13" s="629">
        <f t="shared" ref="AK13:AK29" ca="1" si="12">SMALL(AG$12:AG$36,ROW(AG13)-11)</f>
        <v>21.763888888888889</v>
      </c>
      <c r="AL13" s="627">
        <f t="shared" ref="AL13:AL29" ca="1" si="13">AM13+ROW(AM13)</f>
        <v>100012</v>
      </c>
      <c r="AM13" s="628">
        <f ca="1">IF(AO13="",99999,'Finals 4'!$D13)</f>
        <v>99999</v>
      </c>
      <c r="AN13" s="293" t="str">
        <f ca="1">IF(AO13="","",'Finals 4'!$E13)</f>
        <v/>
      </c>
      <c r="AO13" s="294" t="str">
        <f ca="1">IF($C$29="","",IF('Finals 4'!$I13=$C$29,'Finals 4'!$K13,IF('Finals 4'!$K13=$C$29,'Finals 4'!$I13,"")))</f>
        <v/>
      </c>
      <c r="AP13" s="629">
        <f t="shared" ref="AP13:AP29" ca="1" si="14">SMALL(AL$12:AL$36,ROW(AL13)-11)</f>
        <v>23.763888888888889</v>
      </c>
      <c r="AQ13" s="627">
        <f t="shared" ref="AQ13:AQ29" ca="1" si="15">AR13+ROW(AR13)</f>
        <v>100012</v>
      </c>
      <c r="AR13" s="628">
        <f ca="1">IF(AT13="",99999,'Finals 4'!$D13)</f>
        <v>99999</v>
      </c>
      <c r="AS13" s="293" t="str">
        <f ca="1">IF(AT13="","",'Finals 4'!$E13)</f>
        <v/>
      </c>
      <c r="AT13" s="294" t="str">
        <f ca="1">IF($C$34="","",IF('Finals 4'!$I13=$C$34,'Finals 4'!$K13,IF('Finals 4'!$K13=$C$34,'Finals 4'!$I13,"")))</f>
        <v/>
      </c>
      <c r="AU13" s="629">
        <f t="shared" ref="AU13:AU29" ca="1" si="16">SMALL(AQ$12:AQ$36,ROW(AQ13)-11)</f>
        <v>23.763888888888889</v>
      </c>
      <c r="AV13" s="627">
        <f t="shared" ref="AV13:AV29" ca="1" si="17">AW13+ROW(AW13)</f>
        <v>100012</v>
      </c>
      <c r="AW13" s="628">
        <f ca="1">IF(AY13="",99999,'Finals 4'!$D13)</f>
        <v>99999</v>
      </c>
      <c r="AX13" s="293" t="str">
        <f ca="1">IF(AY13="","",'Finals 4'!$E13)</f>
        <v/>
      </c>
      <c r="AY13" s="294" t="str">
        <f ca="1">IF($C$39="","",IF('Finals 4'!$I13=$C$39,'Finals 4'!$K13,IF('Finals 4'!$K13=$C$39,'Finals 4'!$I13,"")))</f>
        <v/>
      </c>
      <c r="AZ13" s="629">
        <f t="shared" ref="AZ13:AZ29" ca="1" si="18">SMALL(AV$12:AV$36,ROW(AV13)-11)</f>
        <v>22.763888888888889</v>
      </c>
      <c r="BA13" s="627">
        <f t="shared" ref="BA13:BA29" si="19">BB13+ROW(BB13)</f>
        <v>100012</v>
      </c>
      <c r="BB13" s="628">
        <f>IF(BD13="",99999,'Finals 4'!$D13)</f>
        <v>99999</v>
      </c>
      <c r="BC13" s="293" t="str">
        <f>IF(BD13="","",'Finals 4'!$E13)</f>
        <v/>
      </c>
      <c r="BD13" s="294" t="str">
        <f>IF($C$44="","",IF('Finals 4'!$I13=$C$44,'Finals 4'!$K13,IF('Finals 4'!$K13=$C$44,'Finals 4'!$I13,"")))</f>
        <v/>
      </c>
      <c r="BE13" s="629">
        <f t="shared" ref="BE13:BE29" si="20">SMALL(BA$12:BA$36,ROW(BA13)-11)</f>
        <v>100012</v>
      </c>
      <c r="BF13" s="627">
        <f t="shared" ref="BF13:BF29" ca="1" si="21">BG13+ROW(BG13)</f>
        <v>100012</v>
      </c>
      <c r="BG13" s="628">
        <f ca="1">IF(BI13="",99999,'Finals 4'!$D13)</f>
        <v>99999</v>
      </c>
      <c r="BH13" s="293" t="str">
        <f ca="1">IF(BI13="","",'Finals 4'!$E13)</f>
        <v/>
      </c>
      <c r="BI13" s="294" t="str">
        <f ca="1">IF($C$49="","",IF('Finals 4'!$I13=$C$49,'Finals 4'!$K13,IF('Finals 4'!$K13=$C$49,'Finals 4'!$I13,"")))</f>
        <v/>
      </c>
      <c r="BJ13" s="629">
        <f t="shared" ref="BJ13:BJ29" ca="1" si="22">SMALL(BF$12:BF$36,ROW(BF13)-11)</f>
        <v>27.788194444444443</v>
      </c>
      <c r="BK13" s="627">
        <f t="shared" ref="BK13:BK29" ca="1" si="23">BL13+ROW(BL13)</f>
        <v>100012</v>
      </c>
      <c r="BL13" s="628">
        <f ca="1">IF(BN13="",99999,'Finals 4'!$D13)</f>
        <v>99999</v>
      </c>
      <c r="BM13" s="293" t="str">
        <f ca="1">IF(BN13="","",'Finals 4'!$E13)</f>
        <v/>
      </c>
      <c r="BN13" s="294" t="str">
        <f ca="1">IF($C$54="","",IF('Finals 4'!$I13=$C$54,'Finals 4'!$K13,IF('Finals 4'!$K13=$C$54,'Finals 4'!$I13,"")))</f>
        <v/>
      </c>
      <c r="BO13" s="629">
        <f t="shared" ref="BO13:BO29" ca="1" si="24">SMALL(BK$12:BK$36,ROW(BK13)-11)</f>
        <v>27.788194444444443</v>
      </c>
      <c r="BP13" s="627">
        <f t="shared" ref="BP13:BP29" ca="1" si="25">BQ13+ROW(BQ13)</f>
        <v>13.715277777777779</v>
      </c>
      <c r="BQ13" s="628">
        <f ca="1">IF(BS13="",99999,'Finals 4'!$D13)</f>
        <v>0.71527777777777779</v>
      </c>
      <c r="BR13" s="293">
        <f ca="1">IF(BS13="","",'Finals 4'!$E13)</f>
        <v>1</v>
      </c>
      <c r="BS13" s="294" t="str">
        <f ca="1">IF($C$59="","",IF('Finals 4'!$I13=$C$59,'Finals 4'!$K13,IF('Finals 4'!$K13=$C$59,'Finals 4'!$I13,"")))</f>
        <v>VFB Essenheim</v>
      </c>
      <c r="BT13" s="629">
        <f t="shared" ref="BT13:BT29" ca="1" si="26">SMALL(BP$12:BP$36,ROW(BP13)-11)</f>
        <v>25.788194444444443</v>
      </c>
      <c r="BU13" s="627">
        <f t="shared" ref="BU13:BU36" ca="1" si="27">BV13+ROW(BV13)</f>
        <v>100012</v>
      </c>
      <c r="BV13" s="628">
        <f ca="1">IF(BX13="",99999,'Finals 4'!$D13)</f>
        <v>99999</v>
      </c>
      <c r="BW13" s="293" t="str">
        <f ca="1">IF(BX13="","",'Finals 4'!$E13)</f>
        <v/>
      </c>
      <c r="BX13" s="294" t="str">
        <f ca="1">IF($C$64="","",IF('Finals 4'!$I13=$C$64,'Finals 4'!$K13,IF('Finals 4'!$K13=$C$64,'Finals 4'!$I13,"")))</f>
        <v/>
      </c>
      <c r="BY13" s="629">
        <f t="shared" ref="BY13:BY36" ca="1" si="28">SMALL(BU$12:BU$36,ROW(BU13)-11)</f>
        <v>28.788194444444443</v>
      </c>
      <c r="BZ13" s="627">
        <f t="shared" ref="BZ13:BZ36" ca="1" si="29">CA13+ROW(CA13)</f>
        <v>100012</v>
      </c>
      <c r="CA13" s="628">
        <f ca="1">IF(CC13="",99999,'Finals 4'!$D13)</f>
        <v>99999</v>
      </c>
      <c r="CB13" s="293" t="str">
        <f ca="1">IF(CC13="","",'Finals 4'!$E13)</f>
        <v/>
      </c>
      <c r="CC13" s="294" t="str">
        <f ca="1">IF($C$69="","",IF('Finals 4'!$I13=$C$69,'Finals 4'!$K13,IF('Finals 4'!$K13=$C$69,'Finals 4'!$I13,"")))</f>
        <v/>
      </c>
      <c r="CD13" s="629">
        <f t="shared" ref="CD13:CD36" ca="1" si="30">SMALL(BZ$12:BZ$36,ROW(BZ13)-11)</f>
        <v>26.788194444444443</v>
      </c>
      <c r="CE13" s="627">
        <f t="shared" ref="CE13:CE36" ca="1" si="31">CF13+ROW(CF13)</f>
        <v>100012</v>
      </c>
      <c r="CF13" s="628">
        <f ca="1">IF(CH13="",99999,'Finals 4'!$D13)</f>
        <v>99999</v>
      </c>
      <c r="CG13" s="293" t="str">
        <f ca="1">IF(CH13="","",'Finals 4'!$E13)</f>
        <v/>
      </c>
      <c r="CH13" s="294" t="str">
        <f ca="1">IF($C$74="","",IF('Finals 4'!$I13=$C$74,'Finals 4'!$K13,IF('Finals 4'!$K13=$C$74,'Finals 4'!$I13,"")))</f>
        <v/>
      </c>
      <c r="CI13" s="629">
        <f t="shared" ref="CI13:CI36" ca="1" si="32">SMALL(CE$12:CE$36,ROW(CE13)-11)</f>
        <v>28.788194444444443</v>
      </c>
      <c r="CJ13" s="627">
        <f t="shared" ref="CJ13:CJ36" ca="1" si="33">CK13+ROW(CK13)</f>
        <v>100012</v>
      </c>
      <c r="CK13" s="628">
        <f ca="1">IF(CM13="",99999,'Finals 4'!$D13)</f>
        <v>99999</v>
      </c>
      <c r="CL13" s="293" t="str">
        <f ca="1">IF(CM13="","",'Finals 4'!$E13)</f>
        <v/>
      </c>
      <c r="CM13" s="294" t="str">
        <f ca="1">IF($C$79="","",IF('Finals 4'!$I13=$C$79,'Finals 4'!$K13,IF('Finals 4'!$K13=$C$79,'Finals 4'!$I13,"")))</f>
        <v/>
      </c>
      <c r="CN13" s="629">
        <f t="shared" ref="CN13:CN36" ca="1" si="34">SMALL(CJ$12:CJ$36,ROW(CJ13)-11)</f>
        <v>25.788194444444443</v>
      </c>
      <c r="CO13" s="627">
        <f t="shared" ref="CO13:CO36" ca="1" si="35">CP13+ROW(CP13)</f>
        <v>100012</v>
      </c>
      <c r="CP13" s="628">
        <f ca="1">IF(CR13="",99999,'Finals 4'!$D13)</f>
        <v>99999</v>
      </c>
      <c r="CQ13" s="293" t="str">
        <f ca="1">IF(CR13="","",'Finals 4'!$E13)</f>
        <v/>
      </c>
      <c r="CR13" s="294" t="str">
        <f ca="1">IF($C$84="","",IF('Finals 4'!$I13=$C$84,'Finals 4'!$K13,IF('Finals 4'!$K13=$C$84,'Finals 4'!$I13,"")))</f>
        <v/>
      </c>
      <c r="CS13" s="629">
        <f t="shared" ref="CS13:CS36" ca="1" si="36">SMALL(CO$12:CO$36,ROW(CO13)-11)</f>
        <v>26.788194444444443</v>
      </c>
      <c r="CT13" s="627">
        <f t="shared" ref="CT13:CT36" si="37">CU13+ROW(CU13)</f>
        <v>100012</v>
      </c>
      <c r="CU13" s="628">
        <f>IF(CW13="",99999,'Finals 4'!$D13)</f>
        <v>99999</v>
      </c>
      <c r="CV13" s="293" t="str">
        <f>IF(CW13="","",'Finals 4'!$E13)</f>
        <v/>
      </c>
      <c r="CW13" s="294" t="str">
        <f>IF($C$89="","",IF('Finals 4'!$I13=$C$89,'Finals 4'!$K13,IF('Finals 4'!$K13=$C$89,'Finals 4'!$I13,"")))</f>
        <v/>
      </c>
      <c r="CX13" s="629">
        <f t="shared" ref="CX13:CX36" si="38">SMALL(CT$12:CT$36,ROW(CT13)-11)</f>
        <v>100012</v>
      </c>
    </row>
    <row r="14" spans="2:102" ht="15.95" customHeight="1" x14ac:dyDescent="0.2">
      <c r="B14" s="604" t="s">
        <v>206</v>
      </c>
      <c r="C14" s="605" t="str">
        <f>IF(Planning!$C$11="","",Planning!$C$11)</f>
        <v>Eintracht Frankfurt</v>
      </c>
      <c r="E14" s="606" t="str">
        <f>Language!$E$69</f>
        <v>Match No.</v>
      </c>
      <c r="F14" s="607" t="str">
        <f>Language!$E$39</f>
        <v>Start</v>
      </c>
      <c r="G14" s="608" t="str">
        <f>Language!$E$48</f>
        <v>Field</v>
      </c>
      <c r="H14" s="609" t="str">
        <f>Language!$E$46</f>
        <v>Match against</v>
      </c>
      <c r="J14" s="602">
        <f t="shared" ca="1" si="0"/>
        <v>0</v>
      </c>
      <c r="L14" s="164">
        <f ca="1">'Finals 4'!$C14</f>
        <v>58</v>
      </c>
      <c r="M14" s="627">
        <f t="shared" ca="1" si="3"/>
        <v>100013</v>
      </c>
      <c r="N14" s="628">
        <f ca="1">IF(P14="",99999,'Finals 4'!$D14)</f>
        <v>99999</v>
      </c>
      <c r="O14" s="293" t="str">
        <f ca="1">IF(P14="","",'Finals 4'!$E14)</f>
        <v/>
      </c>
      <c r="P14" s="294" t="str">
        <f ca="1">IF($C$4="","",IF('Finals 4'!$I14=$C$4,'Finals 4'!$K14,IF('Finals 4'!$K14=$C$4,'Finals 4'!$I14,"")))</f>
        <v/>
      </c>
      <c r="Q14" s="629">
        <f t="shared" ca="1" si="4"/>
        <v>29.8125</v>
      </c>
      <c r="R14" s="627">
        <f t="shared" ca="1" si="5"/>
        <v>100013</v>
      </c>
      <c r="S14" s="628">
        <f ca="1">IF(U14="",99999,'Finals 4'!$D14)</f>
        <v>99999</v>
      </c>
      <c r="T14" s="293" t="str">
        <f ca="1">IF(U14="","",'Finals 4'!$E14)</f>
        <v/>
      </c>
      <c r="U14" s="294" t="str">
        <f ca="1">IF($C$9="","",IF('Finals 4'!$I14=$C$9,'Finals 4'!$K14,IF('Finals 4'!$K14=$C$9,'Finals 4'!$I14,"")))</f>
        <v/>
      </c>
      <c r="V14" s="629">
        <f t="shared" ca="1" si="6"/>
        <v>36.836805555555557</v>
      </c>
      <c r="W14" s="627">
        <f t="shared" ca="1" si="7"/>
        <v>100013</v>
      </c>
      <c r="X14" s="628">
        <f ca="1">IF(Z14="",99999,'Finals 4'!$D14)</f>
        <v>99999</v>
      </c>
      <c r="Y14" s="293" t="str">
        <f ca="1">IF(Z14="","",'Finals 4'!$E14)</f>
        <v/>
      </c>
      <c r="Z14" s="294" t="str">
        <f ca="1">IF($C$14="","",IF('Finals 4'!$I14=$C$14,'Finals 4'!$K14,IF('Finals 4'!$K14=$C$14,'Finals 4'!$I14,"")))</f>
        <v/>
      </c>
      <c r="AA14" s="629">
        <f t="shared" ca="1" si="8"/>
        <v>32.8125</v>
      </c>
      <c r="AB14" s="627">
        <f t="shared" ca="1" si="9"/>
        <v>100013</v>
      </c>
      <c r="AC14" s="628">
        <f ca="1">IF(AE14="",99999,'Finals 4'!$D14)</f>
        <v>99999</v>
      </c>
      <c r="AD14" s="293" t="str">
        <f ca="1">IF(AE14="","",'Finals 4'!$E14)</f>
        <v/>
      </c>
      <c r="AE14" s="294" t="str">
        <f ca="1">IF($C$19="","",IF('Finals 4'!$I14=$C$19,'Finals 4'!$K14,IF('Finals 4'!$K14=$C$19,'Finals 4'!$I14,"")))</f>
        <v/>
      </c>
      <c r="AF14" s="629">
        <f t="shared" ca="1" si="10"/>
        <v>30.8125</v>
      </c>
      <c r="AG14" s="627">
        <f t="shared" ca="1" si="11"/>
        <v>100013</v>
      </c>
      <c r="AH14" s="628">
        <f ca="1">IF(AJ14="",99999,'Finals 4'!$D14)</f>
        <v>99999</v>
      </c>
      <c r="AI14" s="293" t="str">
        <f ca="1">IF(AJ14="","",'Finals 4'!$E14)</f>
        <v/>
      </c>
      <c r="AJ14" s="294" t="str">
        <f ca="1">IF($C$24="","",IF('Finals 4'!$I14=$C$24,'Finals 4'!$K14,IF('Finals 4'!$K14=$C$24,'Finals 4'!$I14,"")))</f>
        <v/>
      </c>
      <c r="AK14" s="629">
        <f t="shared" ca="1" si="12"/>
        <v>33.836805555555557</v>
      </c>
      <c r="AL14" s="627">
        <f t="shared" ca="1" si="13"/>
        <v>100013</v>
      </c>
      <c r="AM14" s="628">
        <f ca="1">IF(AO14="",99999,'Finals 4'!$D14)</f>
        <v>99999</v>
      </c>
      <c r="AN14" s="293" t="str">
        <f ca="1">IF(AO14="","",'Finals 4'!$E14)</f>
        <v/>
      </c>
      <c r="AO14" s="294" t="str">
        <f ca="1">IF($C$29="","",IF('Finals 4'!$I14=$C$29,'Finals 4'!$K14,IF('Finals 4'!$K14=$C$29,'Finals 4'!$I14,"")))</f>
        <v/>
      </c>
      <c r="AP14" s="629">
        <f t="shared" ca="1" si="14"/>
        <v>31.8125</v>
      </c>
      <c r="AQ14" s="627">
        <f t="shared" ca="1" si="15"/>
        <v>100013</v>
      </c>
      <c r="AR14" s="628">
        <f ca="1">IF(AT14="",99999,'Finals 4'!$D14)</f>
        <v>99999</v>
      </c>
      <c r="AS14" s="293" t="str">
        <f ca="1">IF(AT14="","",'Finals 4'!$E14)</f>
        <v/>
      </c>
      <c r="AT14" s="294" t="str">
        <f ca="1">IF($C$34="","",IF('Finals 4'!$I14=$C$34,'Finals 4'!$K14,IF('Finals 4'!$K14=$C$34,'Finals 4'!$I14,"")))</f>
        <v/>
      </c>
      <c r="AU14" s="629">
        <f t="shared" ca="1" si="16"/>
        <v>35.836805555555557</v>
      </c>
      <c r="AV14" s="627">
        <f t="shared" ca="1" si="17"/>
        <v>14.715277777777779</v>
      </c>
      <c r="AW14" s="628">
        <f ca="1">IF(AY14="",99999,'Finals 4'!$D14)</f>
        <v>0.71527777777777779</v>
      </c>
      <c r="AX14" s="293">
        <f ca="1">IF(AY14="","",'Finals 4'!$E14)</f>
        <v>2</v>
      </c>
      <c r="AY14" s="294" t="str">
        <f ca="1">IF($C$39="","",IF('Finals 4'!$I14=$C$39,'Finals 4'!$K14,IF('Finals 4'!$K14=$C$39,'Finals 4'!$I14,"")))</f>
        <v>FC Grönlingen</v>
      </c>
      <c r="AZ14" s="629">
        <f t="shared" ca="1" si="18"/>
        <v>34.836805555555557</v>
      </c>
      <c r="BA14" s="627">
        <f t="shared" si="19"/>
        <v>100013</v>
      </c>
      <c r="BB14" s="628">
        <f>IF(BD14="",99999,'Finals 4'!$D14)</f>
        <v>99999</v>
      </c>
      <c r="BC14" s="293" t="str">
        <f>IF(BD14="","",'Finals 4'!$E14)</f>
        <v/>
      </c>
      <c r="BD14" s="294" t="str">
        <f>IF($C$44="","",IF('Finals 4'!$I14=$C$44,'Finals 4'!$K14,IF('Finals 4'!$K14=$C$44,'Finals 4'!$I14,"")))</f>
        <v/>
      </c>
      <c r="BE14" s="629">
        <f t="shared" si="20"/>
        <v>100013</v>
      </c>
      <c r="BF14" s="627">
        <f t="shared" ca="1" si="21"/>
        <v>100013</v>
      </c>
      <c r="BG14" s="628">
        <f ca="1">IF(BI14="",99999,'Finals 4'!$D14)</f>
        <v>99999</v>
      </c>
      <c r="BH14" s="293" t="str">
        <f ca="1">IF(BI14="","",'Finals 4'!$E14)</f>
        <v/>
      </c>
      <c r="BI14" s="294" t="str">
        <f ca="1">IF($C$49="","",IF('Finals 4'!$I14=$C$49,'Finals 4'!$K14,IF('Finals 4'!$K14=$C$49,'Finals 4'!$I14,"")))</f>
        <v/>
      </c>
      <c r="BJ14" s="629">
        <f t="shared" ca="1" si="22"/>
        <v>31.8125</v>
      </c>
      <c r="BK14" s="627">
        <f t="shared" ca="1" si="23"/>
        <v>100013</v>
      </c>
      <c r="BL14" s="628">
        <f ca="1">IF(BN14="",99999,'Finals 4'!$D14)</f>
        <v>99999</v>
      </c>
      <c r="BM14" s="293" t="str">
        <f ca="1">IF(BN14="","",'Finals 4'!$E14)</f>
        <v/>
      </c>
      <c r="BN14" s="294" t="str">
        <f ca="1">IF($C$54="","",IF('Finals 4'!$I14=$C$54,'Finals 4'!$K14,IF('Finals 4'!$K14=$C$54,'Finals 4'!$I14,"")))</f>
        <v/>
      </c>
      <c r="BO14" s="629">
        <f t="shared" ca="1" si="24"/>
        <v>35.836805555555557</v>
      </c>
      <c r="BP14" s="627">
        <f t="shared" ca="1" si="25"/>
        <v>100013</v>
      </c>
      <c r="BQ14" s="628">
        <f ca="1">IF(BS14="",99999,'Finals 4'!$D14)</f>
        <v>99999</v>
      </c>
      <c r="BR14" s="293" t="str">
        <f ca="1">IF(BS14="","",'Finals 4'!$E14)</f>
        <v/>
      </c>
      <c r="BS14" s="294" t="str">
        <f ca="1">IF($C$59="","",IF('Finals 4'!$I14=$C$59,'Finals 4'!$K14,IF('Finals 4'!$K14=$C$59,'Finals 4'!$I14,"")))</f>
        <v/>
      </c>
      <c r="BT14" s="629">
        <f t="shared" ca="1" si="26"/>
        <v>29.8125</v>
      </c>
      <c r="BU14" s="627">
        <f t="shared" ca="1" si="27"/>
        <v>100013</v>
      </c>
      <c r="BV14" s="628">
        <f ca="1">IF(BX14="",99999,'Finals 4'!$D14)</f>
        <v>99999</v>
      </c>
      <c r="BW14" s="293" t="str">
        <f ca="1">IF(BX14="","",'Finals 4'!$E14)</f>
        <v/>
      </c>
      <c r="BX14" s="294" t="str">
        <f ca="1">IF($C$64="","",IF('Finals 4'!$I14=$C$64,'Finals 4'!$K14,IF('Finals 4'!$K14=$C$64,'Finals 4'!$I14,"")))</f>
        <v/>
      </c>
      <c r="BY14" s="629">
        <f t="shared" ca="1" si="28"/>
        <v>36.836805555555557</v>
      </c>
      <c r="BZ14" s="627">
        <f t="shared" ca="1" si="29"/>
        <v>14.715277777777779</v>
      </c>
      <c r="CA14" s="628">
        <f ca="1">IF(CC14="",99999,'Finals 4'!$D14)</f>
        <v>0.71527777777777779</v>
      </c>
      <c r="CB14" s="293">
        <f ca="1">IF(CC14="","",'Finals 4'!$E14)</f>
        <v>2</v>
      </c>
      <c r="CC14" s="294" t="str">
        <f ca="1">IF($C$69="","",IF('Finals 4'!$I14=$C$69,'Finals 4'!$K14,IF('Finals 4'!$K14=$C$69,'Finals 4'!$I14,"")))</f>
        <v>Knock Out Rangers</v>
      </c>
      <c r="CD14" s="629">
        <f t="shared" ca="1" si="30"/>
        <v>30.8125</v>
      </c>
      <c r="CE14" s="627">
        <f t="shared" ca="1" si="31"/>
        <v>100013</v>
      </c>
      <c r="CF14" s="628">
        <f ca="1">IF(CH14="",99999,'Finals 4'!$D14)</f>
        <v>99999</v>
      </c>
      <c r="CG14" s="293" t="str">
        <f ca="1">IF(CH14="","",'Finals 4'!$E14)</f>
        <v/>
      </c>
      <c r="CH14" s="294" t="str">
        <f ca="1">IF($C$74="","",IF('Finals 4'!$I14=$C$74,'Finals 4'!$K14,IF('Finals 4'!$K14=$C$74,'Finals 4'!$I14,"")))</f>
        <v/>
      </c>
      <c r="CI14" s="629">
        <f t="shared" ca="1" si="32"/>
        <v>32.8125</v>
      </c>
      <c r="CJ14" s="627">
        <f t="shared" ca="1" si="33"/>
        <v>100013</v>
      </c>
      <c r="CK14" s="628">
        <f ca="1">IF(CM14="",99999,'Finals 4'!$D14)</f>
        <v>99999</v>
      </c>
      <c r="CL14" s="293" t="str">
        <f ca="1">IF(CM14="","",'Finals 4'!$E14)</f>
        <v/>
      </c>
      <c r="CM14" s="294" t="str">
        <f ca="1">IF($C$79="","",IF('Finals 4'!$I14=$C$79,'Finals 4'!$K14,IF('Finals 4'!$K14=$C$79,'Finals 4'!$I14,"")))</f>
        <v/>
      </c>
      <c r="CN14" s="629">
        <f t="shared" ca="1" si="34"/>
        <v>33.836805555555557</v>
      </c>
      <c r="CO14" s="627">
        <f t="shared" ca="1" si="35"/>
        <v>100013</v>
      </c>
      <c r="CP14" s="628">
        <f ca="1">IF(CR14="",99999,'Finals 4'!$D14)</f>
        <v>99999</v>
      </c>
      <c r="CQ14" s="293" t="str">
        <f ca="1">IF(CR14="","",'Finals 4'!$E14)</f>
        <v/>
      </c>
      <c r="CR14" s="294" t="str">
        <f ca="1">IF($C$84="","",IF('Finals 4'!$I14=$C$84,'Finals 4'!$K14,IF('Finals 4'!$K14=$C$84,'Finals 4'!$I14,"")))</f>
        <v/>
      </c>
      <c r="CS14" s="629">
        <f t="shared" ca="1" si="36"/>
        <v>34.836805555555557</v>
      </c>
      <c r="CT14" s="627">
        <f t="shared" si="37"/>
        <v>100013</v>
      </c>
      <c r="CU14" s="628">
        <f>IF(CW14="",99999,'Finals 4'!$D14)</f>
        <v>99999</v>
      </c>
      <c r="CV14" s="293" t="str">
        <f>IF(CW14="","",'Finals 4'!$E14)</f>
        <v/>
      </c>
      <c r="CW14" s="294" t="str">
        <f>IF($C$89="","",IF('Finals 4'!$I14=$C$89,'Finals 4'!$K14,IF('Finals 4'!$K14=$C$89,'Finals 4'!$I14,"")))</f>
        <v/>
      </c>
      <c r="CX14" s="629">
        <f t="shared" si="38"/>
        <v>100013</v>
      </c>
    </row>
    <row r="15" spans="2:102" ht="15.95" customHeight="1" x14ac:dyDescent="0.2">
      <c r="E15" s="610">
        <f ca="1">IF($AA$12&lt;99999,INDEX($L$12:$L$36,MATCH($AA$12,$W$12:$W$36,0)),"")</f>
        <v>64</v>
      </c>
      <c r="F15" s="611">
        <f ca="1">IF($AA$12&lt;99999,VLOOKUP($AA$12,$W$12:$Z$36,2,0),"")</f>
        <v>0.73958333333333337</v>
      </c>
      <c r="G15" s="612">
        <f ca="1">IF($AA$12&lt;99999,VLOOKUP($AA$12,$W$12:$Z$36,3,0),"")</f>
        <v>4</v>
      </c>
      <c r="H15" s="613" t="str">
        <f ca="1">IF($AA$12&lt;99999,VLOOKUP($AA$12,$W$12:$Z$36,4,0),"")</f>
        <v>Manchester City</v>
      </c>
      <c r="J15" s="602">
        <f ca="1">IF(AND(F15&lt;&gt;"",OR(F15=F14,F15=F16)),E15,0)</f>
        <v>0</v>
      </c>
      <c r="K15" s="602" t="str">
        <f ca="1">IF(J15=0,"",$C$14)</f>
        <v/>
      </c>
      <c r="L15" s="164">
        <f ca="1">'Finals 4'!$C15</f>
        <v>59</v>
      </c>
      <c r="M15" s="627">
        <f t="shared" ca="1" si="3"/>
        <v>100014</v>
      </c>
      <c r="N15" s="628">
        <f ca="1">IF(P15="",99999,'Finals 4'!$D15)</f>
        <v>99999</v>
      </c>
      <c r="O15" s="293" t="str">
        <f ca="1">IF(P15="","",'Finals 4'!$E15)</f>
        <v/>
      </c>
      <c r="P15" s="294" t="str">
        <f ca="1">IF($C$4="","",IF('Finals 4'!$I15=$C$4,'Finals 4'!$K15,IF('Finals 4'!$K15=$C$4,'Finals 4'!$I15,"")))</f>
        <v/>
      </c>
      <c r="Q15" s="629">
        <f t="shared" ca="1" si="4"/>
        <v>100011</v>
      </c>
      <c r="R15" s="627">
        <f t="shared" ca="1" si="5"/>
        <v>100014</v>
      </c>
      <c r="S15" s="628">
        <f ca="1">IF(U15="",99999,'Finals 4'!$D15)</f>
        <v>99999</v>
      </c>
      <c r="T15" s="293" t="str">
        <f ca="1">IF(U15="","",'Finals 4'!$E15)</f>
        <v/>
      </c>
      <c r="U15" s="294" t="str">
        <f ca="1">IF($C$9="","",IF('Finals 4'!$I15=$C$9,'Finals 4'!$K15,IF('Finals 4'!$K15=$C$9,'Finals 4'!$I15,"")))</f>
        <v/>
      </c>
      <c r="V15" s="629">
        <f t="shared" ca="1" si="6"/>
        <v>100011</v>
      </c>
      <c r="W15" s="627">
        <f t="shared" ca="1" si="7"/>
        <v>100014</v>
      </c>
      <c r="X15" s="628">
        <f ca="1">IF(Z15="",99999,'Finals 4'!$D15)</f>
        <v>99999</v>
      </c>
      <c r="Y15" s="293" t="str">
        <f ca="1">IF(Z15="","",'Finals 4'!$E15)</f>
        <v/>
      </c>
      <c r="Z15" s="294" t="str">
        <f ca="1">IF($C$14="","",IF('Finals 4'!$I15=$C$14,'Finals 4'!$K15,IF('Finals 4'!$K15=$C$14,'Finals 4'!$I15,"")))</f>
        <v/>
      </c>
      <c r="AA15" s="629">
        <f t="shared" ca="1" si="8"/>
        <v>100011</v>
      </c>
      <c r="AB15" s="627">
        <f t="shared" ca="1" si="9"/>
        <v>100014</v>
      </c>
      <c r="AC15" s="628">
        <f ca="1">IF(AE15="",99999,'Finals 4'!$D15)</f>
        <v>99999</v>
      </c>
      <c r="AD15" s="293" t="str">
        <f ca="1">IF(AE15="","",'Finals 4'!$E15)</f>
        <v/>
      </c>
      <c r="AE15" s="294" t="str">
        <f ca="1">IF($C$19="","",IF('Finals 4'!$I15=$C$19,'Finals 4'!$K15,IF('Finals 4'!$K15=$C$19,'Finals 4'!$I15,"")))</f>
        <v/>
      </c>
      <c r="AF15" s="629">
        <f t="shared" ca="1" si="10"/>
        <v>100011</v>
      </c>
      <c r="AG15" s="627">
        <f t="shared" ca="1" si="11"/>
        <v>100014</v>
      </c>
      <c r="AH15" s="628">
        <f ca="1">IF(AJ15="",99999,'Finals 4'!$D15)</f>
        <v>99999</v>
      </c>
      <c r="AI15" s="293" t="str">
        <f ca="1">IF(AJ15="","",'Finals 4'!$E15)</f>
        <v/>
      </c>
      <c r="AJ15" s="294" t="str">
        <f ca="1">IF($C$24="","",IF('Finals 4'!$I15=$C$24,'Finals 4'!$K15,IF('Finals 4'!$K15=$C$24,'Finals 4'!$I15,"")))</f>
        <v/>
      </c>
      <c r="AK15" s="629">
        <f t="shared" ca="1" si="12"/>
        <v>100011</v>
      </c>
      <c r="AL15" s="627">
        <f t="shared" ca="1" si="13"/>
        <v>100014</v>
      </c>
      <c r="AM15" s="628">
        <f ca="1">IF(AO15="",99999,'Finals 4'!$D15)</f>
        <v>99999</v>
      </c>
      <c r="AN15" s="293" t="str">
        <f ca="1">IF(AO15="","",'Finals 4'!$E15)</f>
        <v/>
      </c>
      <c r="AO15" s="294" t="str">
        <f ca="1">IF($C$29="","",IF('Finals 4'!$I15=$C$29,'Finals 4'!$K15,IF('Finals 4'!$K15=$C$29,'Finals 4'!$I15,"")))</f>
        <v/>
      </c>
      <c r="AP15" s="629">
        <f t="shared" ca="1" si="14"/>
        <v>100011</v>
      </c>
      <c r="AQ15" s="627">
        <f t="shared" ca="1" si="15"/>
        <v>15.715277777777779</v>
      </c>
      <c r="AR15" s="628">
        <f ca="1">IF(AT15="",99999,'Finals 4'!$D15)</f>
        <v>0.71527777777777779</v>
      </c>
      <c r="AS15" s="293">
        <f ca="1">IF(AT15="","",'Finals 4'!$E15)</f>
        <v>3</v>
      </c>
      <c r="AT15" s="294" t="str">
        <f ca="1">IF($C$34="","",IF('Finals 4'!$I15=$C$34,'Finals 4'!$K15,IF('Finals 4'!$K15=$C$34,'Finals 4'!$I15,"")))</f>
        <v>Mainz 05</v>
      </c>
      <c r="AU15" s="629">
        <f t="shared" ca="1" si="16"/>
        <v>100011</v>
      </c>
      <c r="AV15" s="627">
        <f t="shared" ca="1" si="17"/>
        <v>100014</v>
      </c>
      <c r="AW15" s="628">
        <f ca="1">IF(AY15="",99999,'Finals 4'!$D15)</f>
        <v>99999</v>
      </c>
      <c r="AX15" s="293" t="str">
        <f ca="1">IF(AY15="","",'Finals 4'!$E15)</f>
        <v/>
      </c>
      <c r="AY15" s="294" t="str">
        <f ca="1">IF($C$39="","",IF('Finals 4'!$I15=$C$39,'Finals 4'!$K15,IF('Finals 4'!$K15=$C$39,'Finals 4'!$I15,"")))</f>
        <v/>
      </c>
      <c r="AZ15" s="629">
        <f t="shared" ca="1" si="18"/>
        <v>100011</v>
      </c>
      <c r="BA15" s="627">
        <f t="shared" si="19"/>
        <v>100014</v>
      </c>
      <c r="BB15" s="628">
        <f>IF(BD15="",99999,'Finals 4'!$D15)</f>
        <v>99999</v>
      </c>
      <c r="BC15" s="293" t="str">
        <f>IF(BD15="","",'Finals 4'!$E15)</f>
        <v/>
      </c>
      <c r="BD15" s="294" t="str">
        <f>IF($C$44="","",IF('Finals 4'!$I15=$C$44,'Finals 4'!$K15,IF('Finals 4'!$K15=$C$44,'Finals 4'!$I15,"")))</f>
        <v/>
      </c>
      <c r="BE15" s="629">
        <f t="shared" si="20"/>
        <v>100014</v>
      </c>
      <c r="BF15" s="627">
        <f t="shared" ca="1" si="21"/>
        <v>15.715277777777779</v>
      </c>
      <c r="BG15" s="628">
        <f ca="1">IF(BI15="",99999,'Finals 4'!$D15)</f>
        <v>0.71527777777777779</v>
      </c>
      <c r="BH15" s="293">
        <f ca="1">IF(BI15="","",'Finals 4'!$E15)</f>
        <v>3</v>
      </c>
      <c r="BI15" s="294" t="str">
        <f ca="1">IF($C$49="","",IF('Finals 4'!$I15=$C$49,'Finals 4'!$K15,IF('Finals 4'!$K15=$C$49,'Finals 4'!$I15,"")))</f>
        <v>Raslo Winners</v>
      </c>
      <c r="BJ15" s="629">
        <f t="shared" ca="1" si="22"/>
        <v>100011</v>
      </c>
      <c r="BK15" s="627">
        <f t="shared" ca="1" si="23"/>
        <v>100014</v>
      </c>
      <c r="BL15" s="628">
        <f ca="1">IF(BN15="",99999,'Finals 4'!$D15)</f>
        <v>99999</v>
      </c>
      <c r="BM15" s="293" t="str">
        <f ca="1">IF(BN15="","",'Finals 4'!$E15)</f>
        <v/>
      </c>
      <c r="BN15" s="294" t="str">
        <f ca="1">IF($C$54="","",IF('Finals 4'!$I15=$C$54,'Finals 4'!$K15,IF('Finals 4'!$K15=$C$54,'Finals 4'!$I15,"")))</f>
        <v/>
      </c>
      <c r="BO15" s="629">
        <f t="shared" ca="1" si="24"/>
        <v>100011</v>
      </c>
      <c r="BP15" s="627">
        <f t="shared" ca="1" si="25"/>
        <v>100014</v>
      </c>
      <c r="BQ15" s="628">
        <f ca="1">IF(BS15="",99999,'Finals 4'!$D15)</f>
        <v>99999</v>
      </c>
      <c r="BR15" s="293" t="str">
        <f ca="1">IF(BS15="","",'Finals 4'!$E15)</f>
        <v/>
      </c>
      <c r="BS15" s="294" t="str">
        <f ca="1">IF($C$59="","",IF('Finals 4'!$I15=$C$59,'Finals 4'!$K15,IF('Finals 4'!$K15=$C$59,'Finals 4'!$I15,"")))</f>
        <v/>
      </c>
      <c r="BT15" s="629">
        <f t="shared" ca="1" si="26"/>
        <v>100011</v>
      </c>
      <c r="BU15" s="627">
        <f t="shared" ca="1" si="27"/>
        <v>100014</v>
      </c>
      <c r="BV15" s="628">
        <f ca="1">IF(BX15="",99999,'Finals 4'!$D15)</f>
        <v>99999</v>
      </c>
      <c r="BW15" s="293" t="str">
        <f ca="1">IF(BX15="","",'Finals 4'!$E15)</f>
        <v/>
      </c>
      <c r="BX15" s="294" t="str">
        <f ca="1">IF($C$64="","",IF('Finals 4'!$I15=$C$64,'Finals 4'!$K15,IF('Finals 4'!$K15=$C$64,'Finals 4'!$I15,"")))</f>
        <v/>
      </c>
      <c r="BY15" s="629">
        <f t="shared" ca="1" si="28"/>
        <v>100011</v>
      </c>
      <c r="BZ15" s="627">
        <f t="shared" ca="1" si="29"/>
        <v>100014</v>
      </c>
      <c r="CA15" s="628">
        <f ca="1">IF(CC15="",99999,'Finals 4'!$D15)</f>
        <v>99999</v>
      </c>
      <c r="CB15" s="293" t="str">
        <f ca="1">IF(CC15="","",'Finals 4'!$E15)</f>
        <v/>
      </c>
      <c r="CC15" s="294" t="str">
        <f ca="1">IF($C$69="","",IF('Finals 4'!$I15=$C$69,'Finals 4'!$K15,IF('Finals 4'!$K15=$C$69,'Finals 4'!$I15,"")))</f>
        <v/>
      </c>
      <c r="CD15" s="629">
        <f t="shared" ca="1" si="30"/>
        <v>100011</v>
      </c>
      <c r="CE15" s="627">
        <f t="shared" ca="1" si="31"/>
        <v>100014</v>
      </c>
      <c r="CF15" s="628">
        <f ca="1">IF(CH15="",99999,'Finals 4'!$D15)</f>
        <v>99999</v>
      </c>
      <c r="CG15" s="293" t="str">
        <f ca="1">IF(CH15="","",'Finals 4'!$E15)</f>
        <v/>
      </c>
      <c r="CH15" s="294" t="str">
        <f ca="1">IF($C$74="","",IF('Finals 4'!$I15=$C$74,'Finals 4'!$K15,IF('Finals 4'!$K15=$C$74,'Finals 4'!$I15,"")))</f>
        <v/>
      </c>
      <c r="CI15" s="629">
        <f t="shared" ca="1" si="32"/>
        <v>100011</v>
      </c>
      <c r="CJ15" s="627">
        <f t="shared" ca="1" si="33"/>
        <v>100014</v>
      </c>
      <c r="CK15" s="628">
        <f ca="1">IF(CM15="",99999,'Finals 4'!$D15)</f>
        <v>99999</v>
      </c>
      <c r="CL15" s="293" t="str">
        <f ca="1">IF(CM15="","",'Finals 4'!$E15)</f>
        <v/>
      </c>
      <c r="CM15" s="294" t="str">
        <f ca="1">IF($C$79="","",IF('Finals 4'!$I15=$C$79,'Finals 4'!$K15,IF('Finals 4'!$K15=$C$79,'Finals 4'!$I15,"")))</f>
        <v/>
      </c>
      <c r="CN15" s="629">
        <f t="shared" ca="1" si="34"/>
        <v>100011</v>
      </c>
      <c r="CO15" s="627">
        <f t="shared" ca="1" si="35"/>
        <v>100014</v>
      </c>
      <c r="CP15" s="628">
        <f ca="1">IF(CR15="",99999,'Finals 4'!$D15)</f>
        <v>99999</v>
      </c>
      <c r="CQ15" s="293" t="str">
        <f ca="1">IF(CR15="","",'Finals 4'!$E15)</f>
        <v/>
      </c>
      <c r="CR15" s="294" t="str">
        <f ca="1">IF($C$84="","",IF('Finals 4'!$I15=$C$84,'Finals 4'!$K15,IF('Finals 4'!$K15=$C$84,'Finals 4'!$I15,"")))</f>
        <v/>
      </c>
      <c r="CS15" s="629">
        <f t="shared" ca="1" si="36"/>
        <v>100011</v>
      </c>
      <c r="CT15" s="627">
        <f t="shared" si="37"/>
        <v>100014</v>
      </c>
      <c r="CU15" s="628">
        <f>IF(CW15="",99999,'Finals 4'!$D15)</f>
        <v>99999</v>
      </c>
      <c r="CV15" s="293" t="str">
        <f>IF(CW15="","",'Finals 4'!$E15)</f>
        <v/>
      </c>
      <c r="CW15" s="294" t="str">
        <f>IF($C$89="","",IF('Finals 4'!$I15=$C$89,'Finals 4'!$K15,IF('Finals 4'!$K15=$C$89,'Finals 4'!$I15,"")))</f>
        <v/>
      </c>
      <c r="CX15" s="629">
        <f t="shared" si="38"/>
        <v>100014</v>
      </c>
    </row>
    <row r="16" spans="2:102" ht="15.95" customHeight="1" x14ac:dyDescent="0.2">
      <c r="E16" s="610">
        <f ca="1">IF($AA$13&lt;99999,INDEX($L$12:$L$36,MATCH($AA$13,$W$12:$W$36,0)),"")</f>
        <v>68</v>
      </c>
      <c r="F16" s="614">
        <f ca="1">IF($AA$13&lt;99999,VLOOKUP($AA$13,$W$12:$Z$36,2,0),"")</f>
        <v>0.76388888888888895</v>
      </c>
      <c r="G16" s="615">
        <f ca="1">IF($AA$13&lt;99999,VLOOKUP($AA$13,$W$12:$Z$36,3,0),"")</f>
        <v>4</v>
      </c>
      <c r="H16" s="616" t="str">
        <f ca="1">IF($AA$13&lt;99999,VLOOKUP($AA$13,$W$12:$Z$36,4,0),"")</f>
        <v>FC Barcelona</v>
      </c>
      <c r="J16" s="602">
        <f t="shared" ref="J16:J79" ca="1" si="39">IF(AND(F16&lt;&gt;"",OR(F16=F15,F16=F17)),E16,0)</f>
        <v>0</v>
      </c>
      <c r="K16" s="602" t="str">
        <f t="shared" ref="K16:K17" ca="1" si="40">IF(J16=0,"",$C$14)</f>
        <v/>
      </c>
      <c r="L16" s="164">
        <f ca="1">'Finals 4'!$C16</f>
        <v>60</v>
      </c>
      <c r="M16" s="627">
        <f t="shared" ca="1" si="3"/>
        <v>100015</v>
      </c>
      <c r="N16" s="628">
        <f ca="1">IF(P16="",99999,'Finals 4'!$D16)</f>
        <v>99999</v>
      </c>
      <c r="O16" s="293" t="str">
        <f ca="1">IF(P16="","",'Finals 4'!$E16)</f>
        <v/>
      </c>
      <c r="P16" s="294" t="str">
        <f ca="1">IF($C$4="","",IF('Finals 4'!$I16=$C$4,'Finals 4'!$K16,IF('Finals 4'!$K16=$C$4,'Finals 4'!$I16,"")))</f>
        <v/>
      </c>
      <c r="Q16" s="629">
        <f t="shared" ca="1" si="4"/>
        <v>100012</v>
      </c>
      <c r="R16" s="627">
        <f t="shared" ca="1" si="5"/>
        <v>16.715277777777779</v>
      </c>
      <c r="S16" s="628">
        <f ca="1">IF(U16="",99999,'Finals 4'!$D16)</f>
        <v>0.71527777777777779</v>
      </c>
      <c r="T16" s="293">
        <f ca="1">IF(U16="","",'Finals 4'!$E16)</f>
        <v>4</v>
      </c>
      <c r="U16" s="294" t="str">
        <f ca="1">IF($C$9="","",IF('Finals 4'!$I16=$C$9,'Finals 4'!$K16,IF('Finals 4'!$K16=$C$9,'Finals 4'!$I16,"")))</f>
        <v>AC Roma</v>
      </c>
      <c r="V16" s="629">
        <f t="shared" ca="1" si="6"/>
        <v>100012</v>
      </c>
      <c r="W16" s="627">
        <f t="shared" ca="1" si="7"/>
        <v>100015</v>
      </c>
      <c r="X16" s="628">
        <f ca="1">IF(Z16="",99999,'Finals 4'!$D16)</f>
        <v>99999</v>
      </c>
      <c r="Y16" s="293" t="str">
        <f ca="1">IF(Z16="","",'Finals 4'!$E16)</f>
        <v/>
      </c>
      <c r="Z16" s="294" t="str">
        <f ca="1">IF($C$14="","",IF('Finals 4'!$I16=$C$14,'Finals 4'!$K16,IF('Finals 4'!$K16=$C$14,'Finals 4'!$I16,"")))</f>
        <v/>
      </c>
      <c r="AA16" s="629">
        <f t="shared" ca="1" si="8"/>
        <v>100012</v>
      </c>
      <c r="AB16" s="627">
        <f t="shared" ca="1" si="9"/>
        <v>100015</v>
      </c>
      <c r="AC16" s="628">
        <f ca="1">IF(AE16="",99999,'Finals 4'!$D16)</f>
        <v>99999</v>
      </c>
      <c r="AD16" s="293" t="str">
        <f ca="1">IF(AE16="","",'Finals 4'!$E16)</f>
        <v/>
      </c>
      <c r="AE16" s="294" t="str">
        <f ca="1">IF($C$19="","",IF('Finals 4'!$I16=$C$19,'Finals 4'!$K16,IF('Finals 4'!$K16=$C$19,'Finals 4'!$I16,"")))</f>
        <v/>
      </c>
      <c r="AF16" s="629">
        <f t="shared" ca="1" si="10"/>
        <v>100012</v>
      </c>
      <c r="AG16" s="627">
        <f t="shared" ca="1" si="11"/>
        <v>100015</v>
      </c>
      <c r="AH16" s="628">
        <f ca="1">IF(AJ16="",99999,'Finals 4'!$D16)</f>
        <v>99999</v>
      </c>
      <c r="AI16" s="293" t="str">
        <f ca="1">IF(AJ16="","",'Finals 4'!$E16)</f>
        <v/>
      </c>
      <c r="AJ16" s="294" t="str">
        <f ca="1">IF($C$24="","",IF('Finals 4'!$I16=$C$24,'Finals 4'!$K16,IF('Finals 4'!$K16=$C$24,'Finals 4'!$I16,"")))</f>
        <v/>
      </c>
      <c r="AK16" s="629">
        <f t="shared" ca="1" si="12"/>
        <v>100013</v>
      </c>
      <c r="AL16" s="627">
        <f t="shared" ca="1" si="13"/>
        <v>100015</v>
      </c>
      <c r="AM16" s="628">
        <f ca="1">IF(AO16="",99999,'Finals 4'!$D16)</f>
        <v>99999</v>
      </c>
      <c r="AN16" s="293" t="str">
        <f ca="1">IF(AO16="","",'Finals 4'!$E16)</f>
        <v/>
      </c>
      <c r="AO16" s="294" t="str">
        <f ca="1">IF($C$29="","",IF('Finals 4'!$I16=$C$29,'Finals 4'!$K16,IF('Finals 4'!$K16=$C$29,'Finals 4'!$I16,"")))</f>
        <v/>
      </c>
      <c r="AP16" s="629">
        <f t="shared" ca="1" si="14"/>
        <v>100012</v>
      </c>
      <c r="AQ16" s="627">
        <f t="shared" ca="1" si="15"/>
        <v>100015</v>
      </c>
      <c r="AR16" s="628">
        <f ca="1">IF(AT16="",99999,'Finals 4'!$D16)</f>
        <v>99999</v>
      </c>
      <c r="AS16" s="293" t="str">
        <f ca="1">IF(AT16="","",'Finals 4'!$E16)</f>
        <v/>
      </c>
      <c r="AT16" s="294" t="str">
        <f ca="1">IF($C$34="","",IF('Finals 4'!$I16=$C$34,'Finals 4'!$K16,IF('Finals 4'!$K16=$C$34,'Finals 4'!$I16,"")))</f>
        <v/>
      </c>
      <c r="AU16" s="629">
        <f t="shared" ca="1" si="16"/>
        <v>100012</v>
      </c>
      <c r="AV16" s="627">
        <f t="shared" ca="1" si="17"/>
        <v>100015</v>
      </c>
      <c r="AW16" s="628">
        <f ca="1">IF(AY16="",99999,'Finals 4'!$D16)</f>
        <v>99999</v>
      </c>
      <c r="AX16" s="293" t="str">
        <f ca="1">IF(AY16="","",'Finals 4'!$E16)</f>
        <v/>
      </c>
      <c r="AY16" s="294" t="str">
        <f ca="1">IF($C$39="","",IF('Finals 4'!$I16=$C$39,'Finals 4'!$K16,IF('Finals 4'!$K16=$C$39,'Finals 4'!$I16,"")))</f>
        <v/>
      </c>
      <c r="AZ16" s="629">
        <f t="shared" ca="1" si="18"/>
        <v>100012</v>
      </c>
      <c r="BA16" s="627">
        <f t="shared" si="19"/>
        <v>100015</v>
      </c>
      <c r="BB16" s="628">
        <f>IF(BD16="",99999,'Finals 4'!$D16)</f>
        <v>99999</v>
      </c>
      <c r="BC16" s="293" t="str">
        <f>IF(BD16="","",'Finals 4'!$E16)</f>
        <v/>
      </c>
      <c r="BD16" s="294" t="str">
        <f>IF($C$44="","",IF('Finals 4'!$I16=$C$44,'Finals 4'!$K16,IF('Finals 4'!$K16=$C$44,'Finals 4'!$I16,"")))</f>
        <v/>
      </c>
      <c r="BE16" s="629">
        <f t="shared" si="20"/>
        <v>100015</v>
      </c>
      <c r="BF16" s="627">
        <f t="shared" ca="1" si="21"/>
        <v>100015</v>
      </c>
      <c r="BG16" s="628">
        <f ca="1">IF(BI16="",99999,'Finals 4'!$D16)</f>
        <v>99999</v>
      </c>
      <c r="BH16" s="293" t="str">
        <f ca="1">IF(BI16="","",'Finals 4'!$E16)</f>
        <v/>
      </c>
      <c r="BI16" s="294" t="str">
        <f ca="1">IF($C$49="","",IF('Finals 4'!$I16=$C$49,'Finals 4'!$K16,IF('Finals 4'!$K16=$C$49,'Finals 4'!$I16,"")))</f>
        <v/>
      </c>
      <c r="BJ16" s="629">
        <f t="shared" ca="1" si="22"/>
        <v>100012</v>
      </c>
      <c r="BK16" s="627">
        <f t="shared" ca="1" si="23"/>
        <v>100015</v>
      </c>
      <c r="BL16" s="628">
        <f ca="1">IF(BN16="",99999,'Finals 4'!$D16)</f>
        <v>99999</v>
      </c>
      <c r="BM16" s="293" t="str">
        <f ca="1">IF(BN16="","",'Finals 4'!$E16)</f>
        <v/>
      </c>
      <c r="BN16" s="294" t="str">
        <f ca="1">IF($C$54="","",IF('Finals 4'!$I16=$C$54,'Finals 4'!$K16,IF('Finals 4'!$K16=$C$54,'Finals 4'!$I16,"")))</f>
        <v/>
      </c>
      <c r="BO16" s="629">
        <f t="shared" ca="1" si="24"/>
        <v>100012</v>
      </c>
      <c r="BP16" s="627">
        <f t="shared" ca="1" si="25"/>
        <v>100015</v>
      </c>
      <c r="BQ16" s="628">
        <f ca="1">IF(BS16="",99999,'Finals 4'!$D16)</f>
        <v>99999</v>
      </c>
      <c r="BR16" s="293" t="str">
        <f ca="1">IF(BS16="","",'Finals 4'!$E16)</f>
        <v/>
      </c>
      <c r="BS16" s="294" t="str">
        <f ca="1">IF($C$59="","",IF('Finals 4'!$I16=$C$59,'Finals 4'!$K16,IF('Finals 4'!$K16=$C$59,'Finals 4'!$I16,"")))</f>
        <v/>
      </c>
      <c r="BT16" s="629">
        <f t="shared" ca="1" si="26"/>
        <v>100013</v>
      </c>
      <c r="BU16" s="627">
        <f t="shared" ca="1" si="27"/>
        <v>100015</v>
      </c>
      <c r="BV16" s="628">
        <f ca="1">IF(BX16="",99999,'Finals 4'!$D16)</f>
        <v>99999</v>
      </c>
      <c r="BW16" s="293" t="str">
        <f ca="1">IF(BX16="","",'Finals 4'!$E16)</f>
        <v/>
      </c>
      <c r="BX16" s="294" t="str">
        <f ca="1">IF($C$64="","",IF('Finals 4'!$I16=$C$64,'Finals 4'!$K16,IF('Finals 4'!$K16=$C$64,'Finals 4'!$I16,"")))</f>
        <v/>
      </c>
      <c r="BY16" s="629">
        <f t="shared" ca="1" si="28"/>
        <v>100012</v>
      </c>
      <c r="BZ16" s="627">
        <f t="shared" ca="1" si="29"/>
        <v>100015</v>
      </c>
      <c r="CA16" s="628">
        <f ca="1">IF(CC16="",99999,'Finals 4'!$D16)</f>
        <v>99999</v>
      </c>
      <c r="CB16" s="293" t="str">
        <f ca="1">IF(CC16="","",'Finals 4'!$E16)</f>
        <v/>
      </c>
      <c r="CC16" s="294" t="str">
        <f ca="1">IF($C$69="","",IF('Finals 4'!$I16=$C$69,'Finals 4'!$K16,IF('Finals 4'!$K16=$C$69,'Finals 4'!$I16,"")))</f>
        <v/>
      </c>
      <c r="CD16" s="629">
        <f t="shared" ca="1" si="30"/>
        <v>100012</v>
      </c>
      <c r="CE16" s="627">
        <f t="shared" ca="1" si="31"/>
        <v>16.715277777777779</v>
      </c>
      <c r="CF16" s="628">
        <f ca="1">IF(CH16="",99999,'Finals 4'!$D16)</f>
        <v>0.71527777777777779</v>
      </c>
      <c r="CG16" s="293">
        <f ca="1">IF(CH16="","",'Finals 4'!$E16)</f>
        <v>4</v>
      </c>
      <c r="CH16" s="294" t="str">
        <f ca="1">IF($C$74="","",IF('Finals 4'!$I16=$C$74,'Finals 4'!$K16,IF('Finals 4'!$K16=$C$74,'Finals 4'!$I16,"")))</f>
        <v>FC Barcelona</v>
      </c>
      <c r="CI16" s="629">
        <f t="shared" ca="1" si="32"/>
        <v>100012</v>
      </c>
      <c r="CJ16" s="627">
        <f t="shared" ca="1" si="33"/>
        <v>100015</v>
      </c>
      <c r="CK16" s="628">
        <f ca="1">IF(CM16="",99999,'Finals 4'!$D16)</f>
        <v>99999</v>
      </c>
      <c r="CL16" s="293" t="str">
        <f ca="1">IF(CM16="","",'Finals 4'!$E16)</f>
        <v/>
      </c>
      <c r="CM16" s="294" t="str">
        <f ca="1">IF($C$79="","",IF('Finals 4'!$I16=$C$79,'Finals 4'!$K16,IF('Finals 4'!$K16=$C$79,'Finals 4'!$I16,"")))</f>
        <v/>
      </c>
      <c r="CN16" s="629">
        <f t="shared" ca="1" si="34"/>
        <v>100012</v>
      </c>
      <c r="CO16" s="627">
        <f t="shared" ca="1" si="35"/>
        <v>100015</v>
      </c>
      <c r="CP16" s="628">
        <f ca="1">IF(CR16="",99999,'Finals 4'!$D16)</f>
        <v>99999</v>
      </c>
      <c r="CQ16" s="293" t="str">
        <f ca="1">IF(CR16="","",'Finals 4'!$E16)</f>
        <v/>
      </c>
      <c r="CR16" s="294" t="str">
        <f ca="1">IF($C$84="","",IF('Finals 4'!$I16=$C$84,'Finals 4'!$K16,IF('Finals 4'!$K16=$C$84,'Finals 4'!$I16,"")))</f>
        <v/>
      </c>
      <c r="CS16" s="629">
        <f t="shared" ca="1" si="36"/>
        <v>100012</v>
      </c>
      <c r="CT16" s="627">
        <f t="shared" si="37"/>
        <v>100015</v>
      </c>
      <c r="CU16" s="628">
        <f>IF(CW16="",99999,'Finals 4'!$D16)</f>
        <v>99999</v>
      </c>
      <c r="CV16" s="293" t="str">
        <f>IF(CW16="","",'Finals 4'!$E16)</f>
        <v/>
      </c>
      <c r="CW16" s="294" t="str">
        <f>IF($C$89="","",IF('Finals 4'!$I16=$C$89,'Finals 4'!$K16,IF('Finals 4'!$K16=$C$89,'Finals 4'!$I16,"")))</f>
        <v/>
      </c>
      <c r="CX16" s="629">
        <f t="shared" si="38"/>
        <v>100015</v>
      </c>
    </row>
    <row r="17" spans="2:102" ht="15.95" customHeight="1" thickBot="1" x14ac:dyDescent="0.25">
      <c r="E17" s="617">
        <f ca="1">IF($AA$14&lt;99999,INDEX($L$12:$L$36,MATCH($AA$14,$W$12:$W$36,0)),"")</f>
        <v>76</v>
      </c>
      <c r="F17" s="618">
        <f ca="1">IF($AA$14&lt;99999,VLOOKUP($AA$14,$W$12:$Z$36,2,0),"")</f>
        <v>0.8125</v>
      </c>
      <c r="G17" s="619">
        <f ca="1">IF($AA$14&lt;99999,VLOOKUP($AA$14,$W$12:$Z$36,3,0),"")</f>
        <v>4</v>
      </c>
      <c r="H17" s="620" t="str">
        <f ca="1">IF($AA$14&lt;99999,VLOOKUP($AA$14,$W$12:$Z$36,4,0),"")</f>
        <v>AC Roma</v>
      </c>
      <c r="J17" s="602">
        <f t="shared" ca="1" si="39"/>
        <v>0</v>
      </c>
      <c r="K17" s="602" t="str">
        <f t="shared" ca="1" si="40"/>
        <v/>
      </c>
      <c r="L17" s="164">
        <f ca="1">'Finals 4'!$C17</f>
        <v>61</v>
      </c>
      <c r="M17" s="627">
        <f t="shared" ca="1" si="3"/>
        <v>17.739583333333332</v>
      </c>
      <c r="N17" s="628">
        <f ca="1">IF(P17="",99999,'Finals 4'!$D17)</f>
        <v>0.73958333333333337</v>
      </c>
      <c r="O17" s="293">
        <f ca="1">IF(P17="","",'Finals 4'!$E17)</f>
        <v>1</v>
      </c>
      <c r="P17" s="294" t="str">
        <f ca="1">IF($C$4="","",IF('Finals 4'!$I17=$C$4,'Finals 4'!$K17,IF('Finals 4'!$K17=$C$4,'Finals 4'!$I17,"")))</f>
        <v>VFL Ronsdorf</v>
      </c>
      <c r="Q17" s="629">
        <f t="shared" ca="1" si="4"/>
        <v>100013</v>
      </c>
      <c r="R17" s="627">
        <f t="shared" ca="1" si="5"/>
        <v>100016</v>
      </c>
      <c r="S17" s="628">
        <f ca="1">IF(U17="",99999,'Finals 4'!$D17)</f>
        <v>99999</v>
      </c>
      <c r="T17" s="293" t="str">
        <f ca="1">IF(U17="","",'Finals 4'!$E17)</f>
        <v/>
      </c>
      <c r="U17" s="294" t="str">
        <f ca="1">IF($C$9="","",IF('Finals 4'!$I17=$C$9,'Finals 4'!$K17,IF('Finals 4'!$K17=$C$9,'Finals 4'!$I17,"")))</f>
        <v/>
      </c>
      <c r="V17" s="629">
        <f t="shared" ca="1" si="6"/>
        <v>100013</v>
      </c>
      <c r="W17" s="627">
        <f t="shared" ca="1" si="7"/>
        <v>100016</v>
      </c>
      <c r="X17" s="628">
        <f ca="1">IF(Z17="",99999,'Finals 4'!$D17)</f>
        <v>99999</v>
      </c>
      <c r="Y17" s="293" t="str">
        <f ca="1">IF(Z17="","",'Finals 4'!$E17)</f>
        <v/>
      </c>
      <c r="Z17" s="294" t="str">
        <f ca="1">IF($C$14="","",IF('Finals 4'!$I17=$C$14,'Finals 4'!$K17,IF('Finals 4'!$K17=$C$14,'Finals 4'!$I17,"")))</f>
        <v/>
      </c>
      <c r="AA17" s="629">
        <f t="shared" ca="1" si="8"/>
        <v>100013</v>
      </c>
      <c r="AB17" s="627">
        <f t="shared" ca="1" si="9"/>
        <v>100016</v>
      </c>
      <c r="AC17" s="628">
        <f ca="1">IF(AE17="",99999,'Finals 4'!$D17)</f>
        <v>99999</v>
      </c>
      <c r="AD17" s="293" t="str">
        <f ca="1">IF(AE17="","",'Finals 4'!$E17)</f>
        <v/>
      </c>
      <c r="AE17" s="294" t="str">
        <f ca="1">IF($C$19="","",IF('Finals 4'!$I17=$C$19,'Finals 4'!$K17,IF('Finals 4'!$K17=$C$19,'Finals 4'!$I17,"")))</f>
        <v/>
      </c>
      <c r="AF17" s="629">
        <f t="shared" ca="1" si="10"/>
        <v>100013</v>
      </c>
      <c r="AG17" s="627">
        <f t="shared" ca="1" si="11"/>
        <v>100016</v>
      </c>
      <c r="AH17" s="628">
        <f ca="1">IF(AJ17="",99999,'Finals 4'!$D17)</f>
        <v>99999</v>
      </c>
      <c r="AI17" s="293" t="str">
        <f ca="1">IF(AJ17="","",'Finals 4'!$E17)</f>
        <v/>
      </c>
      <c r="AJ17" s="294" t="str">
        <f ca="1">IF($C$24="","",IF('Finals 4'!$I17=$C$24,'Finals 4'!$K17,IF('Finals 4'!$K17=$C$24,'Finals 4'!$I17,"")))</f>
        <v/>
      </c>
      <c r="AK17" s="629">
        <f t="shared" ca="1" si="12"/>
        <v>100014</v>
      </c>
      <c r="AL17" s="627">
        <f t="shared" ca="1" si="13"/>
        <v>100016</v>
      </c>
      <c r="AM17" s="628">
        <f ca="1">IF(AO17="",99999,'Finals 4'!$D17)</f>
        <v>99999</v>
      </c>
      <c r="AN17" s="293" t="str">
        <f ca="1">IF(AO17="","",'Finals 4'!$E17)</f>
        <v/>
      </c>
      <c r="AO17" s="294" t="str">
        <f ca="1">IF($C$29="","",IF('Finals 4'!$I17=$C$29,'Finals 4'!$K17,IF('Finals 4'!$K17=$C$29,'Finals 4'!$I17,"")))</f>
        <v/>
      </c>
      <c r="AP17" s="629">
        <f t="shared" ca="1" si="14"/>
        <v>100013</v>
      </c>
      <c r="AQ17" s="627">
        <f t="shared" ca="1" si="15"/>
        <v>100016</v>
      </c>
      <c r="AR17" s="628">
        <f ca="1">IF(AT17="",99999,'Finals 4'!$D17)</f>
        <v>99999</v>
      </c>
      <c r="AS17" s="293" t="str">
        <f ca="1">IF(AT17="","",'Finals 4'!$E17)</f>
        <v/>
      </c>
      <c r="AT17" s="294" t="str">
        <f ca="1">IF($C$34="","",IF('Finals 4'!$I17=$C$34,'Finals 4'!$K17,IF('Finals 4'!$K17=$C$34,'Finals 4'!$I17,"")))</f>
        <v/>
      </c>
      <c r="AU17" s="629">
        <f t="shared" ca="1" si="16"/>
        <v>100013</v>
      </c>
      <c r="AV17" s="627">
        <f t="shared" ca="1" si="17"/>
        <v>100016</v>
      </c>
      <c r="AW17" s="628">
        <f ca="1">IF(AY17="",99999,'Finals 4'!$D17)</f>
        <v>99999</v>
      </c>
      <c r="AX17" s="293" t="str">
        <f ca="1">IF(AY17="","",'Finals 4'!$E17)</f>
        <v/>
      </c>
      <c r="AY17" s="294" t="str">
        <f ca="1">IF($C$39="","",IF('Finals 4'!$I17=$C$39,'Finals 4'!$K17,IF('Finals 4'!$K17=$C$39,'Finals 4'!$I17,"")))</f>
        <v/>
      </c>
      <c r="AZ17" s="629">
        <f t="shared" ca="1" si="18"/>
        <v>100014</v>
      </c>
      <c r="BA17" s="627">
        <f t="shared" si="19"/>
        <v>100016</v>
      </c>
      <c r="BB17" s="628">
        <f>IF(BD17="",99999,'Finals 4'!$D17)</f>
        <v>99999</v>
      </c>
      <c r="BC17" s="293" t="str">
        <f>IF(BD17="","",'Finals 4'!$E17)</f>
        <v/>
      </c>
      <c r="BD17" s="294" t="str">
        <f>IF($C$44="","",IF('Finals 4'!$I17=$C$44,'Finals 4'!$K17,IF('Finals 4'!$K17=$C$44,'Finals 4'!$I17,"")))</f>
        <v/>
      </c>
      <c r="BE17" s="629">
        <f t="shared" si="20"/>
        <v>100016</v>
      </c>
      <c r="BF17" s="627">
        <f t="shared" ca="1" si="21"/>
        <v>100016</v>
      </c>
      <c r="BG17" s="628">
        <f ca="1">IF(BI17="",99999,'Finals 4'!$D17)</f>
        <v>99999</v>
      </c>
      <c r="BH17" s="293" t="str">
        <f ca="1">IF(BI17="","",'Finals 4'!$E17)</f>
        <v/>
      </c>
      <c r="BI17" s="294" t="str">
        <f ca="1">IF($C$49="","",IF('Finals 4'!$I17=$C$49,'Finals 4'!$K17,IF('Finals 4'!$K17=$C$49,'Finals 4'!$I17,"")))</f>
        <v/>
      </c>
      <c r="BJ17" s="629">
        <f t="shared" ca="1" si="22"/>
        <v>100013</v>
      </c>
      <c r="BK17" s="627">
        <f t="shared" ca="1" si="23"/>
        <v>100016</v>
      </c>
      <c r="BL17" s="628">
        <f ca="1">IF(BN17="",99999,'Finals 4'!$D17)</f>
        <v>99999</v>
      </c>
      <c r="BM17" s="293" t="str">
        <f ca="1">IF(BN17="","",'Finals 4'!$E17)</f>
        <v/>
      </c>
      <c r="BN17" s="294" t="str">
        <f ca="1">IF($C$54="","",IF('Finals 4'!$I17=$C$54,'Finals 4'!$K17,IF('Finals 4'!$K17=$C$54,'Finals 4'!$I17,"")))</f>
        <v/>
      </c>
      <c r="BO17" s="629">
        <f t="shared" ca="1" si="24"/>
        <v>100013</v>
      </c>
      <c r="BP17" s="627">
        <f t="shared" ca="1" si="25"/>
        <v>100016</v>
      </c>
      <c r="BQ17" s="628">
        <f ca="1">IF(BS17="",99999,'Finals 4'!$D17)</f>
        <v>99999</v>
      </c>
      <c r="BR17" s="293" t="str">
        <f ca="1">IF(BS17="","",'Finals 4'!$E17)</f>
        <v/>
      </c>
      <c r="BS17" s="294" t="str">
        <f ca="1">IF($C$59="","",IF('Finals 4'!$I17=$C$59,'Finals 4'!$K17,IF('Finals 4'!$K17=$C$59,'Finals 4'!$I17,"")))</f>
        <v/>
      </c>
      <c r="BT17" s="629">
        <f t="shared" ca="1" si="26"/>
        <v>100014</v>
      </c>
      <c r="BU17" s="627">
        <f t="shared" ca="1" si="27"/>
        <v>100016</v>
      </c>
      <c r="BV17" s="628">
        <f ca="1">IF(BX17="",99999,'Finals 4'!$D17)</f>
        <v>99999</v>
      </c>
      <c r="BW17" s="293" t="str">
        <f ca="1">IF(BX17="","",'Finals 4'!$E17)</f>
        <v/>
      </c>
      <c r="BX17" s="294" t="str">
        <f ca="1">IF($C$64="","",IF('Finals 4'!$I17=$C$64,'Finals 4'!$K17,IF('Finals 4'!$K17=$C$64,'Finals 4'!$I17,"")))</f>
        <v/>
      </c>
      <c r="BY17" s="629">
        <f t="shared" ca="1" si="28"/>
        <v>100013</v>
      </c>
      <c r="BZ17" s="627">
        <f t="shared" ca="1" si="29"/>
        <v>100016</v>
      </c>
      <c r="CA17" s="628">
        <f ca="1">IF(CC17="",99999,'Finals 4'!$D17)</f>
        <v>99999</v>
      </c>
      <c r="CB17" s="293" t="str">
        <f ca="1">IF(CC17="","",'Finals 4'!$E17)</f>
        <v/>
      </c>
      <c r="CC17" s="294" t="str">
        <f ca="1">IF($C$69="","",IF('Finals 4'!$I17=$C$69,'Finals 4'!$K17,IF('Finals 4'!$K17=$C$69,'Finals 4'!$I17,"")))</f>
        <v/>
      </c>
      <c r="CD17" s="629">
        <f t="shared" ca="1" si="30"/>
        <v>100014</v>
      </c>
      <c r="CE17" s="627">
        <f t="shared" ca="1" si="31"/>
        <v>100016</v>
      </c>
      <c r="CF17" s="628">
        <f ca="1">IF(CH17="",99999,'Finals 4'!$D17)</f>
        <v>99999</v>
      </c>
      <c r="CG17" s="293" t="str">
        <f ca="1">IF(CH17="","",'Finals 4'!$E17)</f>
        <v/>
      </c>
      <c r="CH17" s="294" t="str">
        <f ca="1">IF($C$74="","",IF('Finals 4'!$I17=$C$74,'Finals 4'!$K17,IF('Finals 4'!$K17=$C$74,'Finals 4'!$I17,"")))</f>
        <v/>
      </c>
      <c r="CI17" s="629">
        <f t="shared" ca="1" si="32"/>
        <v>100013</v>
      </c>
      <c r="CJ17" s="627">
        <f t="shared" ca="1" si="33"/>
        <v>17.739583333333332</v>
      </c>
      <c r="CK17" s="628">
        <f ca="1">IF(CM17="",99999,'Finals 4'!$D17)</f>
        <v>0.73958333333333337</v>
      </c>
      <c r="CL17" s="293">
        <f ca="1">IF(CM17="","",'Finals 4'!$E17)</f>
        <v>1</v>
      </c>
      <c r="CM17" s="294" t="str">
        <f ca="1">IF($C$79="","",IF('Finals 4'!$I17=$C$79,'Finals 4'!$K17,IF('Finals 4'!$K17=$C$79,'Finals 4'!$I17,"")))</f>
        <v>1. FC Riedwald</v>
      </c>
      <c r="CN17" s="629">
        <f t="shared" ca="1" si="34"/>
        <v>100013</v>
      </c>
      <c r="CO17" s="627">
        <f t="shared" ca="1" si="35"/>
        <v>100016</v>
      </c>
      <c r="CP17" s="628">
        <f ca="1">IF(CR17="",99999,'Finals 4'!$D17)</f>
        <v>99999</v>
      </c>
      <c r="CQ17" s="293" t="str">
        <f ca="1">IF(CR17="","",'Finals 4'!$E17)</f>
        <v/>
      </c>
      <c r="CR17" s="294" t="str">
        <f ca="1">IF($C$84="","",IF('Finals 4'!$I17=$C$84,'Finals 4'!$K17,IF('Finals 4'!$K17=$C$84,'Finals 4'!$I17,"")))</f>
        <v/>
      </c>
      <c r="CS17" s="629">
        <f t="shared" ca="1" si="36"/>
        <v>100013</v>
      </c>
      <c r="CT17" s="627">
        <f t="shared" si="37"/>
        <v>100016</v>
      </c>
      <c r="CU17" s="628">
        <f>IF(CW17="",99999,'Finals 4'!$D17)</f>
        <v>99999</v>
      </c>
      <c r="CV17" s="293" t="str">
        <f>IF(CW17="","",'Finals 4'!$E17)</f>
        <v/>
      </c>
      <c r="CW17" s="294" t="str">
        <f>IF($C$89="","",IF('Finals 4'!$I17=$C$89,'Finals 4'!$K17,IF('Finals 4'!$K17=$C$89,'Finals 4'!$I17,"")))</f>
        <v/>
      </c>
      <c r="CX17" s="629">
        <f t="shared" si="38"/>
        <v>100016</v>
      </c>
    </row>
    <row r="18" spans="2:102" ht="30" customHeight="1" thickBot="1" x14ac:dyDescent="0.25">
      <c r="J18" s="602">
        <f t="shared" ca="1" si="39"/>
        <v>0</v>
      </c>
      <c r="L18" s="164">
        <f ca="1">'Finals 4'!$C18</f>
        <v>62</v>
      </c>
      <c r="M18" s="627">
        <f t="shared" ca="1" si="3"/>
        <v>100017</v>
      </c>
      <c r="N18" s="628">
        <f ca="1">IF(P18="",99999,'Finals 4'!$D18)</f>
        <v>99999</v>
      </c>
      <c r="O18" s="293" t="str">
        <f ca="1">IF(P18="","",'Finals 4'!$E18)</f>
        <v/>
      </c>
      <c r="P18" s="294" t="str">
        <f ca="1">IF($C$4="","",IF('Finals 4'!$I18=$C$4,'Finals 4'!$K18,IF('Finals 4'!$K18=$C$4,'Finals 4'!$I18,"")))</f>
        <v/>
      </c>
      <c r="Q18" s="629">
        <f t="shared" ca="1" si="4"/>
        <v>100014</v>
      </c>
      <c r="R18" s="627">
        <f t="shared" ca="1" si="5"/>
        <v>100017</v>
      </c>
      <c r="S18" s="628">
        <f ca="1">IF(U18="",99999,'Finals 4'!$D18)</f>
        <v>99999</v>
      </c>
      <c r="T18" s="293" t="str">
        <f ca="1">IF(U18="","",'Finals 4'!$E18)</f>
        <v/>
      </c>
      <c r="U18" s="294" t="str">
        <f ca="1">IF($C$9="","",IF('Finals 4'!$I18=$C$9,'Finals 4'!$K18,IF('Finals 4'!$K18=$C$9,'Finals 4'!$I18,"")))</f>
        <v/>
      </c>
      <c r="V18" s="629">
        <f t="shared" ca="1" si="6"/>
        <v>100014</v>
      </c>
      <c r="W18" s="627">
        <f t="shared" ca="1" si="7"/>
        <v>100017</v>
      </c>
      <c r="X18" s="628">
        <f ca="1">IF(Z18="",99999,'Finals 4'!$D18)</f>
        <v>99999</v>
      </c>
      <c r="Y18" s="293" t="str">
        <f ca="1">IF(Z18="","",'Finals 4'!$E18)</f>
        <v/>
      </c>
      <c r="Z18" s="294" t="str">
        <f ca="1">IF($C$14="","",IF('Finals 4'!$I18=$C$14,'Finals 4'!$K18,IF('Finals 4'!$K18=$C$14,'Finals 4'!$I18,"")))</f>
        <v/>
      </c>
      <c r="AA18" s="629">
        <f t="shared" ca="1" si="8"/>
        <v>100014</v>
      </c>
      <c r="AB18" s="627">
        <f t="shared" ca="1" si="9"/>
        <v>18.739583333333332</v>
      </c>
      <c r="AC18" s="628">
        <f ca="1">IF(AE18="",99999,'Finals 4'!$D18)</f>
        <v>0.73958333333333337</v>
      </c>
      <c r="AD18" s="293">
        <f ca="1">IF(AE18="","",'Finals 4'!$E18)</f>
        <v>2</v>
      </c>
      <c r="AE18" s="294" t="str">
        <f ca="1">IF($C$19="","",IF('Finals 4'!$I18=$C$19,'Finals 4'!$K18,IF('Finals 4'!$K18=$C$19,'Finals 4'!$I18,"")))</f>
        <v>Borussia Heine</v>
      </c>
      <c r="AF18" s="629">
        <f t="shared" ca="1" si="10"/>
        <v>100014</v>
      </c>
      <c r="AG18" s="627">
        <f t="shared" ca="1" si="11"/>
        <v>100017</v>
      </c>
      <c r="AH18" s="628">
        <f ca="1">IF(AJ18="",99999,'Finals 4'!$D18)</f>
        <v>99999</v>
      </c>
      <c r="AI18" s="293" t="str">
        <f ca="1">IF(AJ18="","",'Finals 4'!$E18)</f>
        <v/>
      </c>
      <c r="AJ18" s="294" t="str">
        <f ca="1">IF($C$24="","",IF('Finals 4'!$I18=$C$24,'Finals 4'!$K18,IF('Finals 4'!$K18=$C$24,'Finals 4'!$I18,"")))</f>
        <v/>
      </c>
      <c r="AK18" s="629">
        <f t="shared" ca="1" si="12"/>
        <v>100015</v>
      </c>
      <c r="AL18" s="627">
        <f t="shared" ca="1" si="13"/>
        <v>100017</v>
      </c>
      <c r="AM18" s="628">
        <f ca="1">IF(AO18="",99999,'Finals 4'!$D18)</f>
        <v>99999</v>
      </c>
      <c r="AN18" s="293" t="str">
        <f ca="1">IF(AO18="","",'Finals 4'!$E18)</f>
        <v/>
      </c>
      <c r="AO18" s="294" t="str">
        <f ca="1">IF($C$29="","",IF('Finals 4'!$I18=$C$29,'Finals 4'!$K18,IF('Finals 4'!$K18=$C$29,'Finals 4'!$I18,"")))</f>
        <v/>
      </c>
      <c r="AP18" s="629">
        <f t="shared" ca="1" si="14"/>
        <v>100014</v>
      </c>
      <c r="AQ18" s="627">
        <f t="shared" ca="1" si="15"/>
        <v>100017</v>
      </c>
      <c r="AR18" s="628">
        <f ca="1">IF(AT18="",99999,'Finals 4'!$D18)</f>
        <v>99999</v>
      </c>
      <c r="AS18" s="293" t="str">
        <f ca="1">IF(AT18="","",'Finals 4'!$E18)</f>
        <v/>
      </c>
      <c r="AT18" s="294" t="str">
        <f ca="1">IF($C$34="","",IF('Finals 4'!$I18=$C$34,'Finals 4'!$K18,IF('Finals 4'!$K18=$C$34,'Finals 4'!$I18,"")))</f>
        <v/>
      </c>
      <c r="AU18" s="629">
        <f t="shared" ca="1" si="16"/>
        <v>100015</v>
      </c>
      <c r="AV18" s="627">
        <f t="shared" ca="1" si="17"/>
        <v>100017</v>
      </c>
      <c r="AW18" s="628">
        <f ca="1">IF(AY18="",99999,'Finals 4'!$D18)</f>
        <v>99999</v>
      </c>
      <c r="AX18" s="293" t="str">
        <f ca="1">IF(AY18="","",'Finals 4'!$E18)</f>
        <v/>
      </c>
      <c r="AY18" s="294" t="str">
        <f ca="1">IF($C$39="","",IF('Finals 4'!$I18=$C$39,'Finals 4'!$K18,IF('Finals 4'!$K18=$C$39,'Finals 4'!$I18,"")))</f>
        <v/>
      </c>
      <c r="AZ18" s="629">
        <f t="shared" ca="1" si="18"/>
        <v>100015</v>
      </c>
      <c r="BA18" s="627">
        <f t="shared" si="19"/>
        <v>100017</v>
      </c>
      <c r="BB18" s="628">
        <f>IF(BD18="",99999,'Finals 4'!$D18)</f>
        <v>99999</v>
      </c>
      <c r="BC18" s="293" t="str">
        <f>IF(BD18="","",'Finals 4'!$E18)</f>
        <v/>
      </c>
      <c r="BD18" s="294" t="str">
        <f>IF($C$44="","",IF('Finals 4'!$I18=$C$44,'Finals 4'!$K18,IF('Finals 4'!$K18=$C$44,'Finals 4'!$I18,"")))</f>
        <v/>
      </c>
      <c r="BE18" s="629">
        <f t="shared" si="20"/>
        <v>100017</v>
      </c>
      <c r="BF18" s="627">
        <f t="shared" ca="1" si="21"/>
        <v>100017</v>
      </c>
      <c r="BG18" s="628">
        <f ca="1">IF(BI18="",99999,'Finals 4'!$D18)</f>
        <v>99999</v>
      </c>
      <c r="BH18" s="293" t="str">
        <f ca="1">IF(BI18="","",'Finals 4'!$E18)</f>
        <v/>
      </c>
      <c r="BI18" s="294" t="str">
        <f ca="1">IF($C$49="","",IF('Finals 4'!$I18=$C$49,'Finals 4'!$K18,IF('Finals 4'!$K18=$C$49,'Finals 4'!$I18,"")))</f>
        <v/>
      </c>
      <c r="BJ18" s="629">
        <f t="shared" ca="1" si="22"/>
        <v>100015</v>
      </c>
      <c r="BK18" s="627">
        <f t="shared" ca="1" si="23"/>
        <v>100017</v>
      </c>
      <c r="BL18" s="628">
        <f ca="1">IF(BN18="",99999,'Finals 4'!$D18)</f>
        <v>99999</v>
      </c>
      <c r="BM18" s="293" t="str">
        <f ca="1">IF(BN18="","",'Finals 4'!$E18)</f>
        <v/>
      </c>
      <c r="BN18" s="294" t="str">
        <f ca="1">IF($C$54="","",IF('Finals 4'!$I18=$C$54,'Finals 4'!$K18,IF('Finals 4'!$K18=$C$54,'Finals 4'!$I18,"")))</f>
        <v/>
      </c>
      <c r="BO18" s="629">
        <f t="shared" ca="1" si="24"/>
        <v>100014</v>
      </c>
      <c r="BP18" s="627">
        <f t="shared" ca="1" si="25"/>
        <v>100017</v>
      </c>
      <c r="BQ18" s="628">
        <f ca="1">IF(BS18="",99999,'Finals 4'!$D18)</f>
        <v>99999</v>
      </c>
      <c r="BR18" s="293" t="str">
        <f ca="1">IF(BS18="","",'Finals 4'!$E18)</f>
        <v/>
      </c>
      <c r="BS18" s="294" t="str">
        <f ca="1">IF($C$59="","",IF('Finals 4'!$I18=$C$59,'Finals 4'!$K18,IF('Finals 4'!$K18=$C$59,'Finals 4'!$I18,"")))</f>
        <v/>
      </c>
      <c r="BT18" s="629">
        <f t="shared" ca="1" si="26"/>
        <v>100015</v>
      </c>
      <c r="BU18" s="627">
        <f t="shared" ca="1" si="27"/>
        <v>100017</v>
      </c>
      <c r="BV18" s="628">
        <f ca="1">IF(BX18="",99999,'Finals 4'!$D18)</f>
        <v>99999</v>
      </c>
      <c r="BW18" s="293" t="str">
        <f ca="1">IF(BX18="","",'Finals 4'!$E18)</f>
        <v/>
      </c>
      <c r="BX18" s="294" t="str">
        <f ca="1">IF($C$64="","",IF('Finals 4'!$I18=$C$64,'Finals 4'!$K18,IF('Finals 4'!$K18=$C$64,'Finals 4'!$I18,"")))</f>
        <v/>
      </c>
      <c r="BY18" s="629">
        <f t="shared" ca="1" si="28"/>
        <v>100014</v>
      </c>
      <c r="BZ18" s="627">
        <f t="shared" ca="1" si="29"/>
        <v>100017</v>
      </c>
      <c r="CA18" s="628">
        <f ca="1">IF(CC18="",99999,'Finals 4'!$D18)</f>
        <v>99999</v>
      </c>
      <c r="CB18" s="293" t="str">
        <f ca="1">IF(CC18="","",'Finals 4'!$E18)</f>
        <v/>
      </c>
      <c r="CC18" s="294" t="str">
        <f ca="1">IF($C$69="","",IF('Finals 4'!$I18=$C$69,'Finals 4'!$K18,IF('Finals 4'!$K18=$C$69,'Finals 4'!$I18,"")))</f>
        <v/>
      </c>
      <c r="CD18" s="629">
        <f t="shared" ca="1" si="30"/>
        <v>100015</v>
      </c>
      <c r="CE18" s="627">
        <f t="shared" ca="1" si="31"/>
        <v>100017</v>
      </c>
      <c r="CF18" s="628">
        <f ca="1">IF(CH18="",99999,'Finals 4'!$D18)</f>
        <v>99999</v>
      </c>
      <c r="CG18" s="293" t="str">
        <f ca="1">IF(CH18="","",'Finals 4'!$E18)</f>
        <v/>
      </c>
      <c r="CH18" s="294" t="str">
        <f ca="1">IF($C$74="","",IF('Finals 4'!$I18=$C$74,'Finals 4'!$K18,IF('Finals 4'!$K18=$C$74,'Finals 4'!$I18,"")))</f>
        <v/>
      </c>
      <c r="CI18" s="629">
        <f t="shared" ca="1" si="32"/>
        <v>100014</v>
      </c>
      <c r="CJ18" s="627">
        <f t="shared" ca="1" si="33"/>
        <v>100017</v>
      </c>
      <c r="CK18" s="628">
        <f ca="1">IF(CM18="",99999,'Finals 4'!$D18)</f>
        <v>99999</v>
      </c>
      <c r="CL18" s="293" t="str">
        <f ca="1">IF(CM18="","",'Finals 4'!$E18)</f>
        <v/>
      </c>
      <c r="CM18" s="294" t="str">
        <f ca="1">IF($C$79="","",IF('Finals 4'!$I18=$C$79,'Finals 4'!$K18,IF('Finals 4'!$K18=$C$79,'Finals 4'!$I18,"")))</f>
        <v/>
      </c>
      <c r="CN18" s="629">
        <f t="shared" ca="1" si="34"/>
        <v>100014</v>
      </c>
      <c r="CO18" s="627">
        <f t="shared" ca="1" si="35"/>
        <v>18.739583333333332</v>
      </c>
      <c r="CP18" s="628">
        <f ca="1">IF(CR18="",99999,'Finals 4'!$D18)</f>
        <v>0.73958333333333337</v>
      </c>
      <c r="CQ18" s="293">
        <f ca="1">IF(CR18="","",'Finals 4'!$E18)</f>
        <v>2</v>
      </c>
      <c r="CR18" s="294" t="str">
        <f ca="1">IF($C$84="","",IF('Finals 4'!$I18=$C$84,'Finals 4'!$K18,IF('Finals 4'!$K18=$C$84,'Finals 4'!$I18,"")))</f>
        <v>Maibach 1822 eV</v>
      </c>
      <c r="CS18" s="629">
        <f t="shared" ca="1" si="36"/>
        <v>100014</v>
      </c>
      <c r="CT18" s="627">
        <f t="shared" si="37"/>
        <v>100017</v>
      </c>
      <c r="CU18" s="628">
        <f>IF(CW18="",99999,'Finals 4'!$D18)</f>
        <v>99999</v>
      </c>
      <c r="CV18" s="293" t="str">
        <f>IF(CW18="","",'Finals 4'!$E18)</f>
        <v/>
      </c>
      <c r="CW18" s="294" t="str">
        <f>IF($C$89="","",IF('Finals 4'!$I18=$C$89,'Finals 4'!$K18,IF('Finals 4'!$K18=$C$89,'Finals 4'!$I18,"")))</f>
        <v/>
      </c>
      <c r="CX18" s="629">
        <f t="shared" si="38"/>
        <v>100017</v>
      </c>
    </row>
    <row r="19" spans="2:102" ht="15.95" customHeight="1" x14ac:dyDescent="0.2">
      <c r="B19" s="604" t="s">
        <v>212</v>
      </c>
      <c r="C19" s="605" t="str">
        <f>IF(Planning!$C$13="","",Planning!$C$13)</f>
        <v>Maibach 1822 eV</v>
      </c>
      <c r="E19" s="606" t="str">
        <f>Language!$E$69</f>
        <v>Match No.</v>
      </c>
      <c r="F19" s="607" t="str">
        <f>Language!$E$39</f>
        <v>Start</v>
      </c>
      <c r="G19" s="608" t="str">
        <f>Language!$E$48</f>
        <v>Field</v>
      </c>
      <c r="H19" s="609" t="str">
        <f>Language!$E$46</f>
        <v>Match against</v>
      </c>
      <c r="J19" s="602">
        <f t="shared" ca="1" si="39"/>
        <v>0</v>
      </c>
      <c r="L19" s="164">
        <f ca="1">'Finals 4'!$C19</f>
        <v>63</v>
      </c>
      <c r="M19" s="627">
        <f t="shared" ca="1" si="3"/>
        <v>100018</v>
      </c>
      <c r="N19" s="628">
        <f ca="1">IF(P19="",99999,'Finals 4'!$D19)</f>
        <v>99999</v>
      </c>
      <c r="O19" s="293" t="str">
        <f ca="1">IF(P19="","",'Finals 4'!$E19)</f>
        <v/>
      </c>
      <c r="P19" s="294" t="str">
        <f ca="1">IF($C$4="","",IF('Finals 4'!$I19=$C$4,'Finals 4'!$K19,IF('Finals 4'!$K19=$C$4,'Finals 4'!$I19,"")))</f>
        <v/>
      </c>
      <c r="Q19" s="629">
        <f t="shared" ca="1" si="4"/>
        <v>100015</v>
      </c>
      <c r="R19" s="627">
        <f t="shared" ca="1" si="5"/>
        <v>100018</v>
      </c>
      <c r="S19" s="628">
        <f ca="1">IF(U19="",99999,'Finals 4'!$D19)</f>
        <v>99999</v>
      </c>
      <c r="T19" s="293" t="str">
        <f ca="1">IF(U19="","",'Finals 4'!$E19)</f>
        <v/>
      </c>
      <c r="U19" s="294" t="str">
        <f ca="1">IF($C$9="","",IF('Finals 4'!$I19=$C$9,'Finals 4'!$K19,IF('Finals 4'!$K19=$C$9,'Finals 4'!$I19,"")))</f>
        <v/>
      </c>
      <c r="V19" s="629">
        <f t="shared" ca="1" si="6"/>
        <v>100016</v>
      </c>
      <c r="W19" s="627">
        <f t="shared" ca="1" si="7"/>
        <v>100018</v>
      </c>
      <c r="X19" s="628">
        <f ca="1">IF(Z19="",99999,'Finals 4'!$D19)</f>
        <v>99999</v>
      </c>
      <c r="Y19" s="293" t="str">
        <f ca="1">IF(Z19="","",'Finals 4'!$E19)</f>
        <v/>
      </c>
      <c r="Z19" s="294" t="str">
        <f ca="1">IF($C$14="","",IF('Finals 4'!$I19=$C$14,'Finals 4'!$K19,IF('Finals 4'!$K19=$C$14,'Finals 4'!$I19,"")))</f>
        <v/>
      </c>
      <c r="AA19" s="629">
        <f t="shared" ca="1" si="8"/>
        <v>100015</v>
      </c>
      <c r="AB19" s="627">
        <f t="shared" ca="1" si="9"/>
        <v>100018</v>
      </c>
      <c r="AC19" s="628">
        <f ca="1">IF(AE19="",99999,'Finals 4'!$D19)</f>
        <v>99999</v>
      </c>
      <c r="AD19" s="293" t="str">
        <f ca="1">IF(AE19="","",'Finals 4'!$E19)</f>
        <v/>
      </c>
      <c r="AE19" s="294" t="str">
        <f ca="1">IF($C$19="","",IF('Finals 4'!$I19=$C$19,'Finals 4'!$K19,IF('Finals 4'!$K19=$C$19,'Finals 4'!$I19,"")))</f>
        <v/>
      </c>
      <c r="AF19" s="629">
        <f t="shared" ca="1" si="10"/>
        <v>100015</v>
      </c>
      <c r="AG19" s="627">
        <f t="shared" ca="1" si="11"/>
        <v>100018</v>
      </c>
      <c r="AH19" s="628">
        <f ca="1">IF(AJ19="",99999,'Finals 4'!$D19)</f>
        <v>99999</v>
      </c>
      <c r="AI19" s="293" t="str">
        <f ca="1">IF(AJ19="","",'Finals 4'!$E19)</f>
        <v/>
      </c>
      <c r="AJ19" s="294" t="str">
        <f ca="1">IF($C$24="","",IF('Finals 4'!$I19=$C$24,'Finals 4'!$K19,IF('Finals 4'!$K19=$C$24,'Finals 4'!$I19,"")))</f>
        <v/>
      </c>
      <c r="AK19" s="629">
        <f t="shared" ca="1" si="12"/>
        <v>100016</v>
      </c>
      <c r="AL19" s="627">
        <f t="shared" ca="1" si="13"/>
        <v>19.739583333333332</v>
      </c>
      <c r="AM19" s="628">
        <f ca="1">IF(AO19="",99999,'Finals 4'!$D19)</f>
        <v>0.73958333333333337</v>
      </c>
      <c r="AN19" s="293">
        <f ca="1">IF(AO19="","",'Finals 4'!$E19)</f>
        <v>3</v>
      </c>
      <c r="AO19" s="294" t="str">
        <f ca="1">IF($C$29="","",IF('Finals 4'!$I19=$C$29,'Finals 4'!$K19,IF('Finals 4'!$K19=$C$29,'Finals 4'!$I19,"")))</f>
        <v>Inter Mailand</v>
      </c>
      <c r="AP19" s="629">
        <f t="shared" ca="1" si="14"/>
        <v>100015</v>
      </c>
      <c r="AQ19" s="627">
        <f t="shared" ca="1" si="15"/>
        <v>100018</v>
      </c>
      <c r="AR19" s="628">
        <f ca="1">IF(AT19="",99999,'Finals 4'!$D19)</f>
        <v>99999</v>
      </c>
      <c r="AS19" s="293" t="str">
        <f ca="1">IF(AT19="","",'Finals 4'!$E19)</f>
        <v/>
      </c>
      <c r="AT19" s="294" t="str">
        <f ca="1">IF($C$34="","",IF('Finals 4'!$I19=$C$34,'Finals 4'!$K19,IF('Finals 4'!$K19=$C$34,'Finals 4'!$I19,"")))</f>
        <v/>
      </c>
      <c r="AU19" s="629">
        <f t="shared" ca="1" si="16"/>
        <v>100016</v>
      </c>
      <c r="AV19" s="627">
        <f t="shared" ca="1" si="17"/>
        <v>100018</v>
      </c>
      <c r="AW19" s="628">
        <f ca="1">IF(AY19="",99999,'Finals 4'!$D19)</f>
        <v>99999</v>
      </c>
      <c r="AX19" s="293" t="str">
        <f ca="1">IF(AY19="","",'Finals 4'!$E19)</f>
        <v/>
      </c>
      <c r="AY19" s="294" t="str">
        <f ca="1">IF($C$39="","",IF('Finals 4'!$I19=$C$39,'Finals 4'!$K19,IF('Finals 4'!$K19=$C$39,'Finals 4'!$I19,"")))</f>
        <v/>
      </c>
      <c r="AZ19" s="629">
        <f t="shared" ca="1" si="18"/>
        <v>100016</v>
      </c>
      <c r="BA19" s="627">
        <f t="shared" si="19"/>
        <v>100018</v>
      </c>
      <c r="BB19" s="628">
        <f>IF(BD19="",99999,'Finals 4'!$D19)</f>
        <v>99999</v>
      </c>
      <c r="BC19" s="293" t="str">
        <f>IF(BD19="","",'Finals 4'!$E19)</f>
        <v/>
      </c>
      <c r="BD19" s="294" t="str">
        <f>IF($C$44="","",IF('Finals 4'!$I19=$C$44,'Finals 4'!$K19,IF('Finals 4'!$K19=$C$44,'Finals 4'!$I19,"")))</f>
        <v/>
      </c>
      <c r="BE19" s="629">
        <f t="shared" si="20"/>
        <v>100018</v>
      </c>
      <c r="BF19" s="627">
        <f t="shared" ca="1" si="21"/>
        <v>100018</v>
      </c>
      <c r="BG19" s="628">
        <f ca="1">IF(BI19="",99999,'Finals 4'!$D19)</f>
        <v>99999</v>
      </c>
      <c r="BH19" s="293" t="str">
        <f ca="1">IF(BI19="","",'Finals 4'!$E19)</f>
        <v/>
      </c>
      <c r="BI19" s="294" t="str">
        <f ca="1">IF($C$49="","",IF('Finals 4'!$I19=$C$49,'Finals 4'!$K19,IF('Finals 4'!$K19=$C$49,'Finals 4'!$I19,"")))</f>
        <v/>
      </c>
      <c r="BJ19" s="629">
        <f t="shared" ca="1" si="22"/>
        <v>100016</v>
      </c>
      <c r="BK19" s="627">
        <f t="shared" ca="1" si="23"/>
        <v>19.739583333333332</v>
      </c>
      <c r="BL19" s="628">
        <f ca="1">IF(BN19="",99999,'Finals 4'!$D19)</f>
        <v>0.73958333333333337</v>
      </c>
      <c r="BM19" s="293">
        <f ca="1">IF(BN19="","",'Finals 4'!$E19)</f>
        <v>3</v>
      </c>
      <c r="BN19" s="294" t="str">
        <f ca="1">IF($C$54="","",IF('Finals 4'!$I19=$C$54,'Finals 4'!$K19,IF('Finals 4'!$K19=$C$54,'Finals 4'!$I19,"")))</f>
        <v>Fun Kickers Oes</v>
      </c>
      <c r="BO19" s="629">
        <f t="shared" ca="1" si="24"/>
        <v>100015</v>
      </c>
      <c r="BP19" s="627">
        <f t="shared" ca="1" si="25"/>
        <v>100018</v>
      </c>
      <c r="BQ19" s="628">
        <f ca="1">IF(BS19="",99999,'Finals 4'!$D19)</f>
        <v>99999</v>
      </c>
      <c r="BR19" s="293" t="str">
        <f ca="1">IF(BS19="","",'Finals 4'!$E19)</f>
        <v/>
      </c>
      <c r="BS19" s="294" t="str">
        <f ca="1">IF($C$59="","",IF('Finals 4'!$I19=$C$59,'Finals 4'!$K19,IF('Finals 4'!$K19=$C$59,'Finals 4'!$I19,"")))</f>
        <v/>
      </c>
      <c r="BT19" s="629">
        <f t="shared" ca="1" si="26"/>
        <v>100016</v>
      </c>
      <c r="BU19" s="627">
        <f t="shared" ca="1" si="27"/>
        <v>100018</v>
      </c>
      <c r="BV19" s="628">
        <f ca="1">IF(BX19="",99999,'Finals 4'!$D19)</f>
        <v>99999</v>
      </c>
      <c r="BW19" s="293" t="str">
        <f ca="1">IF(BX19="","",'Finals 4'!$E19)</f>
        <v/>
      </c>
      <c r="BX19" s="294" t="str">
        <f ca="1">IF($C$64="","",IF('Finals 4'!$I19=$C$64,'Finals 4'!$K19,IF('Finals 4'!$K19=$C$64,'Finals 4'!$I19,"")))</f>
        <v/>
      </c>
      <c r="BY19" s="629">
        <f t="shared" ca="1" si="28"/>
        <v>100015</v>
      </c>
      <c r="BZ19" s="627">
        <f t="shared" ca="1" si="29"/>
        <v>100018</v>
      </c>
      <c r="CA19" s="628">
        <f ca="1">IF(CC19="",99999,'Finals 4'!$D19)</f>
        <v>99999</v>
      </c>
      <c r="CB19" s="293" t="str">
        <f ca="1">IF(CC19="","",'Finals 4'!$E19)</f>
        <v/>
      </c>
      <c r="CC19" s="294" t="str">
        <f ca="1">IF($C$69="","",IF('Finals 4'!$I19=$C$69,'Finals 4'!$K19,IF('Finals 4'!$K19=$C$69,'Finals 4'!$I19,"")))</f>
        <v/>
      </c>
      <c r="CD19" s="629">
        <f t="shared" ca="1" si="30"/>
        <v>100016</v>
      </c>
      <c r="CE19" s="627">
        <f t="shared" ca="1" si="31"/>
        <v>100018</v>
      </c>
      <c r="CF19" s="628">
        <f ca="1">IF(CH19="",99999,'Finals 4'!$D19)</f>
        <v>99999</v>
      </c>
      <c r="CG19" s="293" t="str">
        <f ca="1">IF(CH19="","",'Finals 4'!$E19)</f>
        <v/>
      </c>
      <c r="CH19" s="294" t="str">
        <f ca="1">IF($C$74="","",IF('Finals 4'!$I19=$C$74,'Finals 4'!$K19,IF('Finals 4'!$K19=$C$74,'Finals 4'!$I19,"")))</f>
        <v/>
      </c>
      <c r="CI19" s="629">
        <f t="shared" ca="1" si="32"/>
        <v>100016</v>
      </c>
      <c r="CJ19" s="627">
        <f t="shared" ca="1" si="33"/>
        <v>100018</v>
      </c>
      <c r="CK19" s="628">
        <f ca="1">IF(CM19="",99999,'Finals 4'!$D19)</f>
        <v>99999</v>
      </c>
      <c r="CL19" s="293" t="str">
        <f ca="1">IF(CM19="","",'Finals 4'!$E19)</f>
        <v/>
      </c>
      <c r="CM19" s="294" t="str">
        <f ca="1">IF($C$79="","",IF('Finals 4'!$I19=$C$79,'Finals 4'!$K19,IF('Finals 4'!$K19=$C$79,'Finals 4'!$I19,"")))</f>
        <v/>
      </c>
      <c r="CN19" s="629">
        <f t="shared" ca="1" si="34"/>
        <v>100015</v>
      </c>
      <c r="CO19" s="627">
        <f t="shared" ca="1" si="35"/>
        <v>100018</v>
      </c>
      <c r="CP19" s="628">
        <f ca="1">IF(CR19="",99999,'Finals 4'!$D19)</f>
        <v>99999</v>
      </c>
      <c r="CQ19" s="293" t="str">
        <f ca="1">IF(CR19="","",'Finals 4'!$E19)</f>
        <v/>
      </c>
      <c r="CR19" s="294" t="str">
        <f ca="1">IF($C$84="","",IF('Finals 4'!$I19=$C$84,'Finals 4'!$K19,IF('Finals 4'!$K19=$C$84,'Finals 4'!$I19,"")))</f>
        <v/>
      </c>
      <c r="CS19" s="629">
        <f t="shared" ca="1" si="36"/>
        <v>100015</v>
      </c>
      <c r="CT19" s="627">
        <f t="shared" si="37"/>
        <v>100018</v>
      </c>
      <c r="CU19" s="628">
        <f>IF(CW19="",99999,'Finals 4'!$D19)</f>
        <v>99999</v>
      </c>
      <c r="CV19" s="293" t="str">
        <f>IF(CW19="","",'Finals 4'!$E19)</f>
        <v/>
      </c>
      <c r="CW19" s="294" t="str">
        <f>IF($C$89="","",IF('Finals 4'!$I19=$C$89,'Finals 4'!$K19,IF('Finals 4'!$K19=$C$89,'Finals 4'!$I19,"")))</f>
        <v/>
      </c>
      <c r="CX19" s="629">
        <f t="shared" si="38"/>
        <v>100018</v>
      </c>
    </row>
    <row r="20" spans="2:102" ht="15.95" customHeight="1" x14ac:dyDescent="0.2">
      <c r="E20" s="610">
        <f ca="1">IF($AF$12&lt;99999,INDEX($L$12:$L$36,MATCH($AF$12,$AB$12:$AB$36,0)),"")</f>
        <v>62</v>
      </c>
      <c r="F20" s="611">
        <f ca="1">IF($AF$12&lt;99999,VLOOKUP($AF$12,$AB$12:$AE$36,2,0),"")</f>
        <v>0.73958333333333337</v>
      </c>
      <c r="G20" s="612">
        <f ca="1">IF($AF$12&lt;99999,VLOOKUP($AF$12,$AB$12:$AE$36,3,0),"")</f>
        <v>2</v>
      </c>
      <c r="H20" s="613" t="str">
        <f ca="1">IF($AF$12&lt;99999,VLOOKUP($AF$12,$AB$12:$AE$36,4,0),"")</f>
        <v>Borussia Heine</v>
      </c>
      <c r="J20" s="602">
        <f t="shared" ca="1" si="39"/>
        <v>0</v>
      </c>
      <c r="K20" s="602" t="str">
        <f ca="1">IF(J20=0,"",$C$19)</f>
        <v/>
      </c>
      <c r="L20" s="164">
        <f ca="1">'Finals 4'!$C20</f>
        <v>64</v>
      </c>
      <c r="M20" s="627">
        <f t="shared" ca="1" si="3"/>
        <v>100019</v>
      </c>
      <c r="N20" s="628">
        <f ca="1">IF(P20="",99999,'Finals 4'!$D20)</f>
        <v>99999</v>
      </c>
      <c r="O20" s="293" t="str">
        <f ca="1">IF(P20="","",'Finals 4'!$E20)</f>
        <v/>
      </c>
      <c r="P20" s="294" t="str">
        <f ca="1">IF($C$4="","",IF('Finals 4'!$I20=$C$4,'Finals 4'!$K20,IF('Finals 4'!$K20=$C$4,'Finals 4'!$I20,"")))</f>
        <v/>
      </c>
      <c r="Q20" s="629">
        <f t="shared" ca="1" si="4"/>
        <v>100017</v>
      </c>
      <c r="R20" s="627">
        <f t="shared" ca="1" si="5"/>
        <v>100019</v>
      </c>
      <c r="S20" s="628">
        <f ca="1">IF(U20="",99999,'Finals 4'!$D20)</f>
        <v>99999</v>
      </c>
      <c r="T20" s="293" t="str">
        <f ca="1">IF(U20="","",'Finals 4'!$E20)</f>
        <v/>
      </c>
      <c r="U20" s="294" t="str">
        <f ca="1">IF($C$9="","",IF('Finals 4'!$I20=$C$9,'Finals 4'!$K20,IF('Finals 4'!$K20=$C$9,'Finals 4'!$I20,"")))</f>
        <v/>
      </c>
      <c r="V20" s="629">
        <f t="shared" ca="1" si="6"/>
        <v>100017</v>
      </c>
      <c r="W20" s="627">
        <f t="shared" ca="1" si="7"/>
        <v>20.739583333333332</v>
      </c>
      <c r="X20" s="628">
        <f ca="1">IF(Z20="",99999,'Finals 4'!$D20)</f>
        <v>0.73958333333333337</v>
      </c>
      <c r="Y20" s="293">
        <f ca="1">IF(Z20="","",'Finals 4'!$E20)</f>
        <v>4</v>
      </c>
      <c r="Z20" s="294" t="str">
        <f ca="1">IF($C$14="","",IF('Finals 4'!$I20=$C$14,'Finals 4'!$K20,IF('Finals 4'!$K20=$C$14,'Finals 4'!$I20,"")))</f>
        <v>Manchester City</v>
      </c>
      <c r="AA20" s="629">
        <f t="shared" ca="1" si="8"/>
        <v>100016</v>
      </c>
      <c r="AB20" s="627">
        <f t="shared" ca="1" si="9"/>
        <v>100019</v>
      </c>
      <c r="AC20" s="628">
        <f ca="1">IF(AE20="",99999,'Finals 4'!$D20)</f>
        <v>99999</v>
      </c>
      <c r="AD20" s="293" t="str">
        <f ca="1">IF(AE20="","",'Finals 4'!$E20)</f>
        <v/>
      </c>
      <c r="AE20" s="294" t="str">
        <f ca="1">IF($C$19="","",IF('Finals 4'!$I20=$C$19,'Finals 4'!$K20,IF('Finals 4'!$K20=$C$19,'Finals 4'!$I20,"")))</f>
        <v/>
      </c>
      <c r="AF20" s="629">
        <f t="shared" ca="1" si="10"/>
        <v>100016</v>
      </c>
      <c r="AG20" s="627">
        <f t="shared" ca="1" si="11"/>
        <v>100019</v>
      </c>
      <c r="AH20" s="628">
        <f ca="1">IF(AJ20="",99999,'Finals 4'!$D20)</f>
        <v>99999</v>
      </c>
      <c r="AI20" s="293" t="str">
        <f ca="1">IF(AJ20="","",'Finals 4'!$E20)</f>
        <v/>
      </c>
      <c r="AJ20" s="294" t="str">
        <f ca="1">IF($C$24="","",IF('Finals 4'!$I20=$C$24,'Finals 4'!$K20,IF('Finals 4'!$K20=$C$24,'Finals 4'!$I20,"")))</f>
        <v/>
      </c>
      <c r="AK20" s="629">
        <f t="shared" ca="1" si="12"/>
        <v>100017</v>
      </c>
      <c r="AL20" s="627">
        <f t="shared" ca="1" si="13"/>
        <v>100019</v>
      </c>
      <c r="AM20" s="628">
        <f ca="1">IF(AO20="",99999,'Finals 4'!$D20)</f>
        <v>99999</v>
      </c>
      <c r="AN20" s="293" t="str">
        <f ca="1">IF(AO20="","",'Finals 4'!$E20)</f>
        <v/>
      </c>
      <c r="AO20" s="294" t="str">
        <f ca="1">IF($C$29="","",IF('Finals 4'!$I20=$C$29,'Finals 4'!$K20,IF('Finals 4'!$K20=$C$29,'Finals 4'!$I20,"")))</f>
        <v/>
      </c>
      <c r="AP20" s="629">
        <f t="shared" ca="1" si="14"/>
        <v>100016</v>
      </c>
      <c r="AQ20" s="627">
        <f t="shared" ca="1" si="15"/>
        <v>100019</v>
      </c>
      <c r="AR20" s="628">
        <f ca="1">IF(AT20="",99999,'Finals 4'!$D20)</f>
        <v>99999</v>
      </c>
      <c r="AS20" s="293" t="str">
        <f ca="1">IF(AT20="","",'Finals 4'!$E20)</f>
        <v/>
      </c>
      <c r="AT20" s="294" t="str">
        <f ca="1">IF($C$34="","",IF('Finals 4'!$I20=$C$34,'Finals 4'!$K20,IF('Finals 4'!$K20=$C$34,'Finals 4'!$I20,"")))</f>
        <v/>
      </c>
      <c r="AU20" s="629">
        <f t="shared" ca="1" si="16"/>
        <v>100017</v>
      </c>
      <c r="AV20" s="627">
        <f t="shared" ca="1" si="17"/>
        <v>100019</v>
      </c>
      <c r="AW20" s="628">
        <f ca="1">IF(AY20="",99999,'Finals 4'!$D20)</f>
        <v>99999</v>
      </c>
      <c r="AX20" s="293" t="str">
        <f ca="1">IF(AY20="","",'Finals 4'!$E20)</f>
        <v/>
      </c>
      <c r="AY20" s="294" t="str">
        <f ca="1">IF($C$39="","",IF('Finals 4'!$I20=$C$39,'Finals 4'!$K20,IF('Finals 4'!$K20=$C$39,'Finals 4'!$I20,"")))</f>
        <v/>
      </c>
      <c r="AZ20" s="629">
        <f t="shared" ca="1" si="18"/>
        <v>100017</v>
      </c>
      <c r="BA20" s="627">
        <f t="shared" si="19"/>
        <v>100019</v>
      </c>
      <c r="BB20" s="628">
        <f>IF(BD20="",99999,'Finals 4'!$D20)</f>
        <v>99999</v>
      </c>
      <c r="BC20" s="293" t="str">
        <f>IF(BD20="","",'Finals 4'!$E20)</f>
        <v/>
      </c>
      <c r="BD20" s="294" t="str">
        <f>IF($C$44="","",IF('Finals 4'!$I20=$C$44,'Finals 4'!$K20,IF('Finals 4'!$K20=$C$44,'Finals 4'!$I20,"")))</f>
        <v/>
      </c>
      <c r="BE20" s="629">
        <f t="shared" si="20"/>
        <v>100019</v>
      </c>
      <c r="BF20" s="627">
        <f t="shared" ca="1" si="21"/>
        <v>100019</v>
      </c>
      <c r="BG20" s="628">
        <f ca="1">IF(BI20="",99999,'Finals 4'!$D20)</f>
        <v>99999</v>
      </c>
      <c r="BH20" s="293" t="str">
        <f ca="1">IF(BI20="","",'Finals 4'!$E20)</f>
        <v/>
      </c>
      <c r="BI20" s="294" t="str">
        <f ca="1">IF($C$49="","",IF('Finals 4'!$I20=$C$49,'Finals 4'!$K20,IF('Finals 4'!$K20=$C$49,'Finals 4'!$I20,"")))</f>
        <v/>
      </c>
      <c r="BJ20" s="629">
        <f t="shared" ca="1" si="22"/>
        <v>100017</v>
      </c>
      <c r="BK20" s="627">
        <f t="shared" ca="1" si="23"/>
        <v>100019</v>
      </c>
      <c r="BL20" s="628">
        <f ca="1">IF(BN20="",99999,'Finals 4'!$D20)</f>
        <v>99999</v>
      </c>
      <c r="BM20" s="293" t="str">
        <f ca="1">IF(BN20="","",'Finals 4'!$E20)</f>
        <v/>
      </c>
      <c r="BN20" s="294" t="str">
        <f ca="1">IF($C$54="","",IF('Finals 4'!$I20=$C$54,'Finals 4'!$K20,IF('Finals 4'!$K20=$C$54,'Finals 4'!$I20,"")))</f>
        <v/>
      </c>
      <c r="BO20" s="629">
        <f t="shared" ca="1" si="24"/>
        <v>100016</v>
      </c>
      <c r="BP20" s="627">
        <f t="shared" ca="1" si="25"/>
        <v>100019</v>
      </c>
      <c r="BQ20" s="628">
        <f ca="1">IF(BS20="",99999,'Finals 4'!$D20)</f>
        <v>99999</v>
      </c>
      <c r="BR20" s="293" t="str">
        <f ca="1">IF(BS20="","",'Finals 4'!$E20)</f>
        <v/>
      </c>
      <c r="BS20" s="294" t="str">
        <f ca="1">IF($C$59="","",IF('Finals 4'!$I20=$C$59,'Finals 4'!$K20,IF('Finals 4'!$K20=$C$59,'Finals 4'!$I20,"")))</f>
        <v/>
      </c>
      <c r="BT20" s="629">
        <f t="shared" ca="1" si="26"/>
        <v>100017</v>
      </c>
      <c r="BU20" s="627">
        <f t="shared" ca="1" si="27"/>
        <v>20.739583333333332</v>
      </c>
      <c r="BV20" s="628">
        <f ca="1">IF(BX20="",99999,'Finals 4'!$D20)</f>
        <v>0.73958333333333337</v>
      </c>
      <c r="BW20" s="293">
        <f ca="1">IF(BX20="","",'Finals 4'!$E20)</f>
        <v>4</v>
      </c>
      <c r="BX20" s="294" t="str">
        <f ca="1">IF($C$64="","",IF('Finals 4'!$I20=$C$64,'Finals 4'!$K20,IF('Finals 4'!$K20=$C$64,'Finals 4'!$I20,"")))</f>
        <v>Eintracht Frankfurt</v>
      </c>
      <c r="BY20" s="629">
        <f t="shared" ca="1" si="28"/>
        <v>100016</v>
      </c>
      <c r="BZ20" s="627">
        <f t="shared" ca="1" si="29"/>
        <v>100019</v>
      </c>
      <c r="CA20" s="628">
        <f ca="1">IF(CC20="",99999,'Finals 4'!$D20)</f>
        <v>99999</v>
      </c>
      <c r="CB20" s="293" t="str">
        <f ca="1">IF(CC20="","",'Finals 4'!$E20)</f>
        <v/>
      </c>
      <c r="CC20" s="294" t="str">
        <f ca="1">IF($C$69="","",IF('Finals 4'!$I20=$C$69,'Finals 4'!$K20,IF('Finals 4'!$K20=$C$69,'Finals 4'!$I20,"")))</f>
        <v/>
      </c>
      <c r="CD20" s="629">
        <f t="shared" ca="1" si="30"/>
        <v>100017</v>
      </c>
      <c r="CE20" s="627">
        <f t="shared" ca="1" si="31"/>
        <v>100019</v>
      </c>
      <c r="CF20" s="628">
        <f ca="1">IF(CH20="",99999,'Finals 4'!$D20)</f>
        <v>99999</v>
      </c>
      <c r="CG20" s="293" t="str">
        <f ca="1">IF(CH20="","",'Finals 4'!$E20)</f>
        <v/>
      </c>
      <c r="CH20" s="294" t="str">
        <f ca="1">IF($C$74="","",IF('Finals 4'!$I20=$C$74,'Finals 4'!$K20,IF('Finals 4'!$K20=$C$74,'Finals 4'!$I20,"")))</f>
        <v/>
      </c>
      <c r="CI20" s="629">
        <f t="shared" ca="1" si="32"/>
        <v>100017</v>
      </c>
      <c r="CJ20" s="627">
        <f t="shared" ca="1" si="33"/>
        <v>100019</v>
      </c>
      <c r="CK20" s="628">
        <f ca="1">IF(CM20="",99999,'Finals 4'!$D20)</f>
        <v>99999</v>
      </c>
      <c r="CL20" s="293" t="str">
        <f ca="1">IF(CM20="","",'Finals 4'!$E20)</f>
        <v/>
      </c>
      <c r="CM20" s="294" t="str">
        <f ca="1">IF($C$79="","",IF('Finals 4'!$I20=$C$79,'Finals 4'!$K20,IF('Finals 4'!$K20=$C$79,'Finals 4'!$I20,"")))</f>
        <v/>
      </c>
      <c r="CN20" s="629">
        <f t="shared" ca="1" si="34"/>
        <v>100017</v>
      </c>
      <c r="CO20" s="627">
        <f t="shared" ca="1" si="35"/>
        <v>100019</v>
      </c>
      <c r="CP20" s="628">
        <f ca="1">IF(CR20="",99999,'Finals 4'!$D20)</f>
        <v>99999</v>
      </c>
      <c r="CQ20" s="293" t="str">
        <f ca="1">IF(CR20="","",'Finals 4'!$E20)</f>
        <v/>
      </c>
      <c r="CR20" s="294" t="str">
        <f ca="1">IF($C$84="","",IF('Finals 4'!$I20=$C$84,'Finals 4'!$K20,IF('Finals 4'!$K20=$C$84,'Finals 4'!$I20,"")))</f>
        <v/>
      </c>
      <c r="CS20" s="629">
        <f t="shared" ca="1" si="36"/>
        <v>100016</v>
      </c>
      <c r="CT20" s="627">
        <f t="shared" si="37"/>
        <v>100019</v>
      </c>
      <c r="CU20" s="628">
        <f>IF(CW20="",99999,'Finals 4'!$D20)</f>
        <v>99999</v>
      </c>
      <c r="CV20" s="293" t="str">
        <f>IF(CW20="","",'Finals 4'!$E20)</f>
        <v/>
      </c>
      <c r="CW20" s="294" t="str">
        <f>IF($C$89="","",IF('Finals 4'!$I20=$C$89,'Finals 4'!$K20,IF('Finals 4'!$K20=$C$89,'Finals 4'!$I20,"")))</f>
        <v/>
      </c>
      <c r="CX20" s="629">
        <f t="shared" si="38"/>
        <v>100019</v>
      </c>
    </row>
    <row r="21" spans="2:102" ht="15.95" customHeight="1" x14ac:dyDescent="0.2">
      <c r="E21" s="610">
        <f ca="1">IF($AF$13&lt;99999,INDEX($L$12:$L$36,MATCH($AF$13,$AB$12:$AB$36,0)),"")</f>
        <v>66</v>
      </c>
      <c r="F21" s="614">
        <f ca="1">IF($AF$13&lt;99999,VLOOKUP($AF$13,$AB$12:$AE$36,2,0),"")</f>
        <v>0.76388888888888895</v>
      </c>
      <c r="G21" s="615">
        <f ca="1">IF($AF$13&lt;99999,VLOOKUP($AF$13,$AB$12:$AE$36,3,0),"")</f>
        <v>2</v>
      </c>
      <c r="H21" s="616" t="str">
        <f ca="1">IF($AF$13&lt;99999,VLOOKUP($AF$13,$AB$12:$AE$36,4,0),"")</f>
        <v>Knock Out Rangers</v>
      </c>
      <c r="J21" s="602">
        <f t="shared" ca="1" si="39"/>
        <v>0</v>
      </c>
      <c r="K21" s="602" t="str">
        <f t="shared" ref="K21:K22" ca="1" si="41">IF(J21=0,"",$C$19)</f>
        <v/>
      </c>
      <c r="L21" s="164">
        <f ca="1">'Finals 4'!$C21</f>
        <v>65</v>
      </c>
      <c r="M21" s="627">
        <f t="shared" ca="1" si="3"/>
        <v>21.763888888888889</v>
      </c>
      <c r="N21" s="628">
        <f ca="1">IF(P21="",99999,'Finals 4'!$D21)</f>
        <v>0.76388888888888895</v>
      </c>
      <c r="O21" s="293">
        <f ca="1">IF(P21="","",'Finals 4'!$E21)</f>
        <v>1</v>
      </c>
      <c r="P21" s="294" t="str">
        <f ca="1">IF($C$4="","",IF('Finals 4'!$I21=$C$4,'Finals 4'!$K21,IF('Finals 4'!$K21=$C$4,'Finals 4'!$I21,"")))</f>
        <v>VFB Essenheim</v>
      </c>
      <c r="Q21" s="629">
        <f t="shared" ca="1" si="4"/>
        <v>100018</v>
      </c>
      <c r="R21" s="627">
        <f t="shared" ca="1" si="5"/>
        <v>100020</v>
      </c>
      <c r="S21" s="628">
        <f ca="1">IF(U21="",99999,'Finals 4'!$D21)</f>
        <v>99999</v>
      </c>
      <c r="T21" s="293" t="str">
        <f ca="1">IF(U21="","",'Finals 4'!$E21)</f>
        <v/>
      </c>
      <c r="U21" s="294" t="str">
        <f ca="1">IF($C$9="","",IF('Finals 4'!$I21=$C$9,'Finals 4'!$K21,IF('Finals 4'!$K21=$C$9,'Finals 4'!$I21,"")))</f>
        <v/>
      </c>
      <c r="V21" s="629">
        <f t="shared" ca="1" si="6"/>
        <v>100018</v>
      </c>
      <c r="W21" s="627">
        <f t="shared" ca="1" si="7"/>
        <v>100020</v>
      </c>
      <c r="X21" s="628">
        <f ca="1">IF(Z21="",99999,'Finals 4'!$D21)</f>
        <v>99999</v>
      </c>
      <c r="Y21" s="293" t="str">
        <f ca="1">IF(Z21="","",'Finals 4'!$E21)</f>
        <v/>
      </c>
      <c r="Z21" s="294" t="str">
        <f ca="1">IF($C$14="","",IF('Finals 4'!$I21=$C$14,'Finals 4'!$K21,IF('Finals 4'!$K21=$C$14,'Finals 4'!$I21,"")))</f>
        <v/>
      </c>
      <c r="AA21" s="629">
        <f t="shared" ca="1" si="8"/>
        <v>100017</v>
      </c>
      <c r="AB21" s="627">
        <f t="shared" ca="1" si="9"/>
        <v>100020</v>
      </c>
      <c r="AC21" s="628">
        <f ca="1">IF(AE21="",99999,'Finals 4'!$D21)</f>
        <v>99999</v>
      </c>
      <c r="AD21" s="293" t="str">
        <f ca="1">IF(AE21="","",'Finals 4'!$E21)</f>
        <v/>
      </c>
      <c r="AE21" s="294" t="str">
        <f ca="1">IF($C$19="","",IF('Finals 4'!$I21=$C$19,'Finals 4'!$K21,IF('Finals 4'!$K21=$C$19,'Finals 4'!$I21,"")))</f>
        <v/>
      </c>
      <c r="AF21" s="629">
        <f t="shared" ca="1" si="10"/>
        <v>100018</v>
      </c>
      <c r="AG21" s="627">
        <f t="shared" ca="1" si="11"/>
        <v>21.763888888888889</v>
      </c>
      <c r="AH21" s="628">
        <f ca="1">IF(AJ21="",99999,'Finals 4'!$D21)</f>
        <v>0.76388888888888895</v>
      </c>
      <c r="AI21" s="293">
        <f ca="1">IF(AJ21="","",'Finals 4'!$E21)</f>
        <v>1</v>
      </c>
      <c r="AJ21" s="294" t="str">
        <f ca="1">IF($C$24="","",IF('Finals 4'!$I21=$C$24,'Finals 4'!$K21,IF('Finals 4'!$K21=$C$24,'Finals 4'!$I21,"")))</f>
        <v>1. FC Riedwald</v>
      </c>
      <c r="AK21" s="629">
        <f t="shared" ca="1" si="12"/>
        <v>100018</v>
      </c>
      <c r="AL21" s="627">
        <f t="shared" ca="1" si="13"/>
        <v>100020</v>
      </c>
      <c r="AM21" s="628">
        <f ca="1">IF(AO21="",99999,'Finals 4'!$D21)</f>
        <v>99999</v>
      </c>
      <c r="AN21" s="293" t="str">
        <f ca="1">IF(AO21="","",'Finals 4'!$E21)</f>
        <v/>
      </c>
      <c r="AO21" s="294" t="str">
        <f ca="1">IF($C$29="","",IF('Finals 4'!$I21=$C$29,'Finals 4'!$K21,IF('Finals 4'!$K21=$C$29,'Finals 4'!$I21,"")))</f>
        <v/>
      </c>
      <c r="AP21" s="629">
        <f t="shared" ca="1" si="14"/>
        <v>100017</v>
      </c>
      <c r="AQ21" s="627">
        <f t="shared" ca="1" si="15"/>
        <v>100020</v>
      </c>
      <c r="AR21" s="628">
        <f ca="1">IF(AT21="",99999,'Finals 4'!$D21)</f>
        <v>99999</v>
      </c>
      <c r="AS21" s="293" t="str">
        <f ca="1">IF(AT21="","",'Finals 4'!$E21)</f>
        <v/>
      </c>
      <c r="AT21" s="294" t="str">
        <f ca="1">IF($C$34="","",IF('Finals 4'!$I21=$C$34,'Finals 4'!$K21,IF('Finals 4'!$K21=$C$34,'Finals 4'!$I21,"")))</f>
        <v/>
      </c>
      <c r="AU21" s="629">
        <f t="shared" ca="1" si="16"/>
        <v>100018</v>
      </c>
      <c r="AV21" s="627">
        <f t="shared" ca="1" si="17"/>
        <v>100020</v>
      </c>
      <c r="AW21" s="628">
        <f ca="1">IF(AY21="",99999,'Finals 4'!$D21)</f>
        <v>99999</v>
      </c>
      <c r="AX21" s="293" t="str">
        <f ca="1">IF(AY21="","",'Finals 4'!$E21)</f>
        <v/>
      </c>
      <c r="AY21" s="294" t="str">
        <f ca="1">IF($C$39="","",IF('Finals 4'!$I21=$C$39,'Finals 4'!$K21,IF('Finals 4'!$K21=$C$39,'Finals 4'!$I21,"")))</f>
        <v/>
      </c>
      <c r="AZ21" s="629">
        <f t="shared" ca="1" si="18"/>
        <v>100018</v>
      </c>
      <c r="BA21" s="627">
        <f t="shared" si="19"/>
        <v>100020</v>
      </c>
      <c r="BB21" s="628">
        <f>IF(BD21="",99999,'Finals 4'!$D21)</f>
        <v>99999</v>
      </c>
      <c r="BC21" s="293" t="str">
        <f>IF(BD21="","",'Finals 4'!$E21)</f>
        <v/>
      </c>
      <c r="BD21" s="294" t="str">
        <f>IF($C$44="","",IF('Finals 4'!$I21=$C$44,'Finals 4'!$K21,IF('Finals 4'!$K21=$C$44,'Finals 4'!$I21,"")))</f>
        <v/>
      </c>
      <c r="BE21" s="629">
        <f t="shared" si="20"/>
        <v>100020</v>
      </c>
      <c r="BF21" s="627">
        <f t="shared" ca="1" si="21"/>
        <v>100020</v>
      </c>
      <c r="BG21" s="628">
        <f ca="1">IF(BI21="",99999,'Finals 4'!$D21)</f>
        <v>99999</v>
      </c>
      <c r="BH21" s="293" t="str">
        <f ca="1">IF(BI21="","",'Finals 4'!$E21)</f>
        <v/>
      </c>
      <c r="BI21" s="294" t="str">
        <f ca="1">IF($C$49="","",IF('Finals 4'!$I21=$C$49,'Finals 4'!$K21,IF('Finals 4'!$K21=$C$49,'Finals 4'!$I21,"")))</f>
        <v/>
      </c>
      <c r="BJ21" s="629">
        <f t="shared" ca="1" si="22"/>
        <v>100018</v>
      </c>
      <c r="BK21" s="627">
        <f t="shared" ca="1" si="23"/>
        <v>100020</v>
      </c>
      <c r="BL21" s="628">
        <f ca="1">IF(BN21="",99999,'Finals 4'!$D21)</f>
        <v>99999</v>
      </c>
      <c r="BM21" s="293" t="str">
        <f ca="1">IF(BN21="","",'Finals 4'!$E21)</f>
        <v/>
      </c>
      <c r="BN21" s="294" t="str">
        <f ca="1">IF($C$54="","",IF('Finals 4'!$I21=$C$54,'Finals 4'!$K21,IF('Finals 4'!$K21=$C$54,'Finals 4'!$I21,"")))</f>
        <v/>
      </c>
      <c r="BO21" s="629">
        <f t="shared" ca="1" si="24"/>
        <v>100017</v>
      </c>
      <c r="BP21" s="627">
        <f t="shared" ca="1" si="25"/>
        <v>100020</v>
      </c>
      <c r="BQ21" s="628">
        <f ca="1">IF(BS21="",99999,'Finals 4'!$D21)</f>
        <v>99999</v>
      </c>
      <c r="BR21" s="293" t="str">
        <f ca="1">IF(BS21="","",'Finals 4'!$E21)</f>
        <v/>
      </c>
      <c r="BS21" s="294" t="str">
        <f ca="1">IF($C$59="","",IF('Finals 4'!$I21=$C$59,'Finals 4'!$K21,IF('Finals 4'!$K21=$C$59,'Finals 4'!$I21,"")))</f>
        <v/>
      </c>
      <c r="BT21" s="629">
        <f t="shared" ca="1" si="26"/>
        <v>100018</v>
      </c>
      <c r="BU21" s="627">
        <f t="shared" ca="1" si="27"/>
        <v>100020</v>
      </c>
      <c r="BV21" s="628">
        <f ca="1">IF(BX21="",99999,'Finals 4'!$D21)</f>
        <v>99999</v>
      </c>
      <c r="BW21" s="293" t="str">
        <f ca="1">IF(BX21="","",'Finals 4'!$E21)</f>
        <v/>
      </c>
      <c r="BX21" s="294" t="str">
        <f ca="1">IF($C$64="","",IF('Finals 4'!$I21=$C$64,'Finals 4'!$K21,IF('Finals 4'!$K21=$C$64,'Finals 4'!$I21,"")))</f>
        <v/>
      </c>
      <c r="BY21" s="629">
        <f t="shared" ca="1" si="28"/>
        <v>100017</v>
      </c>
      <c r="BZ21" s="627">
        <f t="shared" ca="1" si="29"/>
        <v>100020</v>
      </c>
      <c r="CA21" s="628">
        <f ca="1">IF(CC21="",99999,'Finals 4'!$D21)</f>
        <v>99999</v>
      </c>
      <c r="CB21" s="293" t="str">
        <f ca="1">IF(CC21="","",'Finals 4'!$E21)</f>
        <v/>
      </c>
      <c r="CC21" s="294" t="str">
        <f ca="1">IF($C$69="","",IF('Finals 4'!$I21=$C$69,'Finals 4'!$K21,IF('Finals 4'!$K21=$C$69,'Finals 4'!$I21,"")))</f>
        <v/>
      </c>
      <c r="CD21" s="629">
        <f t="shared" ca="1" si="30"/>
        <v>100018</v>
      </c>
      <c r="CE21" s="627">
        <f t="shared" ca="1" si="31"/>
        <v>100020</v>
      </c>
      <c r="CF21" s="628">
        <f ca="1">IF(CH21="",99999,'Finals 4'!$D21)</f>
        <v>99999</v>
      </c>
      <c r="CG21" s="293" t="str">
        <f ca="1">IF(CH21="","",'Finals 4'!$E21)</f>
        <v/>
      </c>
      <c r="CH21" s="294" t="str">
        <f ca="1">IF($C$74="","",IF('Finals 4'!$I21=$C$74,'Finals 4'!$K21,IF('Finals 4'!$K21=$C$74,'Finals 4'!$I21,"")))</f>
        <v/>
      </c>
      <c r="CI21" s="629">
        <f t="shared" ca="1" si="32"/>
        <v>100018</v>
      </c>
      <c r="CJ21" s="627">
        <f t="shared" ca="1" si="33"/>
        <v>100020</v>
      </c>
      <c r="CK21" s="628">
        <f ca="1">IF(CM21="",99999,'Finals 4'!$D21)</f>
        <v>99999</v>
      </c>
      <c r="CL21" s="293" t="str">
        <f ca="1">IF(CM21="","",'Finals 4'!$E21)</f>
        <v/>
      </c>
      <c r="CM21" s="294" t="str">
        <f ca="1">IF($C$79="","",IF('Finals 4'!$I21=$C$79,'Finals 4'!$K21,IF('Finals 4'!$K21=$C$79,'Finals 4'!$I21,"")))</f>
        <v/>
      </c>
      <c r="CN21" s="629">
        <f t="shared" ca="1" si="34"/>
        <v>100018</v>
      </c>
      <c r="CO21" s="627">
        <f t="shared" ca="1" si="35"/>
        <v>100020</v>
      </c>
      <c r="CP21" s="628">
        <f ca="1">IF(CR21="",99999,'Finals 4'!$D21)</f>
        <v>99999</v>
      </c>
      <c r="CQ21" s="293" t="str">
        <f ca="1">IF(CR21="","",'Finals 4'!$E21)</f>
        <v/>
      </c>
      <c r="CR21" s="294" t="str">
        <f ca="1">IF($C$84="","",IF('Finals 4'!$I21=$C$84,'Finals 4'!$K21,IF('Finals 4'!$K21=$C$84,'Finals 4'!$I21,"")))</f>
        <v/>
      </c>
      <c r="CS21" s="629">
        <f t="shared" ca="1" si="36"/>
        <v>100018</v>
      </c>
      <c r="CT21" s="627">
        <f t="shared" si="37"/>
        <v>100020</v>
      </c>
      <c r="CU21" s="628">
        <f>IF(CW21="",99999,'Finals 4'!$D21)</f>
        <v>99999</v>
      </c>
      <c r="CV21" s="293" t="str">
        <f>IF(CW21="","",'Finals 4'!$E21)</f>
        <v/>
      </c>
      <c r="CW21" s="294" t="str">
        <f>IF($C$89="","",IF('Finals 4'!$I21=$C$89,'Finals 4'!$K21,IF('Finals 4'!$K21=$C$89,'Finals 4'!$I21,"")))</f>
        <v/>
      </c>
      <c r="CX21" s="629">
        <f t="shared" si="38"/>
        <v>100020</v>
      </c>
    </row>
    <row r="22" spans="2:102" ht="15.95" customHeight="1" thickBot="1" x14ac:dyDescent="0.25">
      <c r="E22" s="617">
        <f ca="1">IF($AF$14&lt;99999,INDEX($L$12:$L$36,MATCH($AF$14,$AB$12:$AB$36,0)),"")</f>
        <v>74</v>
      </c>
      <c r="F22" s="618">
        <f ca="1">IF($AF$14&lt;99999,VLOOKUP($AF$14,$AB$12:$AE$36,2,0),"")</f>
        <v>0.8125</v>
      </c>
      <c r="G22" s="619">
        <f ca="1">IF($AF$14&lt;99999,VLOOKUP($AF$14,$AB$12:$AE$36,3,0),"")</f>
        <v>2</v>
      </c>
      <c r="H22" s="620" t="str">
        <f ca="1">IF($AF$14&lt;99999,VLOOKUP($AF$14,$AB$12:$AE$36,4,0),"")</f>
        <v>FC Grönlingen</v>
      </c>
      <c r="J22" s="602">
        <f t="shared" ca="1" si="39"/>
        <v>0</v>
      </c>
      <c r="K22" s="602" t="str">
        <f t="shared" ca="1" si="41"/>
        <v/>
      </c>
      <c r="L22" s="164">
        <f ca="1">'Finals 4'!$C22</f>
        <v>66</v>
      </c>
      <c r="M22" s="627">
        <f t="shared" ca="1" si="3"/>
        <v>100021</v>
      </c>
      <c r="N22" s="628">
        <f ca="1">IF(P22="",99999,'Finals 4'!$D22)</f>
        <v>99999</v>
      </c>
      <c r="O22" s="293" t="str">
        <f ca="1">IF(P22="","",'Finals 4'!$E22)</f>
        <v/>
      </c>
      <c r="P22" s="294" t="str">
        <f ca="1">IF($C$4="","",IF('Finals 4'!$I22=$C$4,'Finals 4'!$K22,IF('Finals 4'!$K22=$C$4,'Finals 4'!$I22,"")))</f>
        <v/>
      </c>
      <c r="Q22" s="629">
        <f t="shared" ca="1" si="4"/>
        <v>100019</v>
      </c>
      <c r="R22" s="627">
        <f t="shared" ca="1" si="5"/>
        <v>100021</v>
      </c>
      <c r="S22" s="628">
        <f ca="1">IF(U22="",99999,'Finals 4'!$D22)</f>
        <v>99999</v>
      </c>
      <c r="T22" s="293" t="str">
        <f ca="1">IF(U22="","",'Finals 4'!$E22)</f>
        <v/>
      </c>
      <c r="U22" s="294" t="str">
        <f ca="1">IF($C$9="","",IF('Finals 4'!$I22=$C$9,'Finals 4'!$K22,IF('Finals 4'!$K22=$C$9,'Finals 4'!$I22,"")))</f>
        <v/>
      </c>
      <c r="V22" s="629">
        <f t="shared" ca="1" si="6"/>
        <v>100019</v>
      </c>
      <c r="W22" s="627">
        <f t="shared" ca="1" si="7"/>
        <v>100021</v>
      </c>
      <c r="X22" s="628">
        <f ca="1">IF(Z22="",99999,'Finals 4'!$D22)</f>
        <v>99999</v>
      </c>
      <c r="Y22" s="293" t="str">
        <f ca="1">IF(Z22="","",'Finals 4'!$E22)</f>
        <v/>
      </c>
      <c r="Z22" s="294" t="str">
        <f ca="1">IF($C$14="","",IF('Finals 4'!$I22=$C$14,'Finals 4'!$K22,IF('Finals 4'!$K22=$C$14,'Finals 4'!$I22,"")))</f>
        <v/>
      </c>
      <c r="AA22" s="629">
        <f t="shared" ca="1" si="8"/>
        <v>100018</v>
      </c>
      <c r="AB22" s="627">
        <f t="shared" ca="1" si="9"/>
        <v>22.763888888888889</v>
      </c>
      <c r="AC22" s="628">
        <f ca="1">IF(AE22="",99999,'Finals 4'!$D22)</f>
        <v>0.76388888888888895</v>
      </c>
      <c r="AD22" s="293">
        <f ca="1">IF(AE22="","",'Finals 4'!$E22)</f>
        <v>2</v>
      </c>
      <c r="AE22" s="294" t="str">
        <f ca="1">IF($C$19="","",IF('Finals 4'!$I22=$C$19,'Finals 4'!$K22,IF('Finals 4'!$K22=$C$19,'Finals 4'!$I22,"")))</f>
        <v>Knock Out Rangers</v>
      </c>
      <c r="AF22" s="629">
        <f t="shared" ca="1" si="10"/>
        <v>100019</v>
      </c>
      <c r="AG22" s="627">
        <f t="shared" ca="1" si="11"/>
        <v>100021</v>
      </c>
      <c r="AH22" s="628">
        <f ca="1">IF(AJ22="",99999,'Finals 4'!$D22)</f>
        <v>99999</v>
      </c>
      <c r="AI22" s="293" t="str">
        <f ca="1">IF(AJ22="","",'Finals 4'!$E22)</f>
        <v/>
      </c>
      <c r="AJ22" s="294" t="str">
        <f ca="1">IF($C$24="","",IF('Finals 4'!$I22=$C$24,'Finals 4'!$K22,IF('Finals 4'!$K22=$C$24,'Finals 4'!$I22,"")))</f>
        <v/>
      </c>
      <c r="AK22" s="629">
        <f t="shared" ca="1" si="12"/>
        <v>100019</v>
      </c>
      <c r="AL22" s="627">
        <f t="shared" ca="1" si="13"/>
        <v>100021</v>
      </c>
      <c r="AM22" s="628">
        <f ca="1">IF(AO22="",99999,'Finals 4'!$D22)</f>
        <v>99999</v>
      </c>
      <c r="AN22" s="293" t="str">
        <f ca="1">IF(AO22="","",'Finals 4'!$E22)</f>
        <v/>
      </c>
      <c r="AO22" s="294" t="str">
        <f ca="1">IF($C$29="","",IF('Finals 4'!$I22=$C$29,'Finals 4'!$K22,IF('Finals 4'!$K22=$C$29,'Finals 4'!$I22,"")))</f>
        <v/>
      </c>
      <c r="AP22" s="629">
        <f t="shared" ca="1" si="14"/>
        <v>100019</v>
      </c>
      <c r="AQ22" s="627">
        <f t="shared" ca="1" si="15"/>
        <v>100021</v>
      </c>
      <c r="AR22" s="628">
        <f ca="1">IF(AT22="",99999,'Finals 4'!$D22)</f>
        <v>99999</v>
      </c>
      <c r="AS22" s="293" t="str">
        <f ca="1">IF(AT22="","",'Finals 4'!$E22)</f>
        <v/>
      </c>
      <c r="AT22" s="294" t="str">
        <f ca="1">IF($C$34="","",IF('Finals 4'!$I22=$C$34,'Finals 4'!$K22,IF('Finals 4'!$K22=$C$34,'Finals 4'!$I22,"")))</f>
        <v/>
      </c>
      <c r="AU22" s="629">
        <f t="shared" ca="1" si="16"/>
        <v>100019</v>
      </c>
      <c r="AV22" s="627">
        <f t="shared" ca="1" si="17"/>
        <v>22.763888888888889</v>
      </c>
      <c r="AW22" s="628">
        <f ca="1">IF(AY22="",99999,'Finals 4'!$D22)</f>
        <v>0.76388888888888895</v>
      </c>
      <c r="AX22" s="293">
        <f ca="1">IF(AY22="","",'Finals 4'!$E22)</f>
        <v>2</v>
      </c>
      <c r="AY22" s="294" t="str">
        <f ca="1">IF($C$39="","",IF('Finals 4'!$I22=$C$39,'Finals 4'!$K22,IF('Finals 4'!$K22=$C$39,'Finals 4'!$I22,"")))</f>
        <v>Maibach 1822 eV</v>
      </c>
      <c r="AZ22" s="629">
        <f t="shared" ca="1" si="18"/>
        <v>100019</v>
      </c>
      <c r="BA22" s="627">
        <f t="shared" si="19"/>
        <v>100021</v>
      </c>
      <c r="BB22" s="628">
        <f>IF(BD22="",99999,'Finals 4'!$D22)</f>
        <v>99999</v>
      </c>
      <c r="BC22" s="293" t="str">
        <f>IF(BD22="","",'Finals 4'!$E22)</f>
        <v/>
      </c>
      <c r="BD22" s="294" t="str">
        <f>IF($C$44="","",IF('Finals 4'!$I22=$C$44,'Finals 4'!$K22,IF('Finals 4'!$K22=$C$44,'Finals 4'!$I22,"")))</f>
        <v/>
      </c>
      <c r="BE22" s="629">
        <f t="shared" si="20"/>
        <v>100021</v>
      </c>
      <c r="BF22" s="627">
        <f t="shared" ca="1" si="21"/>
        <v>100021</v>
      </c>
      <c r="BG22" s="628">
        <f ca="1">IF(BI22="",99999,'Finals 4'!$D22)</f>
        <v>99999</v>
      </c>
      <c r="BH22" s="293" t="str">
        <f ca="1">IF(BI22="","",'Finals 4'!$E22)</f>
        <v/>
      </c>
      <c r="BI22" s="294" t="str">
        <f ca="1">IF($C$49="","",IF('Finals 4'!$I22=$C$49,'Finals 4'!$K22,IF('Finals 4'!$K22=$C$49,'Finals 4'!$I22,"")))</f>
        <v/>
      </c>
      <c r="BJ22" s="629">
        <f t="shared" ca="1" si="22"/>
        <v>100019</v>
      </c>
      <c r="BK22" s="627">
        <f t="shared" ca="1" si="23"/>
        <v>100021</v>
      </c>
      <c r="BL22" s="628">
        <f ca="1">IF(BN22="",99999,'Finals 4'!$D22)</f>
        <v>99999</v>
      </c>
      <c r="BM22" s="293" t="str">
        <f ca="1">IF(BN22="","",'Finals 4'!$E22)</f>
        <v/>
      </c>
      <c r="BN22" s="294" t="str">
        <f ca="1">IF($C$54="","",IF('Finals 4'!$I22=$C$54,'Finals 4'!$K22,IF('Finals 4'!$K22=$C$54,'Finals 4'!$I22,"")))</f>
        <v/>
      </c>
      <c r="BO22" s="629">
        <f t="shared" ca="1" si="24"/>
        <v>100019</v>
      </c>
      <c r="BP22" s="627">
        <f t="shared" ca="1" si="25"/>
        <v>100021</v>
      </c>
      <c r="BQ22" s="628">
        <f ca="1">IF(BS22="",99999,'Finals 4'!$D22)</f>
        <v>99999</v>
      </c>
      <c r="BR22" s="293" t="str">
        <f ca="1">IF(BS22="","",'Finals 4'!$E22)</f>
        <v/>
      </c>
      <c r="BS22" s="294" t="str">
        <f ca="1">IF($C$59="","",IF('Finals 4'!$I22=$C$59,'Finals 4'!$K22,IF('Finals 4'!$K22=$C$59,'Finals 4'!$I22,"")))</f>
        <v/>
      </c>
      <c r="BT22" s="629">
        <f t="shared" ca="1" si="26"/>
        <v>100019</v>
      </c>
      <c r="BU22" s="627">
        <f t="shared" ca="1" si="27"/>
        <v>100021</v>
      </c>
      <c r="BV22" s="628">
        <f ca="1">IF(BX22="",99999,'Finals 4'!$D22)</f>
        <v>99999</v>
      </c>
      <c r="BW22" s="293" t="str">
        <f ca="1">IF(BX22="","",'Finals 4'!$E22)</f>
        <v/>
      </c>
      <c r="BX22" s="294" t="str">
        <f ca="1">IF($C$64="","",IF('Finals 4'!$I22=$C$64,'Finals 4'!$K22,IF('Finals 4'!$K22=$C$64,'Finals 4'!$I22,"")))</f>
        <v/>
      </c>
      <c r="BY22" s="629">
        <f t="shared" ca="1" si="28"/>
        <v>100018</v>
      </c>
      <c r="BZ22" s="627">
        <f t="shared" ca="1" si="29"/>
        <v>100021</v>
      </c>
      <c r="CA22" s="628">
        <f ca="1">IF(CC22="",99999,'Finals 4'!$D22)</f>
        <v>99999</v>
      </c>
      <c r="CB22" s="293" t="str">
        <f ca="1">IF(CC22="","",'Finals 4'!$E22)</f>
        <v/>
      </c>
      <c r="CC22" s="294" t="str">
        <f ca="1">IF($C$69="","",IF('Finals 4'!$I22=$C$69,'Finals 4'!$K22,IF('Finals 4'!$K22=$C$69,'Finals 4'!$I22,"")))</f>
        <v/>
      </c>
      <c r="CD22" s="629">
        <f t="shared" ca="1" si="30"/>
        <v>100019</v>
      </c>
      <c r="CE22" s="627">
        <f t="shared" ca="1" si="31"/>
        <v>100021</v>
      </c>
      <c r="CF22" s="628">
        <f ca="1">IF(CH22="",99999,'Finals 4'!$D22)</f>
        <v>99999</v>
      </c>
      <c r="CG22" s="293" t="str">
        <f ca="1">IF(CH22="","",'Finals 4'!$E22)</f>
        <v/>
      </c>
      <c r="CH22" s="294" t="str">
        <f ca="1">IF($C$74="","",IF('Finals 4'!$I22=$C$74,'Finals 4'!$K22,IF('Finals 4'!$K22=$C$74,'Finals 4'!$I22,"")))</f>
        <v/>
      </c>
      <c r="CI22" s="629">
        <f t="shared" ca="1" si="32"/>
        <v>100019</v>
      </c>
      <c r="CJ22" s="627">
        <f t="shared" ca="1" si="33"/>
        <v>100021</v>
      </c>
      <c r="CK22" s="628">
        <f ca="1">IF(CM22="",99999,'Finals 4'!$D22)</f>
        <v>99999</v>
      </c>
      <c r="CL22" s="293" t="str">
        <f ca="1">IF(CM22="","",'Finals 4'!$E22)</f>
        <v/>
      </c>
      <c r="CM22" s="294" t="str">
        <f ca="1">IF($C$79="","",IF('Finals 4'!$I22=$C$79,'Finals 4'!$K22,IF('Finals 4'!$K22=$C$79,'Finals 4'!$I22,"")))</f>
        <v/>
      </c>
      <c r="CN22" s="629">
        <f t="shared" ca="1" si="34"/>
        <v>100019</v>
      </c>
      <c r="CO22" s="627">
        <f t="shared" ca="1" si="35"/>
        <v>100021</v>
      </c>
      <c r="CP22" s="628">
        <f ca="1">IF(CR22="",99999,'Finals 4'!$D22)</f>
        <v>99999</v>
      </c>
      <c r="CQ22" s="293" t="str">
        <f ca="1">IF(CR22="","",'Finals 4'!$E22)</f>
        <v/>
      </c>
      <c r="CR22" s="294" t="str">
        <f ca="1">IF($C$84="","",IF('Finals 4'!$I22=$C$84,'Finals 4'!$K22,IF('Finals 4'!$K22=$C$84,'Finals 4'!$I22,"")))</f>
        <v/>
      </c>
      <c r="CS22" s="629">
        <f t="shared" ca="1" si="36"/>
        <v>100019</v>
      </c>
      <c r="CT22" s="627">
        <f t="shared" si="37"/>
        <v>100021</v>
      </c>
      <c r="CU22" s="628">
        <f>IF(CW22="",99999,'Finals 4'!$D22)</f>
        <v>99999</v>
      </c>
      <c r="CV22" s="293" t="str">
        <f>IF(CW22="","",'Finals 4'!$E22)</f>
        <v/>
      </c>
      <c r="CW22" s="294" t="str">
        <f>IF($C$89="","",IF('Finals 4'!$I22=$C$89,'Finals 4'!$K22,IF('Finals 4'!$K22=$C$89,'Finals 4'!$I22,"")))</f>
        <v/>
      </c>
      <c r="CX22" s="629">
        <f t="shared" si="38"/>
        <v>100021</v>
      </c>
    </row>
    <row r="23" spans="2:102" ht="30" customHeight="1" thickBot="1" x14ac:dyDescent="0.25">
      <c r="J23" s="602">
        <f t="shared" ca="1" si="39"/>
        <v>0</v>
      </c>
      <c r="L23" s="164">
        <f ca="1">'Finals 4'!$C23</f>
        <v>67</v>
      </c>
      <c r="M23" s="627">
        <f t="shared" ca="1" si="3"/>
        <v>100022</v>
      </c>
      <c r="N23" s="628">
        <f ca="1">IF(P23="",99999,'Finals 4'!$D23)</f>
        <v>99999</v>
      </c>
      <c r="O23" s="293" t="str">
        <f ca="1">IF(P23="","",'Finals 4'!$E23)</f>
        <v/>
      </c>
      <c r="P23" s="294" t="str">
        <f ca="1">IF($C$4="","",IF('Finals 4'!$I23=$C$4,'Finals 4'!$K23,IF('Finals 4'!$K23=$C$4,'Finals 4'!$I23,"")))</f>
        <v/>
      </c>
      <c r="Q23" s="629">
        <f t="shared" ca="1" si="4"/>
        <v>100021</v>
      </c>
      <c r="R23" s="627">
        <f t="shared" ca="1" si="5"/>
        <v>100022</v>
      </c>
      <c r="S23" s="628">
        <f ca="1">IF(U23="",99999,'Finals 4'!$D23)</f>
        <v>99999</v>
      </c>
      <c r="T23" s="293" t="str">
        <f ca="1">IF(U23="","",'Finals 4'!$E23)</f>
        <v/>
      </c>
      <c r="U23" s="294" t="str">
        <f ca="1">IF($C$9="","",IF('Finals 4'!$I23=$C$9,'Finals 4'!$K23,IF('Finals 4'!$K23=$C$9,'Finals 4'!$I23,"")))</f>
        <v/>
      </c>
      <c r="V23" s="629">
        <f t="shared" ca="1" si="6"/>
        <v>100020</v>
      </c>
      <c r="W23" s="627">
        <f t="shared" ca="1" si="7"/>
        <v>100022</v>
      </c>
      <c r="X23" s="628">
        <f ca="1">IF(Z23="",99999,'Finals 4'!$D23)</f>
        <v>99999</v>
      </c>
      <c r="Y23" s="293" t="str">
        <f ca="1">IF(Z23="","",'Finals 4'!$E23)</f>
        <v/>
      </c>
      <c r="Z23" s="294" t="str">
        <f ca="1">IF($C$14="","",IF('Finals 4'!$I23=$C$14,'Finals 4'!$K23,IF('Finals 4'!$K23=$C$14,'Finals 4'!$I23,"")))</f>
        <v/>
      </c>
      <c r="AA23" s="629">
        <f t="shared" ca="1" si="8"/>
        <v>100020</v>
      </c>
      <c r="AB23" s="627">
        <f t="shared" ca="1" si="9"/>
        <v>100022</v>
      </c>
      <c r="AC23" s="628">
        <f ca="1">IF(AE23="",99999,'Finals 4'!$D23)</f>
        <v>99999</v>
      </c>
      <c r="AD23" s="293" t="str">
        <f ca="1">IF(AE23="","",'Finals 4'!$E23)</f>
        <v/>
      </c>
      <c r="AE23" s="294" t="str">
        <f ca="1">IF($C$19="","",IF('Finals 4'!$I23=$C$19,'Finals 4'!$K23,IF('Finals 4'!$K23=$C$19,'Finals 4'!$I23,"")))</f>
        <v/>
      </c>
      <c r="AF23" s="629">
        <f t="shared" ca="1" si="10"/>
        <v>100020</v>
      </c>
      <c r="AG23" s="627">
        <f t="shared" ca="1" si="11"/>
        <v>100022</v>
      </c>
      <c r="AH23" s="628">
        <f ca="1">IF(AJ23="",99999,'Finals 4'!$D23)</f>
        <v>99999</v>
      </c>
      <c r="AI23" s="293" t="str">
        <f ca="1">IF(AJ23="","",'Finals 4'!$E23)</f>
        <v/>
      </c>
      <c r="AJ23" s="294" t="str">
        <f ca="1">IF($C$24="","",IF('Finals 4'!$I23=$C$24,'Finals 4'!$K23,IF('Finals 4'!$K23=$C$24,'Finals 4'!$I23,"")))</f>
        <v/>
      </c>
      <c r="AK23" s="629">
        <f t="shared" ca="1" si="12"/>
        <v>100021</v>
      </c>
      <c r="AL23" s="627">
        <f t="shared" ca="1" si="13"/>
        <v>23.763888888888889</v>
      </c>
      <c r="AM23" s="628">
        <f ca="1">IF(AO23="",99999,'Finals 4'!$D23)</f>
        <v>0.76388888888888895</v>
      </c>
      <c r="AN23" s="293">
        <f ca="1">IF(AO23="","",'Finals 4'!$E23)</f>
        <v>3</v>
      </c>
      <c r="AO23" s="294" t="str">
        <f ca="1">IF($C$29="","",IF('Finals 4'!$I23=$C$29,'Finals 4'!$K23,IF('Finals 4'!$K23=$C$29,'Finals 4'!$I23,"")))</f>
        <v>Raslo Winners</v>
      </c>
      <c r="AP23" s="629">
        <f t="shared" ca="1" si="14"/>
        <v>100020</v>
      </c>
      <c r="AQ23" s="627">
        <f t="shared" ca="1" si="15"/>
        <v>23.763888888888889</v>
      </c>
      <c r="AR23" s="628">
        <f ca="1">IF(AT23="",99999,'Finals 4'!$D23)</f>
        <v>0.76388888888888895</v>
      </c>
      <c r="AS23" s="293">
        <f ca="1">IF(AT23="","",'Finals 4'!$E23)</f>
        <v>3</v>
      </c>
      <c r="AT23" s="294" t="str">
        <f ca="1">IF($C$34="","",IF('Finals 4'!$I23=$C$34,'Finals 4'!$K23,IF('Finals 4'!$K23=$C$34,'Finals 4'!$I23,"")))</f>
        <v>Fun Kickers Oes</v>
      </c>
      <c r="AU23" s="629">
        <f t="shared" ca="1" si="16"/>
        <v>100020</v>
      </c>
      <c r="AV23" s="627">
        <f t="shared" ca="1" si="17"/>
        <v>100022</v>
      </c>
      <c r="AW23" s="628">
        <f ca="1">IF(AY23="",99999,'Finals 4'!$D23)</f>
        <v>99999</v>
      </c>
      <c r="AX23" s="293" t="str">
        <f ca="1">IF(AY23="","",'Finals 4'!$E23)</f>
        <v/>
      </c>
      <c r="AY23" s="294" t="str">
        <f ca="1">IF($C$39="","",IF('Finals 4'!$I23=$C$39,'Finals 4'!$K23,IF('Finals 4'!$K23=$C$39,'Finals 4'!$I23,"")))</f>
        <v/>
      </c>
      <c r="AZ23" s="629">
        <f t="shared" ca="1" si="18"/>
        <v>100020</v>
      </c>
      <c r="BA23" s="627">
        <f t="shared" si="19"/>
        <v>100022</v>
      </c>
      <c r="BB23" s="628">
        <f>IF(BD23="",99999,'Finals 4'!$D23)</f>
        <v>99999</v>
      </c>
      <c r="BC23" s="293" t="str">
        <f>IF(BD23="","",'Finals 4'!$E23)</f>
        <v/>
      </c>
      <c r="BD23" s="294" t="str">
        <f>IF($C$44="","",IF('Finals 4'!$I23=$C$44,'Finals 4'!$K23,IF('Finals 4'!$K23=$C$44,'Finals 4'!$I23,"")))</f>
        <v/>
      </c>
      <c r="BE23" s="629">
        <f t="shared" si="20"/>
        <v>100022</v>
      </c>
      <c r="BF23" s="627">
        <f t="shared" ca="1" si="21"/>
        <v>100022</v>
      </c>
      <c r="BG23" s="628">
        <f ca="1">IF(BI23="",99999,'Finals 4'!$D23)</f>
        <v>99999</v>
      </c>
      <c r="BH23" s="293" t="str">
        <f ca="1">IF(BI23="","",'Finals 4'!$E23)</f>
        <v/>
      </c>
      <c r="BI23" s="294" t="str">
        <f ca="1">IF($C$49="","",IF('Finals 4'!$I23=$C$49,'Finals 4'!$K23,IF('Finals 4'!$K23=$C$49,'Finals 4'!$I23,"")))</f>
        <v/>
      </c>
      <c r="BJ23" s="629">
        <f t="shared" ca="1" si="22"/>
        <v>100020</v>
      </c>
      <c r="BK23" s="627">
        <f t="shared" ca="1" si="23"/>
        <v>100022</v>
      </c>
      <c r="BL23" s="628">
        <f ca="1">IF(BN23="",99999,'Finals 4'!$D23)</f>
        <v>99999</v>
      </c>
      <c r="BM23" s="293" t="str">
        <f ca="1">IF(BN23="","",'Finals 4'!$E23)</f>
        <v/>
      </c>
      <c r="BN23" s="294" t="str">
        <f ca="1">IF($C$54="","",IF('Finals 4'!$I23=$C$54,'Finals 4'!$K23,IF('Finals 4'!$K23=$C$54,'Finals 4'!$I23,"")))</f>
        <v/>
      </c>
      <c r="BO23" s="629">
        <f t="shared" ca="1" si="24"/>
        <v>100020</v>
      </c>
      <c r="BP23" s="627">
        <f t="shared" ca="1" si="25"/>
        <v>100022</v>
      </c>
      <c r="BQ23" s="628">
        <f ca="1">IF(BS23="",99999,'Finals 4'!$D23)</f>
        <v>99999</v>
      </c>
      <c r="BR23" s="293" t="str">
        <f ca="1">IF(BS23="","",'Finals 4'!$E23)</f>
        <v/>
      </c>
      <c r="BS23" s="294" t="str">
        <f ca="1">IF($C$59="","",IF('Finals 4'!$I23=$C$59,'Finals 4'!$K23,IF('Finals 4'!$K23=$C$59,'Finals 4'!$I23,"")))</f>
        <v/>
      </c>
      <c r="BT23" s="629">
        <f t="shared" ca="1" si="26"/>
        <v>100020</v>
      </c>
      <c r="BU23" s="627">
        <f t="shared" ca="1" si="27"/>
        <v>100022</v>
      </c>
      <c r="BV23" s="628">
        <f ca="1">IF(BX23="",99999,'Finals 4'!$D23)</f>
        <v>99999</v>
      </c>
      <c r="BW23" s="293" t="str">
        <f ca="1">IF(BX23="","",'Finals 4'!$E23)</f>
        <v/>
      </c>
      <c r="BX23" s="294" t="str">
        <f ca="1">IF($C$64="","",IF('Finals 4'!$I23=$C$64,'Finals 4'!$K23,IF('Finals 4'!$K23=$C$64,'Finals 4'!$I23,"")))</f>
        <v/>
      </c>
      <c r="BY23" s="629">
        <f t="shared" ca="1" si="28"/>
        <v>100020</v>
      </c>
      <c r="BZ23" s="627">
        <f t="shared" ca="1" si="29"/>
        <v>100022</v>
      </c>
      <c r="CA23" s="628">
        <f ca="1">IF(CC23="",99999,'Finals 4'!$D23)</f>
        <v>99999</v>
      </c>
      <c r="CB23" s="293" t="str">
        <f ca="1">IF(CC23="","",'Finals 4'!$E23)</f>
        <v/>
      </c>
      <c r="CC23" s="294" t="str">
        <f ca="1">IF($C$69="","",IF('Finals 4'!$I23=$C$69,'Finals 4'!$K23,IF('Finals 4'!$K23=$C$69,'Finals 4'!$I23,"")))</f>
        <v/>
      </c>
      <c r="CD23" s="629">
        <f t="shared" ca="1" si="30"/>
        <v>100020</v>
      </c>
      <c r="CE23" s="627">
        <f t="shared" ca="1" si="31"/>
        <v>100022</v>
      </c>
      <c r="CF23" s="628">
        <f ca="1">IF(CH23="",99999,'Finals 4'!$D23)</f>
        <v>99999</v>
      </c>
      <c r="CG23" s="293" t="str">
        <f ca="1">IF(CH23="","",'Finals 4'!$E23)</f>
        <v/>
      </c>
      <c r="CH23" s="294" t="str">
        <f ca="1">IF($C$74="","",IF('Finals 4'!$I23=$C$74,'Finals 4'!$K23,IF('Finals 4'!$K23=$C$74,'Finals 4'!$I23,"")))</f>
        <v/>
      </c>
      <c r="CI23" s="629">
        <f t="shared" ca="1" si="32"/>
        <v>100020</v>
      </c>
      <c r="CJ23" s="627">
        <f t="shared" ca="1" si="33"/>
        <v>100022</v>
      </c>
      <c r="CK23" s="628">
        <f ca="1">IF(CM23="",99999,'Finals 4'!$D23)</f>
        <v>99999</v>
      </c>
      <c r="CL23" s="293" t="str">
        <f ca="1">IF(CM23="","",'Finals 4'!$E23)</f>
        <v/>
      </c>
      <c r="CM23" s="294" t="str">
        <f ca="1">IF($C$79="","",IF('Finals 4'!$I23=$C$79,'Finals 4'!$K23,IF('Finals 4'!$K23=$C$79,'Finals 4'!$I23,"")))</f>
        <v/>
      </c>
      <c r="CN23" s="629">
        <f t="shared" ca="1" si="34"/>
        <v>100020</v>
      </c>
      <c r="CO23" s="627">
        <f t="shared" ca="1" si="35"/>
        <v>100022</v>
      </c>
      <c r="CP23" s="628">
        <f ca="1">IF(CR23="",99999,'Finals 4'!$D23)</f>
        <v>99999</v>
      </c>
      <c r="CQ23" s="293" t="str">
        <f ca="1">IF(CR23="","",'Finals 4'!$E23)</f>
        <v/>
      </c>
      <c r="CR23" s="294" t="str">
        <f ca="1">IF($C$84="","",IF('Finals 4'!$I23=$C$84,'Finals 4'!$K23,IF('Finals 4'!$K23=$C$84,'Finals 4'!$I23,"")))</f>
        <v/>
      </c>
      <c r="CS23" s="629">
        <f t="shared" ca="1" si="36"/>
        <v>100020</v>
      </c>
      <c r="CT23" s="627">
        <f t="shared" si="37"/>
        <v>100022</v>
      </c>
      <c r="CU23" s="628">
        <f>IF(CW23="",99999,'Finals 4'!$D23)</f>
        <v>99999</v>
      </c>
      <c r="CV23" s="293" t="str">
        <f>IF(CW23="","",'Finals 4'!$E23)</f>
        <v/>
      </c>
      <c r="CW23" s="294" t="str">
        <f>IF($C$89="","",IF('Finals 4'!$I23=$C$89,'Finals 4'!$K23,IF('Finals 4'!$K23=$C$89,'Finals 4'!$I23,"")))</f>
        <v/>
      </c>
      <c r="CX23" s="629">
        <f t="shared" si="38"/>
        <v>100022</v>
      </c>
    </row>
    <row r="24" spans="2:102" ht="15.95" customHeight="1" x14ac:dyDescent="0.2">
      <c r="B24" s="604" t="s">
        <v>214</v>
      </c>
      <c r="C24" s="605" t="str">
        <f>IF(Planning!$C$15="","",Planning!$C$15)</f>
        <v>VFB Essenheim</v>
      </c>
      <c r="E24" s="606" t="str">
        <f>Language!$E$69</f>
        <v>Match No.</v>
      </c>
      <c r="F24" s="607" t="str">
        <f>Language!$E$39</f>
        <v>Start</v>
      </c>
      <c r="G24" s="608" t="str">
        <f>Language!$E$48</f>
        <v>Field</v>
      </c>
      <c r="H24" s="609" t="str">
        <f>Language!$E$46</f>
        <v>Match against</v>
      </c>
      <c r="J24" s="602">
        <f t="shared" ca="1" si="39"/>
        <v>0</v>
      </c>
      <c r="L24" s="164">
        <f ca="1">'Finals 4'!$C24</f>
        <v>68</v>
      </c>
      <c r="M24" s="627">
        <f t="shared" ca="1" si="3"/>
        <v>100023</v>
      </c>
      <c r="N24" s="628">
        <f ca="1">IF(P24="",99999,'Finals 4'!$D24)</f>
        <v>99999</v>
      </c>
      <c r="O24" s="293" t="str">
        <f ca="1">IF(P24="","",'Finals 4'!$E24)</f>
        <v/>
      </c>
      <c r="P24" s="294" t="str">
        <f ca="1">IF($C$4="","",IF('Finals 4'!$I24=$C$4,'Finals 4'!$K24,IF('Finals 4'!$K24=$C$4,'Finals 4'!$I24,"")))</f>
        <v/>
      </c>
      <c r="Q24" s="629">
        <f t="shared" ca="1" si="4"/>
        <v>100022</v>
      </c>
      <c r="R24" s="627">
        <f t="shared" ca="1" si="5"/>
        <v>24.763888888888889</v>
      </c>
      <c r="S24" s="628">
        <f ca="1">IF(U24="",99999,'Finals 4'!$D24)</f>
        <v>0.76388888888888895</v>
      </c>
      <c r="T24" s="293">
        <f ca="1">IF(U24="","",'Finals 4'!$E24)</f>
        <v>4</v>
      </c>
      <c r="U24" s="294" t="str">
        <f ca="1">IF($C$9="","",IF('Finals 4'!$I24=$C$9,'Finals 4'!$K24,IF('Finals 4'!$K24=$C$9,'Finals 4'!$I24,"")))</f>
        <v>Eintracht Frankfurt</v>
      </c>
      <c r="V24" s="629">
        <f t="shared" ca="1" si="6"/>
        <v>100021</v>
      </c>
      <c r="W24" s="627">
        <f t="shared" ca="1" si="7"/>
        <v>24.763888888888889</v>
      </c>
      <c r="X24" s="628">
        <f ca="1">IF(Z24="",99999,'Finals 4'!$D24)</f>
        <v>0.76388888888888895</v>
      </c>
      <c r="Y24" s="293">
        <f ca="1">IF(Z24="","",'Finals 4'!$E24)</f>
        <v>4</v>
      </c>
      <c r="Z24" s="294" t="str">
        <f ca="1">IF($C$14="","",IF('Finals 4'!$I24=$C$14,'Finals 4'!$K24,IF('Finals 4'!$K24=$C$14,'Finals 4'!$I24,"")))</f>
        <v>FC Barcelona</v>
      </c>
      <c r="AA24" s="629">
        <f t="shared" ca="1" si="8"/>
        <v>100021</v>
      </c>
      <c r="AB24" s="627">
        <f t="shared" ca="1" si="9"/>
        <v>100023</v>
      </c>
      <c r="AC24" s="628">
        <f ca="1">IF(AE24="",99999,'Finals 4'!$D24)</f>
        <v>99999</v>
      </c>
      <c r="AD24" s="293" t="str">
        <f ca="1">IF(AE24="","",'Finals 4'!$E24)</f>
        <v/>
      </c>
      <c r="AE24" s="294" t="str">
        <f ca="1">IF($C$19="","",IF('Finals 4'!$I24=$C$19,'Finals 4'!$K24,IF('Finals 4'!$K24=$C$19,'Finals 4'!$I24,"")))</f>
        <v/>
      </c>
      <c r="AF24" s="629">
        <f t="shared" ca="1" si="10"/>
        <v>100022</v>
      </c>
      <c r="AG24" s="627">
        <f t="shared" ca="1" si="11"/>
        <v>100023</v>
      </c>
      <c r="AH24" s="628">
        <f ca="1">IF(AJ24="",99999,'Finals 4'!$D24)</f>
        <v>99999</v>
      </c>
      <c r="AI24" s="293" t="str">
        <f ca="1">IF(AJ24="","",'Finals 4'!$E24)</f>
        <v/>
      </c>
      <c r="AJ24" s="294" t="str">
        <f ca="1">IF($C$24="","",IF('Finals 4'!$I24=$C$24,'Finals 4'!$K24,IF('Finals 4'!$K24=$C$24,'Finals 4'!$I24,"")))</f>
        <v/>
      </c>
      <c r="AK24" s="629">
        <f t="shared" ca="1" si="12"/>
        <v>100022</v>
      </c>
      <c r="AL24" s="627">
        <f t="shared" ca="1" si="13"/>
        <v>100023</v>
      </c>
      <c r="AM24" s="628">
        <f ca="1">IF(AO24="",99999,'Finals 4'!$D24)</f>
        <v>99999</v>
      </c>
      <c r="AN24" s="293" t="str">
        <f ca="1">IF(AO24="","",'Finals 4'!$E24)</f>
        <v/>
      </c>
      <c r="AO24" s="294" t="str">
        <f ca="1">IF($C$29="","",IF('Finals 4'!$I24=$C$29,'Finals 4'!$K24,IF('Finals 4'!$K24=$C$29,'Finals 4'!$I24,"")))</f>
        <v/>
      </c>
      <c r="AP24" s="629">
        <f t="shared" ca="1" si="14"/>
        <v>100021</v>
      </c>
      <c r="AQ24" s="627">
        <f t="shared" ca="1" si="15"/>
        <v>100023</v>
      </c>
      <c r="AR24" s="628">
        <f ca="1">IF(AT24="",99999,'Finals 4'!$D24)</f>
        <v>99999</v>
      </c>
      <c r="AS24" s="293" t="str">
        <f ca="1">IF(AT24="","",'Finals 4'!$E24)</f>
        <v/>
      </c>
      <c r="AT24" s="294" t="str">
        <f ca="1">IF($C$34="","",IF('Finals 4'!$I24=$C$34,'Finals 4'!$K24,IF('Finals 4'!$K24=$C$34,'Finals 4'!$I24,"")))</f>
        <v/>
      </c>
      <c r="AU24" s="629">
        <f t="shared" ca="1" si="16"/>
        <v>100021</v>
      </c>
      <c r="AV24" s="627">
        <f t="shared" ca="1" si="17"/>
        <v>100023</v>
      </c>
      <c r="AW24" s="628">
        <f ca="1">IF(AY24="",99999,'Finals 4'!$D24)</f>
        <v>99999</v>
      </c>
      <c r="AX24" s="293" t="str">
        <f ca="1">IF(AY24="","",'Finals 4'!$E24)</f>
        <v/>
      </c>
      <c r="AY24" s="294" t="str">
        <f ca="1">IF($C$39="","",IF('Finals 4'!$I24=$C$39,'Finals 4'!$K24,IF('Finals 4'!$K24=$C$39,'Finals 4'!$I24,"")))</f>
        <v/>
      </c>
      <c r="AZ24" s="629">
        <f t="shared" ca="1" si="18"/>
        <v>100022</v>
      </c>
      <c r="BA24" s="627">
        <f t="shared" si="19"/>
        <v>100023</v>
      </c>
      <c r="BB24" s="628">
        <f>IF(BD24="",99999,'Finals 4'!$D24)</f>
        <v>99999</v>
      </c>
      <c r="BC24" s="293" t="str">
        <f>IF(BD24="","",'Finals 4'!$E24)</f>
        <v/>
      </c>
      <c r="BD24" s="294" t="str">
        <f>IF($C$44="","",IF('Finals 4'!$I24=$C$44,'Finals 4'!$K24,IF('Finals 4'!$K24=$C$44,'Finals 4'!$I24,"")))</f>
        <v/>
      </c>
      <c r="BE24" s="629">
        <f t="shared" si="20"/>
        <v>100023</v>
      </c>
      <c r="BF24" s="627">
        <f t="shared" ca="1" si="21"/>
        <v>100023</v>
      </c>
      <c r="BG24" s="628">
        <f ca="1">IF(BI24="",99999,'Finals 4'!$D24)</f>
        <v>99999</v>
      </c>
      <c r="BH24" s="293" t="str">
        <f ca="1">IF(BI24="","",'Finals 4'!$E24)</f>
        <v/>
      </c>
      <c r="BI24" s="294" t="str">
        <f ca="1">IF($C$49="","",IF('Finals 4'!$I24=$C$49,'Finals 4'!$K24,IF('Finals 4'!$K24=$C$49,'Finals 4'!$I24,"")))</f>
        <v/>
      </c>
      <c r="BJ24" s="629">
        <f t="shared" ca="1" si="22"/>
        <v>100021</v>
      </c>
      <c r="BK24" s="627">
        <f t="shared" ca="1" si="23"/>
        <v>100023</v>
      </c>
      <c r="BL24" s="628">
        <f ca="1">IF(BN24="",99999,'Finals 4'!$D24)</f>
        <v>99999</v>
      </c>
      <c r="BM24" s="293" t="str">
        <f ca="1">IF(BN24="","",'Finals 4'!$E24)</f>
        <v/>
      </c>
      <c r="BN24" s="294" t="str">
        <f ca="1">IF($C$54="","",IF('Finals 4'!$I24=$C$54,'Finals 4'!$K24,IF('Finals 4'!$K24=$C$54,'Finals 4'!$I24,"")))</f>
        <v/>
      </c>
      <c r="BO24" s="629">
        <f t="shared" ca="1" si="24"/>
        <v>100021</v>
      </c>
      <c r="BP24" s="627">
        <f t="shared" ca="1" si="25"/>
        <v>100023</v>
      </c>
      <c r="BQ24" s="628">
        <f ca="1">IF(BS24="",99999,'Finals 4'!$D24)</f>
        <v>99999</v>
      </c>
      <c r="BR24" s="293" t="str">
        <f ca="1">IF(BS24="","",'Finals 4'!$E24)</f>
        <v/>
      </c>
      <c r="BS24" s="294" t="str">
        <f ca="1">IF($C$59="","",IF('Finals 4'!$I24=$C$59,'Finals 4'!$K24,IF('Finals 4'!$K24=$C$59,'Finals 4'!$I24,"")))</f>
        <v/>
      </c>
      <c r="BT24" s="629">
        <f t="shared" ca="1" si="26"/>
        <v>100021</v>
      </c>
      <c r="BU24" s="627">
        <f t="shared" ca="1" si="27"/>
        <v>100023</v>
      </c>
      <c r="BV24" s="628">
        <f ca="1">IF(BX24="",99999,'Finals 4'!$D24)</f>
        <v>99999</v>
      </c>
      <c r="BW24" s="293" t="str">
        <f ca="1">IF(BX24="","",'Finals 4'!$E24)</f>
        <v/>
      </c>
      <c r="BX24" s="294" t="str">
        <f ca="1">IF($C$64="","",IF('Finals 4'!$I24=$C$64,'Finals 4'!$K24,IF('Finals 4'!$K24=$C$64,'Finals 4'!$I24,"")))</f>
        <v/>
      </c>
      <c r="BY24" s="629">
        <f t="shared" ca="1" si="28"/>
        <v>100021</v>
      </c>
      <c r="BZ24" s="627">
        <f t="shared" ca="1" si="29"/>
        <v>100023</v>
      </c>
      <c r="CA24" s="628">
        <f ca="1">IF(CC24="",99999,'Finals 4'!$D24)</f>
        <v>99999</v>
      </c>
      <c r="CB24" s="293" t="str">
        <f ca="1">IF(CC24="","",'Finals 4'!$E24)</f>
        <v/>
      </c>
      <c r="CC24" s="294" t="str">
        <f ca="1">IF($C$69="","",IF('Finals 4'!$I24=$C$69,'Finals 4'!$K24,IF('Finals 4'!$K24=$C$69,'Finals 4'!$I24,"")))</f>
        <v/>
      </c>
      <c r="CD24" s="629">
        <f t="shared" ca="1" si="30"/>
        <v>100021</v>
      </c>
      <c r="CE24" s="627">
        <f t="shared" ca="1" si="31"/>
        <v>100023</v>
      </c>
      <c r="CF24" s="628">
        <f ca="1">IF(CH24="",99999,'Finals 4'!$D24)</f>
        <v>99999</v>
      </c>
      <c r="CG24" s="293" t="str">
        <f ca="1">IF(CH24="","",'Finals 4'!$E24)</f>
        <v/>
      </c>
      <c r="CH24" s="294" t="str">
        <f ca="1">IF($C$74="","",IF('Finals 4'!$I24=$C$74,'Finals 4'!$K24,IF('Finals 4'!$K24=$C$74,'Finals 4'!$I24,"")))</f>
        <v/>
      </c>
      <c r="CI24" s="629">
        <f t="shared" ca="1" si="32"/>
        <v>100021</v>
      </c>
      <c r="CJ24" s="627">
        <f t="shared" ca="1" si="33"/>
        <v>100023</v>
      </c>
      <c r="CK24" s="628">
        <f ca="1">IF(CM24="",99999,'Finals 4'!$D24)</f>
        <v>99999</v>
      </c>
      <c r="CL24" s="293" t="str">
        <f ca="1">IF(CM24="","",'Finals 4'!$E24)</f>
        <v/>
      </c>
      <c r="CM24" s="294" t="str">
        <f ca="1">IF($C$79="","",IF('Finals 4'!$I24=$C$79,'Finals 4'!$K24,IF('Finals 4'!$K24=$C$79,'Finals 4'!$I24,"")))</f>
        <v/>
      </c>
      <c r="CN24" s="629">
        <f t="shared" ca="1" si="34"/>
        <v>100021</v>
      </c>
      <c r="CO24" s="627">
        <f t="shared" ca="1" si="35"/>
        <v>100023</v>
      </c>
      <c r="CP24" s="628">
        <f ca="1">IF(CR24="",99999,'Finals 4'!$D24)</f>
        <v>99999</v>
      </c>
      <c r="CQ24" s="293" t="str">
        <f ca="1">IF(CR24="","",'Finals 4'!$E24)</f>
        <v/>
      </c>
      <c r="CR24" s="294" t="str">
        <f ca="1">IF($C$84="","",IF('Finals 4'!$I24=$C$84,'Finals 4'!$K24,IF('Finals 4'!$K24=$C$84,'Finals 4'!$I24,"")))</f>
        <v/>
      </c>
      <c r="CS24" s="629">
        <f t="shared" ca="1" si="36"/>
        <v>100021</v>
      </c>
      <c r="CT24" s="627">
        <f t="shared" si="37"/>
        <v>100023</v>
      </c>
      <c r="CU24" s="628">
        <f>IF(CW24="",99999,'Finals 4'!$D24)</f>
        <v>99999</v>
      </c>
      <c r="CV24" s="293" t="str">
        <f>IF(CW24="","",'Finals 4'!$E24)</f>
        <v/>
      </c>
      <c r="CW24" s="294" t="str">
        <f>IF($C$89="","",IF('Finals 4'!$I24=$C$89,'Finals 4'!$K24,IF('Finals 4'!$K24=$C$89,'Finals 4'!$I24,"")))</f>
        <v/>
      </c>
      <c r="CX24" s="629">
        <f t="shared" si="38"/>
        <v>100023</v>
      </c>
    </row>
    <row r="25" spans="2:102" ht="15.95" customHeight="1" x14ac:dyDescent="0.2">
      <c r="E25" s="610">
        <f ca="1">IF($AK$12&lt;99999,INDEX($L$12:$L$36,MATCH($AK$12,$AG$12:$AG$36,0)),"")</f>
        <v>57</v>
      </c>
      <c r="F25" s="611">
        <f ca="1">IF($AK$12&lt;99999,VLOOKUP($AK$12,$AG$12:$AJ$36,2,0),"")</f>
        <v>0.71527777777777779</v>
      </c>
      <c r="G25" s="612">
        <f ca="1">IF($AK$12&lt;99999,VLOOKUP($AK$12,$AG$12:$AJ$36,3,0),"")</f>
        <v>1</v>
      </c>
      <c r="H25" s="613" t="str">
        <f ca="1">IF($AK$12&lt;99999,VLOOKUP($AK$12,$AG$12:$AJ$36,4,0),"")</f>
        <v>SSV Wildbach</v>
      </c>
      <c r="J25" s="602">
        <f t="shared" ca="1" si="39"/>
        <v>0</v>
      </c>
      <c r="K25" s="602" t="str">
        <f ca="1">IF(J25=0,"",$C$24)</f>
        <v/>
      </c>
      <c r="L25" s="164">
        <f ca="1">'Finals 4'!$C25</f>
        <v>69</v>
      </c>
      <c r="M25" s="627">
        <f t="shared" ca="1" si="3"/>
        <v>100024</v>
      </c>
      <c r="N25" s="628">
        <f ca="1">IF(P25="",99999,'Finals 4'!$D25)</f>
        <v>99999</v>
      </c>
      <c r="O25" s="293" t="str">
        <f ca="1">IF(P25="","",'Finals 4'!$E25)</f>
        <v/>
      </c>
      <c r="P25" s="294" t="str">
        <f ca="1">IF($C$4="","",IF('Finals 4'!$I25=$C$4,'Finals 4'!$K25,IF('Finals 4'!$K25=$C$4,'Finals 4'!$I25,"")))</f>
        <v/>
      </c>
      <c r="Q25" s="629">
        <f t="shared" ca="1" si="4"/>
        <v>100023</v>
      </c>
      <c r="R25" s="627">
        <f t="shared" ca="1" si="5"/>
        <v>100024</v>
      </c>
      <c r="S25" s="628">
        <f ca="1">IF(U25="",99999,'Finals 4'!$D25)</f>
        <v>99999</v>
      </c>
      <c r="T25" s="293" t="str">
        <f ca="1">IF(U25="","",'Finals 4'!$E25)</f>
        <v/>
      </c>
      <c r="U25" s="294" t="str">
        <f ca="1">IF($C$9="","",IF('Finals 4'!$I25=$C$9,'Finals 4'!$K25,IF('Finals 4'!$K25=$C$9,'Finals 4'!$I25,"")))</f>
        <v/>
      </c>
      <c r="V25" s="629">
        <f t="shared" ca="1" si="6"/>
        <v>100022</v>
      </c>
      <c r="W25" s="627">
        <f t="shared" ca="1" si="7"/>
        <v>100024</v>
      </c>
      <c r="X25" s="628">
        <f ca="1">IF(Z25="",99999,'Finals 4'!$D25)</f>
        <v>99999</v>
      </c>
      <c r="Y25" s="293" t="str">
        <f ca="1">IF(Z25="","",'Finals 4'!$E25)</f>
        <v/>
      </c>
      <c r="Z25" s="294" t="str">
        <f ca="1">IF($C$14="","",IF('Finals 4'!$I25=$C$14,'Finals 4'!$K25,IF('Finals 4'!$K25=$C$14,'Finals 4'!$I25,"")))</f>
        <v/>
      </c>
      <c r="AA25" s="629">
        <f t="shared" ca="1" si="8"/>
        <v>100022</v>
      </c>
      <c r="AB25" s="627">
        <f t="shared" ca="1" si="9"/>
        <v>100024</v>
      </c>
      <c r="AC25" s="628">
        <f ca="1">IF(AE25="",99999,'Finals 4'!$D25)</f>
        <v>99999</v>
      </c>
      <c r="AD25" s="293" t="str">
        <f ca="1">IF(AE25="","",'Finals 4'!$E25)</f>
        <v/>
      </c>
      <c r="AE25" s="294" t="str">
        <f ca="1">IF($C$19="","",IF('Finals 4'!$I25=$C$19,'Finals 4'!$K25,IF('Finals 4'!$K25=$C$19,'Finals 4'!$I25,"")))</f>
        <v/>
      </c>
      <c r="AF25" s="629">
        <f t="shared" ca="1" si="10"/>
        <v>100023</v>
      </c>
      <c r="AG25" s="627">
        <f t="shared" ca="1" si="11"/>
        <v>100024</v>
      </c>
      <c r="AH25" s="628">
        <f ca="1">IF(AJ25="",99999,'Finals 4'!$D25)</f>
        <v>99999</v>
      </c>
      <c r="AI25" s="293" t="str">
        <f ca="1">IF(AJ25="","",'Finals 4'!$E25)</f>
        <v/>
      </c>
      <c r="AJ25" s="294" t="str">
        <f ca="1">IF($C$24="","",IF('Finals 4'!$I25=$C$24,'Finals 4'!$K25,IF('Finals 4'!$K25=$C$24,'Finals 4'!$I25,"")))</f>
        <v/>
      </c>
      <c r="AK25" s="629">
        <f t="shared" ca="1" si="12"/>
        <v>100023</v>
      </c>
      <c r="AL25" s="627">
        <f t="shared" ca="1" si="13"/>
        <v>100024</v>
      </c>
      <c r="AM25" s="628">
        <f ca="1">IF(AO25="",99999,'Finals 4'!$D25)</f>
        <v>99999</v>
      </c>
      <c r="AN25" s="293" t="str">
        <f ca="1">IF(AO25="","",'Finals 4'!$E25)</f>
        <v/>
      </c>
      <c r="AO25" s="294" t="str">
        <f ca="1">IF($C$29="","",IF('Finals 4'!$I25=$C$29,'Finals 4'!$K25,IF('Finals 4'!$K25=$C$29,'Finals 4'!$I25,"")))</f>
        <v/>
      </c>
      <c r="AP25" s="629">
        <f t="shared" ca="1" si="14"/>
        <v>100023</v>
      </c>
      <c r="AQ25" s="627">
        <f t="shared" ca="1" si="15"/>
        <v>100024</v>
      </c>
      <c r="AR25" s="628">
        <f ca="1">IF(AT25="",99999,'Finals 4'!$D25)</f>
        <v>99999</v>
      </c>
      <c r="AS25" s="293" t="str">
        <f ca="1">IF(AT25="","",'Finals 4'!$E25)</f>
        <v/>
      </c>
      <c r="AT25" s="294" t="str">
        <f ca="1">IF($C$34="","",IF('Finals 4'!$I25=$C$34,'Finals 4'!$K25,IF('Finals 4'!$K25=$C$34,'Finals 4'!$I25,"")))</f>
        <v/>
      </c>
      <c r="AU25" s="629">
        <f t="shared" ca="1" si="16"/>
        <v>100023</v>
      </c>
      <c r="AV25" s="627">
        <f t="shared" ca="1" si="17"/>
        <v>100024</v>
      </c>
      <c r="AW25" s="628">
        <f ca="1">IF(AY25="",99999,'Finals 4'!$D25)</f>
        <v>99999</v>
      </c>
      <c r="AX25" s="293" t="str">
        <f ca="1">IF(AY25="","",'Finals 4'!$E25)</f>
        <v/>
      </c>
      <c r="AY25" s="294" t="str">
        <f ca="1">IF($C$39="","",IF('Finals 4'!$I25=$C$39,'Finals 4'!$K25,IF('Finals 4'!$K25=$C$39,'Finals 4'!$I25,"")))</f>
        <v/>
      </c>
      <c r="AZ25" s="629">
        <f t="shared" ca="1" si="18"/>
        <v>100023</v>
      </c>
      <c r="BA25" s="627">
        <f t="shared" si="19"/>
        <v>100024</v>
      </c>
      <c r="BB25" s="628">
        <f>IF(BD25="",99999,'Finals 4'!$D25)</f>
        <v>99999</v>
      </c>
      <c r="BC25" s="293" t="str">
        <f>IF(BD25="","",'Finals 4'!$E25)</f>
        <v/>
      </c>
      <c r="BD25" s="294" t="str">
        <f>IF($C$44="","",IF('Finals 4'!$I25=$C$44,'Finals 4'!$K25,IF('Finals 4'!$K25=$C$44,'Finals 4'!$I25,"")))</f>
        <v/>
      </c>
      <c r="BE25" s="629">
        <f t="shared" si="20"/>
        <v>100024</v>
      </c>
      <c r="BF25" s="627">
        <f t="shared" ca="1" si="21"/>
        <v>100024</v>
      </c>
      <c r="BG25" s="628">
        <f ca="1">IF(BI25="",99999,'Finals 4'!$D25)</f>
        <v>99999</v>
      </c>
      <c r="BH25" s="293" t="str">
        <f ca="1">IF(BI25="","",'Finals 4'!$E25)</f>
        <v/>
      </c>
      <c r="BI25" s="294" t="str">
        <f ca="1">IF($C$49="","",IF('Finals 4'!$I25=$C$49,'Finals 4'!$K25,IF('Finals 4'!$K25=$C$49,'Finals 4'!$I25,"")))</f>
        <v/>
      </c>
      <c r="BJ25" s="629">
        <f t="shared" ca="1" si="22"/>
        <v>100022</v>
      </c>
      <c r="BK25" s="627">
        <f t="shared" ca="1" si="23"/>
        <v>100024</v>
      </c>
      <c r="BL25" s="628">
        <f ca="1">IF(BN25="",99999,'Finals 4'!$D25)</f>
        <v>99999</v>
      </c>
      <c r="BM25" s="293" t="str">
        <f ca="1">IF(BN25="","",'Finals 4'!$E25)</f>
        <v/>
      </c>
      <c r="BN25" s="294" t="str">
        <f ca="1">IF($C$54="","",IF('Finals 4'!$I25=$C$54,'Finals 4'!$K25,IF('Finals 4'!$K25=$C$54,'Finals 4'!$I25,"")))</f>
        <v/>
      </c>
      <c r="BO25" s="629">
        <f t="shared" ca="1" si="24"/>
        <v>100022</v>
      </c>
      <c r="BP25" s="627">
        <f t="shared" ca="1" si="25"/>
        <v>25.788194444444443</v>
      </c>
      <c r="BQ25" s="628">
        <f ca="1">IF(BS25="",99999,'Finals 4'!$D25)</f>
        <v>0.78819444444444442</v>
      </c>
      <c r="BR25" s="293">
        <f ca="1">IF(BS25="","",'Finals 4'!$E25)</f>
        <v>1</v>
      </c>
      <c r="BS25" s="294" t="str">
        <f ca="1">IF($C$59="","",IF('Finals 4'!$I25=$C$59,'Finals 4'!$K25,IF('Finals 4'!$K25=$C$59,'Finals 4'!$I25,"")))</f>
        <v>VFL Ronsdorf</v>
      </c>
      <c r="BT25" s="629">
        <f t="shared" ca="1" si="26"/>
        <v>100022</v>
      </c>
      <c r="BU25" s="627">
        <f t="shared" ca="1" si="27"/>
        <v>100024</v>
      </c>
      <c r="BV25" s="628">
        <f ca="1">IF(BX25="",99999,'Finals 4'!$D25)</f>
        <v>99999</v>
      </c>
      <c r="BW25" s="293" t="str">
        <f ca="1">IF(BX25="","",'Finals 4'!$E25)</f>
        <v/>
      </c>
      <c r="BX25" s="294" t="str">
        <f ca="1">IF($C$64="","",IF('Finals 4'!$I25=$C$64,'Finals 4'!$K25,IF('Finals 4'!$K25=$C$64,'Finals 4'!$I25,"")))</f>
        <v/>
      </c>
      <c r="BY25" s="629">
        <f t="shared" ca="1" si="28"/>
        <v>100022</v>
      </c>
      <c r="BZ25" s="627">
        <f t="shared" ca="1" si="29"/>
        <v>100024</v>
      </c>
      <c r="CA25" s="628">
        <f ca="1">IF(CC25="",99999,'Finals 4'!$D25)</f>
        <v>99999</v>
      </c>
      <c r="CB25" s="293" t="str">
        <f ca="1">IF(CC25="","",'Finals 4'!$E25)</f>
        <v/>
      </c>
      <c r="CC25" s="294" t="str">
        <f ca="1">IF($C$69="","",IF('Finals 4'!$I25=$C$69,'Finals 4'!$K25,IF('Finals 4'!$K25=$C$69,'Finals 4'!$I25,"")))</f>
        <v/>
      </c>
      <c r="CD25" s="629">
        <f t="shared" ca="1" si="30"/>
        <v>100022</v>
      </c>
      <c r="CE25" s="627">
        <f t="shared" ca="1" si="31"/>
        <v>100024</v>
      </c>
      <c r="CF25" s="628">
        <f ca="1">IF(CH25="",99999,'Finals 4'!$D25)</f>
        <v>99999</v>
      </c>
      <c r="CG25" s="293" t="str">
        <f ca="1">IF(CH25="","",'Finals 4'!$E25)</f>
        <v/>
      </c>
      <c r="CH25" s="294" t="str">
        <f ca="1">IF($C$74="","",IF('Finals 4'!$I25=$C$74,'Finals 4'!$K25,IF('Finals 4'!$K25=$C$74,'Finals 4'!$I25,"")))</f>
        <v/>
      </c>
      <c r="CI25" s="629">
        <f t="shared" ca="1" si="32"/>
        <v>100022</v>
      </c>
      <c r="CJ25" s="627">
        <f t="shared" ca="1" si="33"/>
        <v>25.788194444444443</v>
      </c>
      <c r="CK25" s="628">
        <f ca="1">IF(CM25="",99999,'Finals 4'!$D25)</f>
        <v>0.78819444444444442</v>
      </c>
      <c r="CL25" s="293">
        <f ca="1">IF(CM25="","",'Finals 4'!$E25)</f>
        <v>1</v>
      </c>
      <c r="CM25" s="294" t="str">
        <f ca="1">IF($C$79="","",IF('Finals 4'!$I25=$C$79,'Finals 4'!$K25,IF('Finals 4'!$K25=$C$79,'Finals 4'!$I25,"")))</f>
        <v>SSV Wildbach</v>
      </c>
      <c r="CN25" s="629">
        <f t="shared" ca="1" si="34"/>
        <v>100022</v>
      </c>
      <c r="CO25" s="627">
        <f t="shared" ca="1" si="35"/>
        <v>100024</v>
      </c>
      <c r="CP25" s="628">
        <f ca="1">IF(CR25="",99999,'Finals 4'!$D25)</f>
        <v>99999</v>
      </c>
      <c r="CQ25" s="293" t="str">
        <f ca="1">IF(CR25="","",'Finals 4'!$E25)</f>
        <v/>
      </c>
      <c r="CR25" s="294" t="str">
        <f ca="1">IF($C$84="","",IF('Finals 4'!$I25=$C$84,'Finals 4'!$K25,IF('Finals 4'!$K25=$C$84,'Finals 4'!$I25,"")))</f>
        <v/>
      </c>
      <c r="CS25" s="629">
        <f t="shared" ca="1" si="36"/>
        <v>100022</v>
      </c>
      <c r="CT25" s="627">
        <f t="shared" si="37"/>
        <v>100024</v>
      </c>
      <c r="CU25" s="628">
        <f>IF(CW25="",99999,'Finals 4'!$D25)</f>
        <v>99999</v>
      </c>
      <c r="CV25" s="293" t="str">
        <f>IF(CW25="","",'Finals 4'!$E25)</f>
        <v/>
      </c>
      <c r="CW25" s="294" t="str">
        <f>IF($C$89="","",IF('Finals 4'!$I25=$C$89,'Finals 4'!$K25,IF('Finals 4'!$K25=$C$89,'Finals 4'!$I25,"")))</f>
        <v/>
      </c>
      <c r="CX25" s="629">
        <f t="shared" si="38"/>
        <v>100024</v>
      </c>
    </row>
    <row r="26" spans="2:102" ht="15.95" customHeight="1" x14ac:dyDescent="0.2">
      <c r="E26" s="610">
        <f ca="1">IF($AK$13&lt;99999,INDEX($L$12:$L$36,MATCH($AK$13,$AG$12:$AG$36,0)),"")</f>
        <v>65</v>
      </c>
      <c r="F26" s="614">
        <f ca="1">IF($AK$13&lt;99999,VLOOKUP($AK$13,$AG$12:$AJ$36,2,0),"")</f>
        <v>0.76388888888888895</v>
      </c>
      <c r="G26" s="615">
        <f ca="1">IF($AK$13&lt;99999,VLOOKUP($AK$13,$AG$12:$AJ$36,3,0),"")</f>
        <v>1</v>
      </c>
      <c r="H26" s="616" t="str">
        <f ca="1">IF($AK$13&lt;99999,VLOOKUP($AK$13,$AG$12:$AJ$36,4,0),"")</f>
        <v>1. FC Riedwald</v>
      </c>
      <c r="J26" s="602">
        <f t="shared" ca="1" si="39"/>
        <v>0</v>
      </c>
      <c r="K26" s="602" t="str">
        <f t="shared" ref="K26:K27" ca="1" si="42">IF(J26=0,"",$C$24)</f>
        <v/>
      </c>
      <c r="L26" s="164">
        <f ca="1">'Finals 4'!$C26</f>
        <v>70</v>
      </c>
      <c r="M26" s="627">
        <f t="shared" ca="1" si="3"/>
        <v>100025</v>
      </c>
      <c r="N26" s="628">
        <f ca="1">IF(P26="",99999,'Finals 4'!$D26)</f>
        <v>99999</v>
      </c>
      <c r="O26" s="293" t="str">
        <f ca="1">IF(P26="","",'Finals 4'!$E26)</f>
        <v/>
      </c>
      <c r="P26" s="294" t="str">
        <f ca="1">IF($C$4="","",IF('Finals 4'!$I26=$C$4,'Finals 4'!$K26,IF('Finals 4'!$K26=$C$4,'Finals 4'!$I26,"")))</f>
        <v/>
      </c>
      <c r="Q26" s="629">
        <f t="shared" ca="1" si="4"/>
        <v>100024</v>
      </c>
      <c r="R26" s="627">
        <f t="shared" ca="1" si="5"/>
        <v>100025</v>
      </c>
      <c r="S26" s="628">
        <f ca="1">IF(U26="",99999,'Finals 4'!$D26)</f>
        <v>99999</v>
      </c>
      <c r="T26" s="293" t="str">
        <f ca="1">IF(U26="","",'Finals 4'!$E26)</f>
        <v/>
      </c>
      <c r="U26" s="294" t="str">
        <f ca="1">IF($C$9="","",IF('Finals 4'!$I26=$C$9,'Finals 4'!$K26,IF('Finals 4'!$K26=$C$9,'Finals 4'!$I26,"")))</f>
        <v/>
      </c>
      <c r="V26" s="629">
        <f t="shared" ca="1" si="6"/>
        <v>100024</v>
      </c>
      <c r="W26" s="627">
        <f t="shared" ca="1" si="7"/>
        <v>100025</v>
      </c>
      <c r="X26" s="628">
        <f ca="1">IF(Z26="",99999,'Finals 4'!$D26)</f>
        <v>99999</v>
      </c>
      <c r="Y26" s="293" t="str">
        <f ca="1">IF(Z26="","",'Finals 4'!$E26)</f>
        <v/>
      </c>
      <c r="Z26" s="294" t="str">
        <f ca="1">IF($C$14="","",IF('Finals 4'!$I26=$C$14,'Finals 4'!$K26,IF('Finals 4'!$K26=$C$14,'Finals 4'!$I26,"")))</f>
        <v/>
      </c>
      <c r="AA26" s="629">
        <f t="shared" ca="1" si="8"/>
        <v>100024</v>
      </c>
      <c r="AB26" s="627">
        <f t="shared" ca="1" si="9"/>
        <v>100025</v>
      </c>
      <c r="AC26" s="628">
        <f ca="1">IF(AE26="",99999,'Finals 4'!$D26)</f>
        <v>99999</v>
      </c>
      <c r="AD26" s="293" t="str">
        <f ca="1">IF(AE26="","",'Finals 4'!$E26)</f>
        <v/>
      </c>
      <c r="AE26" s="294" t="str">
        <f ca="1">IF($C$19="","",IF('Finals 4'!$I26=$C$19,'Finals 4'!$K26,IF('Finals 4'!$K26=$C$19,'Finals 4'!$I26,"")))</f>
        <v/>
      </c>
      <c r="AF26" s="629">
        <f t="shared" ca="1" si="10"/>
        <v>100024</v>
      </c>
      <c r="AG26" s="627">
        <f t="shared" ca="1" si="11"/>
        <v>100025</v>
      </c>
      <c r="AH26" s="628">
        <f ca="1">IF(AJ26="",99999,'Finals 4'!$D26)</f>
        <v>99999</v>
      </c>
      <c r="AI26" s="293" t="str">
        <f ca="1">IF(AJ26="","",'Finals 4'!$E26)</f>
        <v/>
      </c>
      <c r="AJ26" s="294" t="str">
        <f ca="1">IF($C$24="","",IF('Finals 4'!$I26=$C$24,'Finals 4'!$K26,IF('Finals 4'!$K26=$C$24,'Finals 4'!$I26,"")))</f>
        <v/>
      </c>
      <c r="AK26" s="629">
        <f t="shared" ca="1" si="12"/>
        <v>100024</v>
      </c>
      <c r="AL26" s="627">
        <f t="shared" ca="1" si="13"/>
        <v>100025</v>
      </c>
      <c r="AM26" s="628">
        <f ca="1">IF(AO26="",99999,'Finals 4'!$D26)</f>
        <v>99999</v>
      </c>
      <c r="AN26" s="293" t="str">
        <f ca="1">IF(AO26="","",'Finals 4'!$E26)</f>
        <v/>
      </c>
      <c r="AO26" s="294" t="str">
        <f ca="1">IF($C$29="","",IF('Finals 4'!$I26=$C$29,'Finals 4'!$K26,IF('Finals 4'!$K26=$C$29,'Finals 4'!$I26,"")))</f>
        <v/>
      </c>
      <c r="AP26" s="629">
        <f t="shared" ca="1" si="14"/>
        <v>100024</v>
      </c>
      <c r="AQ26" s="627">
        <f t="shared" ca="1" si="15"/>
        <v>100025</v>
      </c>
      <c r="AR26" s="628">
        <f ca="1">IF(AT26="",99999,'Finals 4'!$D26)</f>
        <v>99999</v>
      </c>
      <c r="AS26" s="293" t="str">
        <f ca="1">IF(AT26="","",'Finals 4'!$E26)</f>
        <v/>
      </c>
      <c r="AT26" s="294" t="str">
        <f ca="1">IF($C$34="","",IF('Finals 4'!$I26=$C$34,'Finals 4'!$K26,IF('Finals 4'!$K26=$C$34,'Finals 4'!$I26,"")))</f>
        <v/>
      </c>
      <c r="AU26" s="629">
        <f t="shared" ca="1" si="16"/>
        <v>100024</v>
      </c>
      <c r="AV26" s="627">
        <f t="shared" ca="1" si="17"/>
        <v>100025</v>
      </c>
      <c r="AW26" s="628">
        <f ca="1">IF(AY26="",99999,'Finals 4'!$D26)</f>
        <v>99999</v>
      </c>
      <c r="AX26" s="293" t="str">
        <f ca="1">IF(AY26="","",'Finals 4'!$E26)</f>
        <v/>
      </c>
      <c r="AY26" s="294" t="str">
        <f ca="1">IF($C$39="","",IF('Finals 4'!$I26=$C$39,'Finals 4'!$K26,IF('Finals 4'!$K26=$C$39,'Finals 4'!$I26,"")))</f>
        <v/>
      </c>
      <c r="AZ26" s="629">
        <f t="shared" ca="1" si="18"/>
        <v>100024</v>
      </c>
      <c r="BA26" s="627">
        <f t="shared" si="19"/>
        <v>100025</v>
      </c>
      <c r="BB26" s="628">
        <f>IF(BD26="",99999,'Finals 4'!$D26)</f>
        <v>99999</v>
      </c>
      <c r="BC26" s="293" t="str">
        <f>IF(BD26="","",'Finals 4'!$E26)</f>
        <v/>
      </c>
      <c r="BD26" s="294" t="str">
        <f>IF($C$44="","",IF('Finals 4'!$I26=$C$44,'Finals 4'!$K26,IF('Finals 4'!$K26=$C$44,'Finals 4'!$I26,"")))</f>
        <v/>
      </c>
      <c r="BE26" s="629">
        <f t="shared" si="20"/>
        <v>100025</v>
      </c>
      <c r="BF26" s="627">
        <f t="shared" ca="1" si="21"/>
        <v>100025</v>
      </c>
      <c r="BG26" s="628">
        <f ca="1">IF(BI26="",99999,'Finals 4'!$D26)</f>
        <v>99999</v>
      </c>
      <c r="BH26" s="293" t="str">
        <f ca="1">IF(BI26="","",'Finals 4'!$E26)</f>
        <v/>
      </c>
      <c r="BI26" s="294" t="str">
        <f ca="1">IF($C$49="","",IF('Finals 4'!$I26=$C$49,'Finals 4'!$K26,IF('Finals 4'!$K26=$C$49,'Finals 4'!$I26,"")))</f>
        <v/>
      </c>
      <c r="BJ26" s="629">
        <f t="shared" ca="1" si="22"/>
        <v>100023</v>
      </c>
      <c r="BK26" s="627">
        <f t="shared" ca="1" si="23"/>
        <v>100025</v>
      </c>
      <c r="BL26" s="628">
        <f ca="1">IF(BN26="",99999,'Finals 4'!$D26)</f>
        <v>99999</v>
      </c>
      <c r="BM26" s="293" t="str">
        <f ca="1">IF(BN26="","",'Finals 4'!$E26)</f>
        <v/>
      </c>
      <c r="BN26" s="294" t="str">
        <f ca="1">IF($C$54="","",IF('Finals 4'!$I26=$C$54,'Finals 4'!$K26,IF('Finals 4'!$K26=$C$54,'Finals 4'!$I26,"")))</f>
        <v/>
      </c>
      <c r="BO26" s="629">
        <f t="shared" ca="1" si="24"/>
        <v>100023</v>
      </c>
      <c r="BP26" s="627">
        <f t="shared" ca="1" si="25"/>
        <v>100025</v>
      </c>
      <c r="BQ26" s="628">
        <f ca="1">IF(BS26="",99999,'Finals 4'!$D26)</f>
        <v>99999</v>
      </c>
      <c r="BR26" s="293" t="str">
        <f ca="1">IF(BS26="","",'Finals 4'!$E26)</f>
        <v/>
      </c>
      <c r="BS26" s="294" t="str">
        <f ca="1">IF($C$59="","",IF('Finals 4'!$I26=$C$59,'Finals 4'!$K26,IF('Finals 4'!$K26=$C$59,'Finals 4'!$I26,"")))</f>
        <v/>
      </c>
      <c r="BT26" s="629">
        <f t="shared" ca="1" si="26"/>
        <v>100023</v>
      </c>
      <c r="BU26" s="627">
        <f t="shared" ca="1" si="27"/>
        <v>100025</v>
      </c>
      <c r="BV26" s="628">
        <f ca="1">IF(BX26="",99999,'Finals 4'!$D26)</f>
        <v>99999</v>
      </c>
      <c r="BW26" s="293" t="str">
        <f ca="1">IF(BX26="","",'Finals 4'!$E26)</f>
        <v/>
      </c>
      <c r="BX26" s="294" t="str">
        <f ca="1">IF($C$64="","",IF('Finals 4'!$I26=$C$64,'Finals 4'!$K26,IF('Finals 4'!$K26=$C$64,'Finals 4'!$I26,"")))</f>
        <v/>
      </c>
      <c r="BY26" s="629">
        <f t="shared" ca="1" si="28"/>
        <v>100023</v>
      </c>
      <c r="BZ26" s="627">
        <f t="shared" ca="1" si="29"/>
        <v>26.788194444444443</v>
      </c>
      <c r="CA26" s="628">
        <f ca="1">IF(CC26="",99999,'Finals 4'!$D26)</f>
        <v>0.78819444444444442</v>
      </c>
      <c r="CB26" s="293">
        <f ca="1">IF(CC26="","",'Finals 4'!$E26)</f>
        <v>2</v>
      </c>
      <c r="CC26" s="294" t="str">
        <f ca="1">IF($C$69="","",IF('Finals 4'!$I26=$C$69,'Finals 4'!$K26,IF('Finals 4'!$K26=$C$69,'Finals 4'!$I26,"")))</f>
        <v>Borussia Heine</v>
      </c>
      <c r="CD26" s="629">
        <f t="shared" ca="1" si="30"/>
        <v>100023</v>
      </c>
      <c r="CE26" s="627">
        <f t="shared" ca="1" si="31"/>
        <v>100025</v>
      </c>
      <c r="CF26" s="628">
        <f ca="1">IF(CH26="",99999,'Finals 4'!$D26)</f>
        <v>99999</v>
      </c>
      <c r="CG26" s="293" t="str">
        <f ca="1">IF(CH26="","",'Finals 4'!$E26)</f>
        <v/>
      </c>
      <c r="CH26" s="294" t="str">
        <f ca="1">IF($C$74="","",IF('Finals 4'!$I26=$C$74,'Finals 4'!$K26,IF('Finals 4'!$K26=$C$74,'Finals 4'!$I26,"")))</f>
        <v/>
      </c>
      <c r="CI26" s="629">
        <f t="shared" ca="1" si="32"/>
        <v>100023</v>
      </c>
      <c r="CJ26" s="627">
        <f t="shared" ca="1" si="33"/>
        <v>100025</v>
      </c>
      <c r="CK26" s="628">
        <f ca="1">IF(CM26="",99999,'Finals 4'!$D26)</f>
        <v>99999</v>
      </c>
      <c r="CL26" s="293" t="str">
        <f ca="1">IF(CM26="","",'Finals 4'!$E26)</f>
        <v/>
      </c>
      <c r="CM26" s="294" t="str">
        <f ca="1">IF($C$79="","",IF('Finals 4'!$I26=$C$79,'Finals 4'!$K26,IF('Finals 4'!$K26=$C$79,'Finals 4'!$I26,"")))</f>
        <v/>
      </c>
      <c r="CN26" s="629">
        <f t="shared" ca="1" si="34"/>
        <v>100023</v>
      </c>
      <c r="CO26" s="627">
        <f t="shared" ca="1" si="35"/>
        <v>26.788194444444443</v>
      </c>
      <c r="CP26" s="628">
        <f ca="1">IF(CR26="",99999,'Finals 4'!$D26)</f>
        <v>0.78819444444444442</v>
      </c>
      <c r="CQ26" s="293">
        <f ca="1">IF(CR26="","",'Finals 4'!$E26)</f>
        <v>2</v>
      </c>
      <c r="CR26" s="294" t="str">
        <f ca="1">IF($C$84="","",IF('Finals 4'!$I26=$C$84,'Finals 4'!$K26,IF('Finals 4'!$K26=$C$84,'Finals 4'!$I26,"")))</f>
        <v>FC Grönlingen</v>
      </c>
      <c r="CS26" s="629">
        <f t="shared" ca="1" si="36"/>
        <v>100023</v>
      </c>
      <c r="CT26" s="627">
        <f t="shared" si="37"/>
        <v>100025</v>
      </c>
      <c r="CU26" s="628">
        <f>IF(CW26="",99999,'Finals 4'!$D26)</f>
        <v>99999</v>
      </c>
      <c r="CV26" s="293" t="str">
        <f>IF(CW26="","",'Finals 4'!$E26)</f>
        <v/>
      </c>
      <c r="CW26" s="294" t="str">
        <f>IF($C$89="","",IF('Finals 4'!$I26=$C$89,'Finals 4'!$K26,IF('Finals 4'!$K26=$C$89,'Finals 4'!$I26,"")))</f>
        <v/>
      </c>
      <c r="CX26" s="629">
        <f t="shared" si="38"/>
        <v>100025</v>
      </c>
    </row>
    <row r="27" spans="2:102" ht="15.95" customHeight="1" thickBot="1" x14ac:dyDescent="0.25">
      <c r="E27" s="617">
        <f ca="1">IF($AK$14&lt;99999,INDEX($L$12:$L$36,MATCH($AK$14,$AG$12:$AG$36,0)),"")</f>
        <v>77</v>
      </c>
      <c r="F27" s="618">
        <f ca="1">IF($AK$14&lt;99999,VLOOKUP($AK$14,$AG$12:$AJ$36,2,0),"")</f>
        <v>0.83680555555555558</v>
      </c>
      <c r="G27" s="619">
        <f ca="1">IF($AK$14&lt;99999,VLOOKUP($AK$14,$AG$12:$AJ$36,3,0),"")</f>
        <v>1</v>
      </c>
      <c r="H27" s="620" t="str">
        <f ca="1">IF($AK$14&lt;99999,VLOOKUP($AK$14,$AG$12:$AJ$36,4,0),"")</f>
        <v>VFL Ronsdorf</v>
      </c>
      <c r="J27" s="602">
        <f t="shared" ca="1" si="39"/>
        <v>0</v>
      </c>
      <c r="K27" s="602" t="str">
        <f t="shared" ca="1" si="42"/>
        <v/>
      </c>
      <c r="L27" s="164">
        <f ca="1">'Finals 4'!$C27</f>
        <v>71</v>
      </c>
      <c r="M27" s="627">
        <f t="shared" ca="1" si="3"/>
        <v>100026</v>
      </c>
      <c r="N27" s="628">
        <f ca="1">IF(P27="",99999,'Finals 4'!$D27)</f>
        <v>99999</v>
      </c>
      <c r="O27" s="293" t="str">
        <f ca="1">IF(P27="","",'Finals 4'!$E27)</f>
        <v/>
      </c>
      <c r="P27" s="294" t="str">
        <f ca="1">IF($C$4="","",IF('Finals 4'!$I27=$C$4,'Finals 4'!$K27,IF('Finals 4'!$K27=$C$4,'Finals 4'!$I27,"")))</f>
        <v/>
      </c>
      <c r="Q27" s="629">
        <f t="shared" ca="1" si="4"/>
        <v>100025</v>
      </c>
      <c r="R27" s="627">
        <f t="shared" ca="1" si="5"/>
        <v>100026</v>
      </c>
      <c r="S27" s="628">
        <f ca="1">IF(U27="",99999,'Finals 4'!$D27)</f>
        <v>99999</v>
      </c>
      <c r="T27" s="293" t="str">
        <f ca="1">IF(U27="","",'Finals 4'!$E27)</f>
        <v/>
      </c>
      <c r="U27" s="294" t="str">
        <f ca="1">IF($C$9="","",IF('Finals 4'!$I27=$C$9,'Finals 4'!$K27,IF('Finals 4'!$K27=$C$9,'Finals 4'!$I27,"")))</f>
        <v/>
      </c>
      <c r="V27" s="629">
        <f t="shared" ca="1" si="6"/>
        <v>100025</v>
      </c>
      <c r="W27" s="627">
        <f t="shared" ca="1" si="7"/>
        <v>100026</v>
      </c>
      <c r="X27" s="628">
        <f ca="1">IF(Z27="",99999,'Finals 4'!$D27)</f>
        <v>99999</v>
      </c>
      <c r="Y27" s="293" t="str">
        <f ca="1">IF(Z27="","",'Finals 4'!$E27)</f>
        <v/>
      </c>
      <c r="Z27" s="294" t="str">
        <f ca="1">IF($C$14="","",IF('Finals 4'!$I27=$C$14,'Finals 4'!$K27,IF('Finals 4'!$K27=$C$14,'Finals 4'!$I27,"")))</f>
        <v/>
      </c>
      <c r="AA27" s="629">
        <f t="shared" ca="1" si="8"/>
        <v>100025</v>
      </c>
      <c r="AB27" s="627">
        <f t="shared" ca="1" si="9"/>
        <v>100026</v>
      </c>
      <c r="AC27" s="628">
        <f ca="1">IF(AE27="",99999,'Finals 4'!$D27)</f>
        <v>99999</v>
      </c>
      <c r="AD27" s="293" t="str">
        <f ca="1">IF(AE27="","",'Finals 4'!$E27)</f>
        <v/>
      </c>
      <c r="AE27" s="294" t="str">
        <f ca="1">IF($C$19="","",IF('Finals 4'!$I27=$C$19,'Finals 4'!$K27,IF('Finals 4'!$K27=$C$19,'Finals 4'!$I27,"")))</f>
        <v/>
      </c>
      <c r="AF27" s="629">
        <f t="shared" ca="1" si="10"/>
        <v>100025</v>
      </c>
      <c r="AG27" s="627">
        <f t="shared" ca="1" si="11"/>
        <v>100026</v>
      </c>
      <c r="AH27" s="628">
        <f ca="1">IF(AJ27="",99999,'Finals 4'!$D27)</f>
        <v>99999</v>
      </c>
      <c r="AI27" s="293" t="str">
        <f ca="1">IF(AJ27="","",'Finals 4'!$E27)</f>
        <v/>
      </c>
      <c r="AJ27" s="294" t="str">
        <f ca="1">IF($C$24="","",IF('Finals 4'!$I27=$C$24,'Finals 4'!$K27,IF('Finals 4'!$K27=$C$24,'Finals 4'!$I27,"")))</f>
        <v/>
      </c>
      <c r="AK27" s="629">
        <f t="shared" ca="1" si="12"/>
        <v>100025</v>
      </c>
      <c r="AL27" s="627">
        <f t="shared" ca="1" si="13"/>
        <v>100026</v>
      </c>
      <c r="AM27" s="628">
        <f ca="1">IF(AO27="",99999,'Finals 4'!$D27)</f>
        <v>99999</v>
      </c>
      <c r="AN27" s="293" t="str">
        <f ca="1">IF(AO27="","",'Finals 4'!$E27)</f>
        <v/>
      </c>
      <c r="AO27" s="294" t="str">
        <f ca="1">IF($C$29="","",IF('Finals 4'!$I27=$C$29,'Finals 4'!$K27,IF('Finals 4'!$K27=$C$29,'Finals 4'!$I27,"")))</f>
        <v/>
      </c>
      <c r="AP27" s="629">
        <f t="shared" ca="1" si="14"/>
        <v>100025</v>
      </c>
      <c r="AQ27" s="627">
        <f t="shared" ca="1" si="15"/>
        <v>100026</v>
      </c>
      <c r="AR27" s="628">
        <f ca="1">IF(AT27="",99999,'Finals 4'!$D27)</f>
        <v>99999</v>
      </c>
      <c r="AS27" s="293" t="str">
        <f ca="1">IF(AT27="","",'Finals 4'!$E27)</f>
        <v/>
      </c>
      <c r="AT27" s="294" t="str">
        <f ca="1">IF($C$34="","",IF('Finals 4'!$I27=$C$34,'Finals 4'!$K27,IF('Finals 4'!$K27=$C$34,'Finals 4'!$I27,"")))</f>
        <v/>
      </c>
      <c r="AU27" s="629">
        <f t="shared" ca="1" si="16"/>
        <v>100025</v>
      </c>
      <c r="AV27" s="627">
        <f t="shared" ca="1" si="17"/>
        <v>100026</v>
      </c>
      <c r="AW27" s="628">
        <f ca="1">IF(AY27="",99999,'Finals 4'!$D27)</f>
        <v>99999</v>
      </c>
      <c r="AX27" s="293" t="str">
        <f ca="1">IF(AY27="","",'Finals 4'!$E27)</f>
        <v/>
      </c>
      <c r="AY27" s="294" t="str">
        <f ca="1">IF($C$39="","",IF('Finals 4'!$I27=$C$39,'Finals 4'!$K27,IF('Finals 4'!$K27=$C$39,'Finals 4'!$I27,"")))</f>
        <v/>
      </c>
      <c r="AZ27" s="629">
        <f t="shared" ca="1" si="18"/>
        <v>100025</v>
      </c>
      <c r="BA27" s="627">
        <f t="shared" si="19"/>
        <v>100026</v>
      </c>
      <c r="BB27" s="628">
        <f>IF(BD27="",99999,'Finals 4'!$D27)</f>
        <v>99999</v>
      </c>
      <c r="BC27" s="293" t="str">
        <f>IF(BD27="","",'Finals 4'!$E27)</f>
        <v/>
      </c>
      <c r="BD27" s="294" t="str">
        <f>IF($C$44="","",IF('Finals 4'!$I27=$C$44,'Finals 4'!$K27,IF('Finals 4'!$K27=$C$44,'Finals 4'!$I27,"")))</f>
        <v/>
      </c>
      <c r="BE27" s="629">
        <f t="shared" si="20"/>
        <v>100026</v>
      </c>
      <c r="BF27" s="627">
        <f t="shared" ca="1" si="21"/>
        <v>27.788194444444443</v>
      </c>
      <c r="BG27" s="628">
        <f ca="1">IF(BI27="",99999,'Finals 4'!$D27)</f>
        <v>0.78819444444444442</v>
      </c>
      <c r="BH27" s="293">
        <f ca="1">IF(BI27="","",'Finals 4'!$E27)</f>
        <v>3</v>
      </c>
      <c r="BI27" s="294" t="str">
        <f ca="1">IF($C$49="","",IF('Finals 4'!$I27=$C$49,'Finals 4'!$K27,IF('Finals 4'!$K27=$C$49,'Finals 4'!$I27,"")))</f>
        <v>Inter Mailand</v>
      </c>
      <c r="BJ27" s="629">
        <f t="shared" ca="1" si="22"/>
        <v>100024</v>
      </c>
      <c r="BK27" s="627">
        <f t="shared" ca="1" si="23"/>
        <v>27.788194444444443</v>
      </c>
      <c r="BL27" s="628">
        <f ca="1">IF(BN27="",99999,'Finals 4'!$D27)</f>
        <v>0.78819444444444442</v>
      </c>
      <c r="BM27" s="293">
        <f ca="1">IF(BN27="","",'Finals 4'!$E27)</f>
        <v>3</v>
      </c>
      <c r="BN27" s="294" t="str">
        <f ca="1">IF($C$54="","",IF('Finals 4'!$I27=$C$54,'Finals 4'!$K27,IF('Finals 4'!$K27=$C$54,'Finals 4'!$I27,"")))</f>
        <v>Mainz 05</v>
      </c>
      <c r="BO27" s="629">
        <f t="shared" ca="1" si="24"/>
        <v>100024</v>
      </c>
      <c r="BP27" s="627">
        <f t="shared" ca="1" si="25"/>
        <v>100026</v>
      </c>
      <c r="BQ27" s="628">
        <f ca="1">IF(BS27="",99999,'Finals 4'!$D27)</f>
        <v>99999</v>
      </c>
      <c r="BR27" s="293" t="str">
        <f ca="1">IF(BS27="","",'Finals 4'!$E27)</f>
        <v/>
      </c>
      <c r="BS27" s="294" t="str">
        <f ca="1">IF($C$59="","",IF('Finals 4'!$I27=$C$59,'Finals 4'!$K27,IF('Finals 4'!$K27=$C$59,'Finals 4'!$I27,"")))</f>
        <v/>
      </c>
      <c r="BT27" s="629">
        <f t="shared" ca="1" si="26"/>
        <v>100025</v>
      </c>
      <c r="BU27" s="627">
        <f t="shared" ca="1" si="27"/>
        <v>100026</v>
      </c>
      <c r="BV27" s="628">
        <f ca="1">IF(BX27="",99999,'Finals 4'!$D27)</f>
        <v>99999</v>
      </c>
      <c r="BW27" s="293" t="str">
        <f ca="1">IF(BX27="","",'Finals 4'!$E27)</f>
        <v/>
      </c>
      <c r="BX27" s="294" t="str">
        <f ca="1">IF($C$64="","",IF('Finals 4'!$I27=$C$64,'Finals 4'!$K27,IF('Finals 4'!$K27=$C$64,'Finals 4'!$I27,"")))</f>
        <v/>
      </c>
      <c r="BY27" s="629">
        <f t="shared" ca="1" si="28"/>
        <v>100024</v>
      </c>
      <c r="BZ27" s="627">
        <f t="shared" ca="1" si="29"/>
        <v>100026</v>
      </c>
      <c r="CA27" s="628">
        <f ca="1">IF(CC27="",99999,'Finals 4'!$D27)</f>
        <v>99999</v>
      </c>
      <c r="CB27" s="293" t="str">
        <f ca="1">IF(CC27="","",'Finals 4'!$E27)</f>
        <v/>
      </c>
      <c r="CC27" s="294" t="str">
        <f ca="1">IF($C$69="","",IF('Finals 4'!$I27=$C$69,'Finals 4'!$K27,IF('Finals 4'!$K27=$C$69,'Finals 4'!$I27,"")))</f>
        <v/>
      </c>
      <c r="CD27" s="629">
        <f t="shared" ca="1" si="30"/>
        <v>100024</v>
      </c>
      <c r="CE27" s="627">
        <f t="shared" ca="1" si="31"/>
        <v>100026</v>
      </c>
      <c r="CF27" s="628">
        <f ca="1">IF(CH27="",99999,'Finals 4'!$D27)</f>
        <v>99999</v>
      </c>
      <c r="CG27" s="293" t="str">
        <f ca="1">IF(CH27="","",'Finals 4'!$E27)</f>
        <v/>
      </c>
      <c r="CH27" s="294" t="str">
        <f ca="1">IF($C$74="","",IF('Finals 4'!$I27=$C$74,'Finals 4'!$K27,IF('Finals 4'!$K27=$C$74,'Finals 4'!$I27,"")))</f>
        <v/>
      </c>
      <c r="CI27" s="629">
        <f t="shared" ca="1" si="32"/>
        <v>100024</v>
      </c>
      <c r="CJ27" s="627">
        <f t="shared" ca="1" si="33"/>
        <v>100026</v>
      </c>
      <c r="CK27" s="628">
        <f ca="1">IF(CM27="",99999,'Finals 4'!$D27)</f>
        <v>99999</v>
      </c>
      <c r="CL27" s="293" t="str">
        <f ca="1">IF(CM27="","",'Finals 4'!$E27)</f>
        <v/>
      </c>
      <c r="CM27" s="294" t="str">
        <f ca="1">IF($C$79="","",IF('Finals 4'!$I27=$C$79,'Finals 4'!$K27,IF('Finals 4'!$K27=$C$79,'Finals 4'!$I27,"")))</f>
        <v/>
      </c>
      <c r="CN27" s="629">
        <f t="shared" ca="1" si="34"/>
        <v>100025</v>
      </c>
      <c r="CO27" s="627">
        <f t="shared" ca="1" si="35"/>
        <v>100026</v>
      </c>
      <c r="CP27" s="628">
        <f ca="1">IF(CR27="",99999,'Finals 4'!$D27)</f>
        <v>99999</v>
      </c>
      <c r="CQ27" s="293" t="str">
        <f ca="1">IF(CR27="","",'Finals 4'!$E27)</f>
        <v/>
      </c>
      <c r="CR27" s="294" t="str">
        <f ca="1">IF($C$84="","",IF('Finals 4'!$I27=$C$84,'Finals 4'!$K27,IF('Finals 4'!$K27=$C$84,'Finals 4'!$I27,"")))</f>
        <v/>
      </c>
      <c r="CS27" s="629">
        <f t="shared" ca="1" si="36"/>
        <v>100024</v>
      </c>
      <c r="CT27" s="627">
        <f t="shared" si="37"/>
        <v>100026</v>
      </c>
      <c r="CU27" s="628">
        <f>IF(CW27="",99999,'Finals 4'!$D27)</f>
        <v>99999</v>
      </c>
      <c r="CV27" s="293" t="str">
        <f>IF(CW27="","",'Finals 4'!$E27)</f>
        <v/>
      </c>
      <c r="CW27" s="294" t="str">
        <f>IF($C$89="","",IF('Finals 4'!$I27=$C$89,'Finals 4'!$K27,IF('Finals 4'!$K27=$C$89,'Finals 4'!$I27,"")))</f>
        <v/>
      </c>
      <c r="CX27" s="629">
        <f t="shared" si="38"/>
        <v>100026</v>
      </c>
    </row>
    <row r="28" spans="2:102" ht="30" customHeight="1" thickBot="1" x14ac:dyDescent="0.25">
      <c r="J28" s="602">
        <f t="shared" ca="1" si="39"/>
        <v>0</v>
      </c>
      <c r="L28" s="164">
        <f ca="1">'Finals 4'!$C28</f>
        <v>72</v>
      </c>
      <c r="M28" s="627">
        <f t="shared" ca="1" si="3"/>
        <v>100027</v>
      </c>
      <c r="N28" s="628">
        <f ca="1">IF(P28="",99999,'Finals 4'!$D28)</f>
        <v>99999</v>
      </c>
      <c r="O28" s="293" t="str">
        <f ca="1">IF(P28="","",'Finals 4'!$E28)</f>
        <v/>
      </c>
      <c r="P28" s="294" t="str">
        <f ca="1">IF($C$4="","",IF('Finals 4'!$I28=$C$4,'Finals 4'!$K28,IF('Finals 4'!$K28=$C$4,'Finals 4'!$I28,"")))</f>
        <v/>
      </c>
      <c r="Q28" s="629">
        <f t="shared" ca="1" si="4"/>
        <v>100026</v>
      </c>
      <c r="R28" s="627">
        <f t="shared" ca="1" si="5"/>
        <v>100027</v>
      </c>
      <c r="S28" s="628">
        <f ca="1">IF(U28="",99999,'Finals 4'!$D28)</f>
        <v>99999</v>
      </c>
      <c r="T28" s="293" t="str">
        <f ca="1">IF(U28="","",'Finals 4'!$E28)</f>
        <v/>
      </c>
      <c r="U28" s="294" t="str">
        <f ca="1">IF($C$9="","",IF('Finals 4'!$I28=$C$9,'Finals 4'!$K28,IF('Finals 4'!$K28=$C$9,'Finals 4'!$I28,"")))</f>
        <v/>
      </c>
      <c r="V28" s="629">
        <f t="shared" ca="1" si="6"/>
        <v>100026</v>
      </c>
      <c r="W28" s="627">
        <f t="shared" ca="1" si="7"/>
        <v>100027</v>
      </c>
      <c r="X28" s="628">
        <f ca="1">IF(Z28="",99999,'Finals 4'!$D28)</f>
        <v>99999</v>
      </c>
      <c r="Y28" s="293" t="str">
        <f ca="1">IF(Z28="","",'Finals 4'!$E28)</f>
        <v/>
      </c>
      <c r="Z28" s="294" t="str">
        <f ca="1">IF($C$14="","",IF('Finals 4'!$I28=$C$14,'Finals 4'!$K28,IF('Finals 4'!$K28=$C$14,'Finals 4'!$I28,"")))</f>
        <v/>
      </c>
      <c r="AA28" s="629">
        <f t="shared" ca="1" si="8"/>
        <v>100026</v>
      </c>
      <c r="AB28" s="627">
        <f t="shared" ca="1" si="9"/>
        <v>100027</v>
      </c>
      <c r="AC28" s="628">
        <f ca="1">IF(AE28="",99999,'Finals 4'!$D28)</f>
        <v>99999</v>
      </c>
      <c r="AD28" s="293" t="str">
        <f ca="1">IF(AE28="","",'Finals 4'!$E28)</f>
        <v/>
      </c>
      <c r="AE28" s="294" t="str">
        <f ca="1">IF($C$19="","",IF('Finals 4'!$I28=$C$19,'Finals 4'!$K28,IF('Finals 4'!$K28=$C$19,'Finals 4'!$I28,"")))</f>
        <v/>
      </c>
      <c r="AF28" s="629">
        <f t="shared" ca="1" si="10"/>
        <v>100026</v>
      </c>
      <c r="AG28" s="627">
        <f t="shared" ca="1" si="11"/>
        <v>100027</v>
      </c>
      <c r="AH28" s="628">
        <f ca="1">IF(AJ28="",99999,'Finals 4'!$D28)</f>
        <v>99999</v>
      </c>
      <c r="AI28" s="293" t="str">
        <f ca="1">IF(AJ28="","",'Finals 4'!$E28)</f>
        <v/>
      </c>
      <c r="AJ28" s="294" t="str">
        <f ca="1">IF($C$24="","",IF('Finals 4'!$I28=$C$24,'Finals 4'!$K28,IF('Finals 4'!$K28=$C$24,'Finals 4'!$I28,"")))</f>
        <v/>
      </c>
      <c r="AK28" s="629">
        <f t="shared" ca="1" si="12"/>
        <v>100026</v>
      </c>
      <c r="AL28" s="627">
        <f t="shared" ca="1" si="13"/>
        <v>100027</v>
      </c>
      <c r="AM28" s="628">
        <f ca="1">IF(AO28="",99999,'Finals 4'!$D28)</f>
        <v>99999</v>
      </c>
      <c r="AN28" s="293" t="str">
        <f ca="1">IF(AO28="","",'Finals 4'!$E28)</f>
        <v/>
      </c>
      <c r="AO28" s="294" t="str">
        <f ca="1">IF($C$29="","",IF('Finals 4'!$I28=$C$29,'Finals 4'!$K28,IF('Finals 4'!$K28=$C$29,'Finals 4'!$I28,"")))</f>
        <v/>
      </c>
      <c r="AP28" s="629">
        <f t="shared" ca="1" si="14"/>
        <v>100026</v>
      </c>
      <c r="AQ28" s="627">
        <f t="shared" ca="1" si="15"/>
        <v>100027</v>
      </c>
      <c r="AR28" s="628">
        <f ca="1">IF(AT28="",99999,'Finals 4'!$D28)</f>
        <v>99999</v>
      </c>
      <c r="AS28" s="293" t="str">
        <f ca="1">IF(AT28="","",'Finals 4'!$E28)</f>
        <v/>
      </c>
      <c r="AT28" s="294" t="str">
        <f ca="1">IF($C$34="","",IF('Finals 4'!$I28=$C$34,'Finals 4'!$K28,IF('Finals 4'!$K28=$C$34,'Finals 4'!$I28,"")))</f>
        <v/>
      </c>
      <c r="AU28" s="629">
        <f t="shared" ca="1" si="16"/>
        <v>100026</v>
      </c>
      <c r="AV28" s="627">
        <f t="shared" ca="1" si="17"/>
        <v>100027</v>
      </c>
      <c r="AW28" s="628">
        <f ca="1">IF(AY28="",99999,'Finals 4'!$D28)</f>
        <v>99999</v>
      </c>
      <c r="AX28" s="293" t="str">
        <f ca="1">IF(AY28="","",'Finals 4'!$E28)</f>
        <v/>
      </c>
      <c r="AY28" s="294" t="str">
        <f ca="1">IF($C$39="","",IF('Finals 4'!$I28=$C$39,'Finals 4'!$K28,IF('Finals 4'!$K28=$C$39,'Finals 4'!$I28,"")))</f>
        <v/>
      </c>
      <c r="AZ28" s="629">
        <f t="shared" ca="1" si="18"/>
        <v>100026</v>
      </c>
      <c r="BA28" s="627">
        <f t="shared" si="19"/>
        <v>100027</v>
      </c>
      <c r="BB28" s="628">
        <f>IF(BD28="",99999,'Finals 4'!$D28)</f>
        <v>99999</v>
      </c>
      <c r="BC28" s="293" t="str">
        <f>IF(BD28="","",'Finals 4'!$E28)</f>
        <v/>
      </c>
      <c r="BD28" s="294" t="str">
        <f>IF($C$44="","",IF('Finals 4'!$I28=$C$44,'Finals 4'!$K28,IF('Finals 4'!$K28=$C$44,'Finals 4'!$I28,"")))</f>
        <v/>
      </c>
      <c r="BE28" s="629">
        <f t="shared" si="20"/>
        <v>100027</v>
      </c>
      <c r="BF28" s="627">
        <f t="shared" ca="1" si="21"/>
        <v>100027</v>
      </c>
      <c r="BG28" s="628">
        <f ca="1">IF(BI28="",99999,'Finals 4'!$D28)</f>
        <v>99999</v>
      </c>
      <c r="BH28" s="293" t="str">
        <f ca="1">IF(BI28="","",'Finals 4'!$E28)</f>
        <v/>
      </c>
      <c r="BI28" s="294" t="str">
        <f ca="1">IF($C$49="","",IF('Finals 4'!$I28=$C$49,'Finals 4'!$K28,IF('Finals 4'!$K28=$C$49,'Finals 4'!$I28,"")))</f>
        <v/>
      </c>
      <c r="BJ28" s="629">
        <f t="shared" ca="1" si="22"/>
        <v>100025</v>
      </c>
      <c r="BK28" s="627">
        <f t="shared" ca="1" si="23"/>
        <v>100027</v>
      </c>
      <c r="BL28" s="628">
        <f ca="1">IF(BN28="",99999,'Finals 4'!$D28)</f>
        <v>99999</v>
      </c>
      <c r="BM28" s="293" t="str">
        <f ca="1">IF(BN28="","",'Finals 4'!$E28)</f>
        <v/>
      </c>
      <c r="BN28" s="294" t="str">
        <f ca="1">IF($C$54="","",IF('Finals 4'!$I28=$C$54,'Finals 4'!$K28,IF('Finals 4'!$K28=$C$54,'Finals 4'!$I28,"")))</f>
        <v/>
      </c>
      <c r="BO28" s="629">
        <f t="shared" ca="1" si="24"/>
        <v>100025</v>
      </c>
      <c r="BP28" s="627">
        <f t="shared" ca="1" si="25"/>
        <v>100027</v>
      </c>
      <c r="BQ28" s="628">
        <f ca="1">IF(BS28="",99999,'Finals 4'!$D28)</f>
        <v>99999</v>
      </c>
      <c r="BR28" s="293" t="str">
        <f ca="1">IF(BS28="","",'Finals 4'!$E28)</f>
        <v/>
      </c>
      <c r="BS28" s="294" t="str">
        <f ca="1">IF($C$59="","",IF('Finals 4'!$I28=$C$59,'Finals 4'!$K28,IF('Finals 4'!$K28=$C$59,'Finals 4'!$I28,"")))</f>
        <v/>
      </c>
      <c r="BT28" s="629">
        <f t="shared" ca="1" si="26"/>
        <v>100026</v>
      </c>
      <c r="BU28" s="627">
        <f t="shared" ca="1" si="27"/>
        <v>28.788194444444443</v>
      </c>
      <c r="BV28" s="628">
        <f ca="1">IF(BX28="",99999,'Finals 4'!$D28)</f>
        <v>0.78819444444444442</v>
      </c>
      <c r="BW28" s="293">
        <f ca="1">IF(BX28="","",'Finals 4'!$E28)</f>
        <v>4</v>
      </c>
      <c r="BX28" s="294" t="str">
        <f ca="1">IF($C$64="","",IF('Finals 4'!$I28=$C$64,'Finals 4'!$K28,IF('Finals 4'!$K28=$C$64,'Finals 4'!$I28,"")))</f>
        <v>AC Roma</v>
      </c>
      <c r="BY28" s="629">
        <f t="shared" ca="1" si="28"/>
        <v>100025</v>
      </c>
      <c r="BZ28" s="627">
        <f t="shared" ca="1" si="29"/>
        <v>100027</v>
      </c>
      <c r="CA28" s="628">
        <f ca="1">IF(CC28="",99999,'Finals 4'!$D28)</f>
        <v>99999</v>
      </c>
      <c r="CB28" s="293" t="str">
        <f ca="1">IF(CC28="","",'Finals 4'!$E28)</f>
        <v/>
      </c>
      <c r="CC28" s="294" t="str">
        <f ca="1">IF($C$69="","",IF('Finals 4'!$I28=$C$69,'Finals 4'!$K28,IF('Finals 4'!$K28=$C$69,'Finals 4'!$I28,"")))</f>
        <v/>
      </c>
      <c r="CD28" s="629">
        <f t="shared" ca="1" si="30"/>
        <v>100026</v>
      </c>
      <c r="CE28" s="627">
        <f t="shared" ca="1" si="31"/>
        <v>28.788194444444443</v>
      </c>
      <c r="CF28" s="628">
        <f ca="1">IF(CH28="",99999,'Finals 4'!$D28)</f>
        <v>0.78819444444444442</v>
      </c>
      <c r="CG28" s="293">
        <f ca="1">IF(CH28="","",'Finals 4'!$E28)</f>
        <v>4</v>
      </c>
      <c r="CH28" s="294" t="str">
        <f ca="1">IF($C$74="","",IF('Finals 4'!$I28=$C$74,'Finals 4'!$K28,IF('Finals 4'!$K28=$C$74,'Finals 4'!$I28,"")))</f>
        <v>Manchester City</v>
      </c>
      <c r="CI28" s="629">
        <f t="shared" ca="1" si="32"/>
        <v>100025</v>
      </c>
      <c r="CJ28" s="627">
        <f t="shared" ca="1" si="33"/>
        <v>100027</v>
      </c>
      <c r="CK28" s="628">
        <f ca="1">IF(CM28="",99999,'Finals 4'!$D28)</f>
        <v>99999</v>
      </c>
      <c r="CL28" s="293" t="str">
        <f ca="1">IF(CM28="","",'Finals 4'!$E28)</f>
        <v/>
      </c>
      <c r="CM28" s="294" t="str">
        <f ca="1">IF($C$79="","",IF('Finals 4'!$I28=$C$79,'Finals 4'!$K28,IF('Finals 4'!$K28=$C$79,'Finals 4'!$I28,"")))</f>
        <v/>
      </c>
      <c r="CN28" s="629">
        <f t="shared" ca="1" si="34"/>
        <v>100026</v>
      </c>
      <c r="CO28" s="627">
        <f t="shared" ca="1" si="35"/>
        <v>100027</v>
      </c>
      <c r="CP28" s="628">
        <f ca="1">IF(CR28="",99999,'Finals 4'!$D28)</f>
        <v>99999</v>
      </c>
      <c r="CQ28" s="293" t="str">
        <f ca="1">IF(CR28="","",'Finals 4'!$E28)</f>
        <v/>
      </c>
      <c r="CR28" s="294" t="str">
        <f ca="1">IF($C$84="","",IF('Finals 4'!$I28=$C$84,'Finals 4'!$K28,IF('Finals 4'!$K28=$C$84,'Finals 4'!$I28,"")))</f>
        <v/>
      </c>
      <c r="CS28" s="629">
        <f t="shared" ca="1" si="36"/>
        <v>100026</v>
      </c>
      <c r="CT28" s="627">
        <f t="shared" si="37"/>
        <v>100027</v>
      </c>
      <c r="CU28" s="628">
        <f>IF(CW28="",99999,'Finals 4'!$D28)</f>
        <v>99999</v>
      </c>
      <c r="CV28" s="293" t="str">
        <f>IF(CW28="","",'Finals 4'!$E28)</f>
        <v/>
      </c>
      <c r="CW28" s="294" t="str">
        <f>IF($C$89="","",IF('Finals 4'!$I28=$C$89,'Finals 4'!$K28,IF('Finals 4'!$K28=$C$89,'Finals 4'!$I28,"")))</f>
        <v/>
      </c>
      <c r="CX28" s="629">
        <f t="shared" si="38"/>
        <v>100027</v>
      </c>
    </row>
    <row r="29" spans="2:102" ht="15.95" customHeight="1" x14ac:dyDescent="0.2">
      <c r="B29" s="604" t="s">
        <v>216</v>
      </c>
      <c r="C29" s="605" t="str">
        <f>IF(Planning!$C$17="","",Planning!$C$17)</f>
        <v>Fun Kickers Oes</v>
      </c>
      <c r="E29" s="606" t="str">
        <f>Language!$E$69</f>
        <v>Match No.</v>
      </c>
      <c r="F29" s="607" t="str">
        <f>Language!$E$39</f>
        <v>Start</v>
      </c>
      <c r="G29" s="608" t="str">
        <f>Language!$E$48</f>
        <v>Field</v>
      </c>
      <c r="H29" s="609" t="str">
        <f>Language!$E$46</f>
        <v>Match against</v>
      </c>
      <c r="J29" s="602">
        <f t="shared" ca="1" si="39"/>
        <v>0</v>
      </c>
      <c r="L29" s="164">
        <f ca="1">'Finals 4'!$C29</f>
        <v>73</v>
      </c>
      <c r="M29" s="627">
        <f t="shared" ca="1" si="3"/>
        <v>29.8125</v>
      </c>
      <c r="N29" s="628">
        <f ca="1">IF(P29="",99999,'Finals 4'!$D29)</f>
        <v>0.8125</v>
      </c>
      <c r="O29" s="293">
        <f ca="1">IF(P29="","",'Finals 4'!$E29)</f>
        <v>1</v>
      </c>
      <c r="P29" s="294" t="str">
        <f ca="1">IF($C$4="","",IF('Finals 4'!$I29=$C$4,'Finals 4'!$K29,IF('Finals 4'!$K29=$C$4,'Finals 4'!$I29,"")))</f>
        <v>SSV Wildbach</v>
      </c>
      <c r="Q29" s="629">
        <f t="shared" ca="1" si="4"/>
        <v>100027</v>
      </c>
      <c r="R29" s="627">
        <f t="shared" ca="1" si="5"/>
        <v>100028</v>
      </c>
      <c r="S29" s="628">
        <f ca="1">IF(U29="",99999,'Finals 4'!$D29)</f>
        <v>99999</v>
      </c>
      <c r="T29" s="293" t="str">
        <f ca="1">IF(U29="","",'Finals 4'!$E29)</f>
        <v/>
      </c>
      <c r="U29" s="294" t="str">
        <f ca="1">IF($C$9="","",IF('Finals 4'!$I29=$C$9,'Finals 4'!$K29,IF('Finals 4'!$K29=$C$9,'Finals 4'!$I29,"")))</f>
        <v/>
      </c>
      <c r="V29" s="629">
        <f t="shared" ca="1" si="6"/>
        <v>100027</v>
      </c>
      <c r="W29" s="627">
        <f t="shared" ca="1" si="7"/>
        <v>100028</v>
      </c>
      <c r="X29" s="628">
        <f ca="1">IF(Z29="",99999,'Finals 4'!$D29)</f>
        <v>99999</v>
      </c>
      <c r="Y29" s="293" t="str">
        <f ca="1">IF(Z29="","",'Finals 4'!$E29)</f>
        <v/>
      </c>
      <c r="Z29" s="294" t="str">
        <f ca="1">IF($C$14="","",IF('Finals 4'!$I29=$C$14,'Finals 4'!$K29,IF('Finals 4'!$K29=$C$14,'Finals 4'!$I29,"")))</f>
        <v/>
      </c>
      <c r="AA29" s="629">
        <f t="shared" ca="1" si="8"/>
        <v>100027</v>
      </c>
      <c r="AB29" s="627">
        <f t="shared" ca="1" si="9"/>
        <v>100028</v>
      </c>
      <c r="AC29" s="628">
        <f ca="1">IF(AE29="",99999,'Finals 4'!$D29)</f>
        <v>99999</v>
      </c>
      <c r="AD29" s="293" t="str">
        <f ca="1">IF(AE29="","",'Finals 4'!$E29)</f>
        <v/>
      </c>
      <c r="AE29" s="294" t="str">
        <f ca="1">IF($C$19="","",IF('Finals 4'!$I29=$C$19,'Finals 4'!$K29,IF('Finals 4'!$K29=$C$19,'Finals 4'!$I29,"")))</f>
        <v/>
      </c>
      <c r="AF29" s="629">
        <f t="shared" ca="1" si="10"/>
        <v>100027</v>
      </c>
      <c r="AG29" s="627">
        <f t="shared" ca="1" si="11"/>
        <v>100028</v>
      </c>
      <c r="AH29" s="628">
        <f ca="1">IF(AJ29="",99999,'Finals 4'!$D29)</f>
        <v>99999</v>
      </c>
      <c r="AI29" s="293" t="str">
        <f ca="1">IF(AJ29="","",'Finals 4'!$E29)</f>
        <v/>
      </c>
      <c r="AJ29" s="294" t="str">
        <f ca="1">IF($C$24="","",IF('Finals 4'!$I29=$C$24,'Finals 4'!$K29,IF('Finals 4'!$K29=$C$24,'Finals 4'!$I29,"")))</f>
        <v/>
      </c>
      <c r="AK29" s="629">
        <f t="shared" ca="1" si="12"/>
        <v>100027</v>
      </c>
      <c r="AL29" s="627">
        <f t="shared" ca="1" si="13"/>
        <v>100028</v>
      </c>
      <c r="AM29" s="628">
        <f ca="1">IF(AO29="",99999,'Finals 4'!$D29)</f>
        <v>99999</v>
      </c>
      <c r="AN29" s="293" t="str">
        <f ca="1">IF(AO29="","",'Finals 4'!$E29)</f>
        <v/>
      </c>
      <c r="AO29" s="294" t="str">
        <f ca="1">IF($C$29="","",IF('Finals 4'!$I29=$C$29,'Finals 4'!$K29,IF('Finals 4'!$K29=$C$29,'Finals 4'!$I29,"")))</f>
        <v/>
      </c>
      <c r="AP29" s="629">
        <f t="shared" ca="1" si="14"/>
        <v>100027</v>
      </c>
      <c r="AQ29" s="627">
        <f t="shared" ca="1" si="15"/>
        <v>100028</v>
      </c>
      <c r="AR29" s="628">
        <f ca="1">IF(AT29="",99999,'Finals 4'!$D29)</f>
        <v>99999</v>
      </c>
      <c r="AS29" s="293" t="str">
        <f ca="1">IF(AT29="","",'Finals 4'!$E29)</f>
        <v/>
      </c>
      <c r="AT29" s="294" t="str">
        <f ca="1">IF($C$34="","",IF('Finals 4'!$I29=$C$34,'Finals 4'!$K29,IF('Finals 4'!$K29=$C$34,'Finals 4'!$I29,"")))</f>
        <v/>
      </c>
      <c r="AU29" s="629">
        <f t="shared" ca="1" si="16"/>
        <v>100027</v>
      </c>
      <c r="AV29" s="627">
        <f t="shared" ca="1" si="17"/>
        <v>100028</v>
      </c>
      <c r="AW29" s="628">
        <f ca="1">IF(AY29="",99999,'Finals 4'!$D29)</f>
        <v>99999</v>
      </c>
      <c r="AX29" s="293" t="str">
        <f ca="1">IF(AY29="","",'Finals 4'!$E29)</f>
        <v/>
      </c>
      <c r="AY29" s="294" t="str">
        <f ca="1">IF($C$39="","",IF('Finals 4'!$I29=$C$39,'Finals 4'!$K29,IF('Finals 4'!$K29=$C$39,'Finals 4'!$I29,"")))</f>
        <v/>
      </c>
      <c r="AZ29" s="629">
        <f t="shared" ca="1" si="18"/>
        <v>100027</v>
      </c>
      <c r="BA29" s="627">
        <f t="shared" si="19"/>
        <v>100028</v>
      </c>
      <c r="BB29" s="628">
        <f>IF(BD29="",99999,'Finals 4'!$D29)</f>
        <v>99999</v>
      </c>
      <c r="BC29" s="293" t="str">
        <f>IF(BD29="","",'Finals 4'!$E29)</f>
        <v/>
      </c>
      <c r="BD29" s="294" t="str">
        <f>IF($C$44="","",IF('Finals 4'!$I29=$C$44,'Finals 4'!$K29,IF('Finals 4'!$K29=$C$44,'Finals 4'!$I29,"")))</f>
        <v/>
      </c>
      <c r="BE29" s="629">
        <f t="shared" si="20"/>
        <v>100028</v>
      </c>
      <c r="BF29" s="627">
        <f t="shared" ca="1" si="21"/>
        <v>100028</v>
      </c>
      <c r="BG29" s="628">
        <f ca="1">IF(BI29="",99999,'Finals 4'!$D29)</f>
        <v>99999</v>
      </c>
      <c r="BH29" s="293" t="str">
        <f ca="1">IF(BI29="","",'Finals 4'!$E29)</f>
        <v/>
      </c>
      <c r="BI29" s="294" t="str">
        <f ca="1">IF($C$49="","",IF('Finals 4'!$I29=$C$49,'Finals 4'!$K29,IF('Finals 4'!$K29=$C$49,'Finals 4'!$I29,"")))</f>
        <v/>
      </c>
      <c r="BJ29" s="629">
        <f t="shared" ca="1" si="22"/>
        <v>100027</v>
      </c>
      <c r="BK29" s="627">
        <f t="shared" ca="1" si="23"/>
        <v>100028</v>
      </c>
      <c r="BL29" s="628">
        <f ca="1">IF(BN29="",99999,'Finals 4'!$D29)</f>
        <v>99999</v>
      </c>
      <c r="BM29" s="293" t="str">
        <f ca="1">IF(BN29="","",'Finals 4'!$E29)</f>
        <v/>
      </c>
      <c r="BN29" s="294" t="str">
        <f ca="1">IF($C$54="","",IF('Finals 4'!$I29=$C$54,'Finals 4'!$K29,IF('Finals 4'!$K29=$C$54,'Finals 4'!$I29,"")))</f>
        <v/>
      </c>
      <c r="BO29" s="629">
        <f t="shared" ca="1" si="24"/>
        <v>100027</v>
      </c>
      <c r="BP29" s="627">
        <f t="shared" ca="1" si="25"/>
        <v>29.8125</v>
      </c>
      <c r="BQ29" s="628">
        <f ca="1">IF(BS29="",99999,'Finals 4'!$D29)</f>
        <v>0.8125</v>
      </c>
      <c r="BR29" s="293">
        <f ca="1">IF(BS29="","",'Finals 4'!$E29)</f>
        <v>1</v>
      </c>
      <c r="BS29" s="294" t="str">
        <f ca="1">IF($C$59="","",IF('Finals 4'!$I29=$C$59,'Finals 4'!$K29,IF('Finals 4'!$K29=$C$59,'Finals 4'!$I29,"")))</f>
        <v>1. FC Riedwald</v>
      </c>
      <c r="BT29" s="629">
        <f t="shared" ca="1" si="26"/>
        <v>100027</v>
      </c>
      <c r="BU29" s="627">
        <f t="shared" ca="1" si="27"/>
        <v>100028</v>
      </c>
      <c r="BV29" s="628">
        <f ca="1">IF(BX29="",99999,'Finals 4'!$D29)</f>
        <v>99999</v>
      </c>
      <c r="BW29" s="293" t="str">
        <f ca="1">IF(BX29="","",'Finals 4'!$E29)</f>
        <v/>
      </c>
      <c r="BX29" s="294" t="str">
        <f ca="1">IF($C$64="","",IF('Finals 4'!$I29=$C$64,'Finals 4'!$K29,IF('Finals 4'!$K29=$C$64,'Finals 4'!$I29,"")))</f>
        <v/>
      </c>
      <c r="BY29" s="629">
        <f t="shared" ca="1" si="28"/>
        <v>100026</v>
      </c>
      <c r="BZ29" s="627">
        <f t="shared" ca="1" si="29"/>
        <v>100028</v>
      </c>
      <c r="CA29" s="628">
        <f ca="1">IF(CC29="",99999,'Finals 4'!$D29)</f>
        <v>99999</v>
      </c>
      <c r="CB29" s="293" t="str">
        <f ca="1">IF(CC29="","",'Finals 4'!$E29)</f>
        <v/>
      </c>
      <c r="CC29" s="294" t="str">
        <f ca="1">IF($C$69="","",IF('Finals 4'!$I29=$C$69,'Finals 4'!$K29,IF('Finals 4'!$K29=$C$69,'Finals 4'!$I29,"")))</f>
        <v/>
      </c>
      <c r="CD29" s="629">
        <f t="shared" ca="1" si="30"/>
        <v>100027</v>
      </c>
      <c r="CE29" s="627">
        <f t="shared" ca="1" si="31"/>
        <v>100028</v>
      </c>
      <c r="CF29" s="628">
        <f ca="1">IF(CH29="",99999,'Finals 4'!$D29)</f>
        <v>99999</v>
      </c>
      <c r="CG29" s="293" t="str">
        <f ca="1">IF(CH29="","",'Finals 4'!$E29)</f>
        <v/>
      </c>
      <c r="CH29" s="294" t="str">
        <f ca="1">IF($C$74="","",IF('Finals 4'!$I29=$C$74,'Finals 4'!$K29,IF('Finals 4'!$K29=$C$74,'Finals 4'!$I29,"")))</f>
        <v/>
      </c>
      <c r="CI29" s="629">
        <f t="shared" ca="1" si="32"/>
        <v>100026</v>
      </c>
      <c r="CJ29" s="627">
        <f t="shared" ca="1" si="33"/>
        <v>100028</v>
      </c>
      <c r="CK29" s="628">
        <f ca="1">IF(CM29="",99999,'Finals 4'!$D29)</f>
        <v>99999</v>
      </c>
      <c r="CL29" s="293" t="str">
        <f ca="1">IF(CM29="","",'Finals 4'!$E29)</f>
        <v/>
      </c>
      <c r="CM29" s="294" t="str">
        <f ca="1">IF($C$79="","",IF('Finals 4'!$I29=$C$79,'Finals 4'!$K29,IF('Finals 4'!$K29=$C$79,'Finals 4'!$I29,"")))</f>
        <v/>
      </c>
      <c r="CN29" s="629">
        <f t="shared" ca="1" si="34"/>
        <v>100027</v>
      </c>
      <c r="CO29" s="627">
        <f t="shared" ca="1" si="35"/>
        <v>100028</v>
      </c>
      <c r="CP29" s="628">
        <f ca="1">IF(CR29="",99999,'Finals 4'!$D29)</f>
        <v>99999</v>
      </c>
      <c r="CQ29" s="293" t="str">
        <f ca="1">IF(CR29="","",'Finals 4'!$E29)</f>
        <v/>
      </c>
      <c r="CR29" s="294" t="str">
        <f ca="1">IF($C$84="","",IF('Finals 4'!$I29=$C$84,'Finals 4'!$K29,IF('Finals 4'!$K29=$C$84,'Finals 4'!$I29,"")))</f>
        <v/>
      </c>
      <c r="CS29" s="629">
        <f t="shared" ca="1" si="36"/>
        <v>100027</v>
      </c>
      <c r="CT29" s="627">
        <f t="shared" si="37"/>
        <v>100028</v>
      </c>
      <c r="CU29" s="628">
        <f>IF(CW29="",99999,'Finals 4'!$D29)</f>
        <v>99999</v>
      </c>
      <c r="CV29" s="293" t="str">
        <f>IF(CW29="","",'Finals 4'!$E29)</f>
        <v/>
      </c>
      <c r="CW29" s="294" t="str">
        <f>IF($C$89="","",IF('Finals 4'!$I29=$C$89,'Finals 4'!$K29,IF('Finals 4'!$K29=$C$89,'Finals 4'!$I29,"")))</f>
        <v/>
      </c>
      <c r="CX29" s="629">
        <f t="shared" si="38"/>
        <v>100028</v>
      </c>
    </row>
    <row r="30" spans="2:102" ht="15.95" customHeight="1" x14ac:dyDescent="0.2">
      <c r="E30" s="610">
        <f ca="1">IF($AP$12&lt;99999,INDEX($L$12:$L$36,MATCH($AP$12,$AL$12:$AL$36,0)),"")</f>
        <v>63</v>
      </c>
      <c r="F30" s="611">
        <f ca="1">IF($AP$12&lt;99999,VLOOKUP($AP$12,$AL$12:$AO$36,2,0),"")</f>
        <v>0.73958333333333337</v>
      </c>
      <c r="G30" s="612">
        <f ca="1">IF($AP$12&lt;99999,VLOOKUP($AP$12,$AL$12:$AO$36,3,0),"")</f>
        <v>3</v>
      </c>
      <c r="H30" s="613" t="str">
        <f ca="1">IF($AP$12&lt;99999,VLOOKUP($AP$12,$AL$12:$AO$36,4,0),"")</f>
        <v>Inter Mailand</v>
      </c>
      <c r="J30" s="602">
        <f t="shared" ca="1" si="39"/>
        <v>0</v>
      </c>
      <c r="K30" s="602" t="str">
        <f ca="1">IF(J30=0,"",$C$29)</f>
        <v/>
      </c>
      <c r="L30" s="164">
        <f ca="1">'Finals 4'!$C30</f>
        <v>74</v>
      </c>
      <c r="M30" s="627">
        <f t="shared" ref="M30:M36" ca="1" si="43">N30+ROW(N30)</f>
        <v>100029</v>
      </c>
      <c r="N30" s="293">
        <f ca="1">IF(P30="",99999,'Finals 4'!$D30)</f>
        <v>99999</v>
      </c>
      <c r="O30" s="293" t="str">
        <f ca="1">IF(P30="","",'Finals 4'!$E30)</f>
        <v/>
      </c>
      <c r="P30" s="633" t="str">
        <f ca="1">IF($C$4="","",IF('Finals 4'!$I30=$C$4,'Finals 4'!$K30,IF('Finals 4'!$K30=$C$4,'Finals 4'!$I30,"")))</f>
        <v/>
      </c>
      <c r="Q30" s="293">
        <f t="shared" ref="Q30:Q36" ca="1" si="44">SMALL(M$12:M$36,ROW(M30)-11)</f>
        <v>100029</v>
      </c>
      <c r="R30" s="293">
        <f t="shared" ref="R30:R36" ca="1" si="45">S30+ROW(S30)</f>
        <v>100029</v>
      </c>
      <c r="S30" s="293">
        <f ca="1">IF(U30="",99999,'Finals 4'!$D30)</f>
        <v>99999</v>
      </c>
      <c r="T30" s="293" t="str">
        <f ca="1">IF(U30="","",'Finals 4'!$E30)</f>
        <v/>
      </c>
      <c r="U30" s="633" t="str">
        <f ca="1">IF($C$9="","",IF('Finals 4'!$I30=$C$9,'Finals 4'!$K30,IF('Finals 4'!$K30=$C$9,'Finals 4'!$I30,"")))</f>
        <v/>
      </c>
      <c r="V30" s="293">
        <f t="shared" ref="V30:V36" ca="1" si="46">SMALL(R$12:R$36,ROW(R30)-11)</f>
        <v>100028</v>
      </c>
      <c r="W30" s="293">
        <f t="shared" ref="W30:W36" ca="1" si="47">X30+ROW(X30)</f>
        <v>100029</v>
      </c>
      <c r="X30" s="293">
        <f ca="1">IF(Z30="",99999,'Finals 4'!$D30)</f>
        <v>99999</v>
      </c>
      <c r="Y30" s="293" t="str">
        <f ca="1">IF(Z30="","",'Finals 4'!$E30)</f>
        <v/>
      </c>
      <c r="Z30" s="633" t="str">
        <f ca="1">IF($C$14="","",IF('Finals 4'!$I30=$C$14,'Finals 4'!$K30,IF('Finals 4'!$K30=$C$14,'Finals 4'!$I30,"")))</f>
        <v/>
      </c>
      <c r="AA30" s="293">
        <f t="shared" ref="AA30:AA36" ca="1" si="48">SMALL(W$12:W$36,ROW(W30)-11)</f>
        <v>100028</v>
      </c>
      <c r="AB30" s="293">
        <f t="shared" ref="AB30:AB36" ca="1" si="49">AC30+ROW(AC30)</f>
        <v>30.8125</v>
      </c>
      <c r="AC30" s="293">
        <f ca="1">IF(AE30="",99999,'Finals 4'!$D30)</f>
        <v>0.8125</v>
      </c>
      <c r="AD30" s="293">
        <f ca="1">IF(AE30="","",'Finals 4'!$E30)</f>
        <v>2</v>
      </c>
      <c r="AE30" s="633" t="str">
        <f ca="1">IF($C$19="","",IF('Finals 4'!$I30=$C$19,'Finals 4'!$K30,IF('Finals 4'!$K30=$C$19,'Finals 4'!$I30,"")))</f>
        <v>FC Grönlingen</v>
      </c>
      <c r="AF30" s="293">
        <f t="shared" ref="AF30:AF36" ca="1" si="50">SMALL(AB$12:AB$36,ROW(AB30)-11)</f>
        <v>100028</v>
      </c>
      <c r="AG30" s="293">
        <f t="shared" ref="AG30:AG36" ca="1" si="51">AH30+ROW(AH30)</f>
        <v>100029</v>
      </c>
      <c r="AH30" s="293">
        <f ca="1">IF(AJ30="",99999,'Finals 4'!$D30)</f>
        <v>99999</v>
      </c>
      <c r="AI30" s="293" t="str">
        <f ca="1">IF(AJ30="","",'Finals 4'!$E30)</f>
        <v/>
      </c>
      <c r="AJ30" s="633" t="str">
        <f ca="1">IF($C$24="","",IF('Finals 4'!$I30=$C$24,'Finals 4'!$K30,IF('Finals 4'!$K30=$C$24,'Finals 4'!$I30,"")))</f>
        <v/>
      </c>
      <c r="AK30" s="293">
        <f t="shared" ref="AK30:AK36" ca="1" si="52">SMALL(AG$12:AG$36,ROW(AG30)-11)</f>
        <v>100028</v>
      </c>
      <c r="AL30" s="293">
        <f t="shared" ref="AL30:AL36" ca="1" si="53">AM30+ROW(AM30)</f>
        <v>100029</v>
      </c>
      <c r="AM30" s="293">
        <f ca="1">IF(AO30="",99999,'Finals 4'!$D30)</f>
        <v>99999</v>
      </c>
      <c r="AN30" s="293" t="str">
        <f ca="1">IF(AO30="","",'Finals 4'!$E30)</f>
        <v/>
      </c>
      <c r="AO30" s="633" t="str">
        <f ca="1">IF($C$29="","",IF('Finals 4'!$I30=$C$29,'Finals 4'!$K30,IF('Finals 4'!$K30=$C$29,'Finals 4'!$I30,"")))</f>
        <v/>
      </c>
      <c r="AP30" s="293">
        <f t="shared" ref="AP30:AP36" ca="1" si="54">SMALL(AL$12:AL$36,ROW(AL30)-11)</f>
        <v>100028</v>
      </c>
      <c r="AQ30" s="293">
        <f t="shared" ref="AQ30:AQ36" ca="1" si="55">AR30+ROW(AR30)</f>
        <v>100029</v>
      </c>
      <c r="AR30" s="293">
        <f ca="1">IF(AT30="",99999,'Finals 4'!$D30)</f>
        <v>99999</v>
      </c>
      <c r="AS30" s="293" t="str">
        <f ca="1">IF(AT30="","",'Finals 4'!$E30)</f>
        <v/>
      </c>
      <c r="AT30" s="633" t="str">
        <f ca="1">IF($C$34="","",IF('Finals 4'!$I30=$C$34,'Finals 4'!$K30,IF('Finals 4'!$K30=$C$34,'Finals 4'!$I30,"")))</f>
        <v/>
      </c>
      <c r="AU30" s="293">
        <f t="shared" ref="AU30:AU36" ca="1" si="56">SMALL(AQ$12:AQ$36,ROW(AQ30)-11)</f>
        <v>100028</v>
      </c>
      <c r="AV30" s="293">
        <f t="shared" ref="AV30:AV36" ca="1" si="57">AW30+ROW(AW30)</f>
        <v>100029</v>
      </c>
      <c r="AW30" s="293">
        <f ca="1">IF(AY30="",99999,'Finals 4'!$D30)</f>
        <v>99999</v>
      </c>
      <c r="AX30" s="293" t="str">
        <f ca="1">IF(AY30="","",'Finals 4'!$E30)</f>
        <v/>
      </c>
      <c r="AY30" s="633" t="str">
        <f ca="1">IF($C$39="","",IF('Finals 4'!$I30=$C$39,'Finals 4'!$K30,IF('Finals 4'!$K30=$C$39,'Finals 4'!$I30,"")))</f>
        <v/>
      </c>
      <c r="AZ30" s="293">
        <f t="shared" ref="AZ30:AZ36" ca="1" si="58">SMALL(AV$12:AV$36,ROW(AV30)-11)</f>
        <v>100028</v>
      </c>
      <c r="BA30" s="293">
        <f t="shared" ref="BA30:BA36" si="59">BB30+ROW(BB30)</f>
        <v>100029</v>
      </c>
      <c r="BB30" s="293">
        <f>IF(BD30="",99999,'Finals 4'!$D30)</f>
        <v>99999</v>
      </c>
      <c r="BC30" s="293" t="str">
        <f>IF(BD30="","",'Finals 4'!$E30)</f>
        <v/>
      </c>
      <c r="BD30" s="633" t="str">
        <f>IF($C$44="","",IF('Finals 4'!$I30=$C$44,'Finals 4'!$K30,IF('Finals 4'!$K30=$C$44,'Finals 4'!$I30,"")))</f>
        <v/>
      </c>
      <c r="BE30" s="293">
        <f t="shared" ref="BE30:BE36" si="60">SMALL(BA$12:BA$36,ROW(BA30)-11)</f>
        <v>100029</v>
      </c>
      <c r="BF30" s="293">
        <f t="shared" ref="BF30:BF36" ca="1" si="61">BG30+ROW(BG30)</f>
        <v>100029</v>
      </c>
      <c r="BG30" s="293">
        <f ca="1">IF(BI30="",99999,'Finals 4'!$D30)</f>
        <v>99999</v>
      </c>
      <c r="BH30" s="293" t="str">
        <f ca="1">IF(BI30="","",'Finals 4'!$E30)</f>
        <v/>
      </c>
      <c r="BI30" s="633" t="str">
        <f ca="1">IF($C$49="","",IF('Finals 4'!$I30=$C$49,'Finals 4'!$K30,IF('Finals 4'!$K30=$C$49,'Finals 4'!$I30,"")))</f>
        <v/>
      </c>
      <c r="BJ30" s="293">
        <f t="shared" ref="BJ30:BJ36" ca="1" si="62">SMALL(BF$12:BF$36,ROW(BF30)-11)</f>
        <v>100028</v>
      </c>
      <c r="BK30" s="293">
        <f t="shared" ref="BK30:BK36" ca="1" si="63">BL30+ROW(BL30)</f>
        <v>100029</v>
      </c>
      <c r="BL30" s="293">
        <f ca="1">IF(BN30="",99999,'Finals 4'!$D30)</f>
        <v>99999</v>
      </c>
      <c r="BM30" s="293" t="str">
        <f ca="1">IF(BN30="","",'Finals 4'!$E30)</f>
        <v/>
      </c>
      <c r="BN30" s="633" t="str">
        <f ca="1">IF($C$54="","",IF('Finals 4'!$I30=$C$54,'Finals 4'!$K30,IF('Finals 4'!$K30=$C$54,'Finals 4'!$I30,"")))</f>
        <v/>
      </c>
      <c r="BO30" s="293">
        <f t="shared" ref="BO30:BO36" ca="1" si="64">SMALL(BK$12:BK$36,ROW(BK30)-11)</f>
        <v>100028</v>
      </c>
      <c r="BP30" s="293">
        <f t="shared" ref="BP30:BP36" ca="1" si="65">BQ30+ROW(BQ30)</f>
        <v>100029</v>
      </c>
      <c r="BQ30" s="293">
        <f ca="1">IF(BS30="",99999,'Finals 4'!$D30)</f>
        <v>99999</v>
      </c>
      <c r="BR30" s="293" t="str">
        <f ca="1">IF(BS30="","",'Finals 4'!$E30)</f>
        <v/>
      </c>
      <c r="BS30" s="633" t="str">
        <f ca="1">IF($C$59="","",IF('Finals 4'!$I30=$C$59,'Finals 4'!$K30,IF('Finals 4'!$K30=$C$59,'Finals 4'!$I30,"")))</f>
        <v/>
      </c>
      <c r="BT30" s="629">
        <f t="shared" ref="BT30:BT36" ca="1" si="66">SMALL(BP$12:BP$36,ROW(BP30)-11)</f>
        <v>100029</v>
      </c>
      <c r="BU30" s="627">
        <f t="shared" ca="1" si="27"/>
        <v>100029</v>
      </c>
      <c r="BV30" s="293">
        <f ca="1">IF(BX30="",99999,'Finals 4'!$D30)</f>
        <v>99999</v>
      </c>
      <c r="BW30" s="293" t="str">
        <f ca="1">IF(BX30="","",'Finals 4'!$E30)</f>
        <v/>
      </c>
      <c r="BX30" s="633" t="str">
        <f ca="1">IF($C$64="","",IF('Finals 4'!$I30=$C$64,'Finals 4'!$K30,IF('Finals 4'!$K30=$C$64,'Finals 4'!$I30,"")))</f>
        <v/>
      </c>
      <c r="BY30" s="293">
        <f t="shared" ca="1" si="28"/>
        <v>100028</v>
      </c>
      <c r="BZ30" s="627">
        <f t="shared" ca="1" si="29"/>
        <v>30.8125</v>
      </c>
      <c r="CA30" s="293">
        <f ca="1">IF(CC30="",99999,'Finals 4'!$D30)</f>
        <v>0.8125</v>
      </c>
      <c r="CB30" s="293">
        <f ca="1">IF(CC30="","",'Finals 4'!$E30)</f>
        <v>2</v>
      </c>
      <c r="CC30" s="633" t="str">
        <f ca="1">IF($C$69="","",IF('Finals 4'!$I30=$C$69,'Finals 4'!$K30,IF('Finals 4'!$K30=$C$69,'Finals 4'!$I30,"")))</f>
        <v>Maibach 1822 eV</v>
      </c>
      <c r="CD30" s="293">
        <f t="shared" ca="1" si="30"/>
        <v>100028</v>
      </c>
      <c r="CE30" s="627">
        <f t="shared" ca="1" si="31"/>
        <v>100029</v>
      </c>
      <c r="CF30" s="293">
        <f ca="1">IF(CH30="",99999,'Finals 4'!$D30)</f>
        <v>99999</v>
      </c>
      <c r="CG30" s="293" t="str">
        <f ca="1">IF(CH30="","",'Finals 4'!$E30)</f>
        <v/>
      </c>
      <c r="CH30" s="633" t="str">
        <f ca="1">IF($C$74="","",IF('Finals 4'!$I30=$C$74,'Finals 4'!$K30,IF('Finals 4'!$K30=$C$74,'Finals 4'!$I30,"")))</f>
        <v/>
      </c>
      <c r="CI30" s="293">
        <f t="shared" ca="1" si="32"/>
        <v>100028</v>
      </c>
      <c r="CJ30" s="627">
        <f t="shared" ca="1" si="33"/>
        <v>100029</v>
      </c>
      <c r="CK30" s="293">
        <f ca="1">IF(CM30="",99999,'Finals 4'!$D30)</f>
        <v>99999</v>
      </c>
      <c r="CL30" s="293" t="str">
        <f ca="1">IF(CM30="","",'Finals 4'!$E30)</f>
        <v/>
      </c>
      <c r="CM30" s="633" t="str">
        <f ca="1">IF($C$79="","",IF('Finals 4'!$I30=$C$79,'Finals 4'!$K30,IF('Finals 4'!$K30=$C$79,'Finals 4'!$I30,"")))</f>
        <v/>
      </c>
      <c r="CN30" s="293">
        <f t="shared" ca="1" si="34"/>
        <v>100028</v>
      </c>
      <c r="CO30" s="627">
        <f t="shared" ca="1" si="35"/>
        <v>100029</v>
      </c>
      <c r="CP30" s="293">
        <f ca="1">IF(CR30="",99999,'Finals 4'!$D30)</f>
        <v>99999</v>
      </c>
      <c r="CQ30" s="293" t="str">
        <f ca="1">IF(CR30="","",'Finals 4'!$E30)</f>
        <v/>
      </c>
      <c r="CR30" s="633" t="str">
        <f ca="1">IF($C$84="","",IF('Finals 4'!$I30=$C$84,'Finals 4'!$K30,IF('Finals 4'!$K30=$C$84,'Finals 4'!$I30,"")))</f>
        <v/>
      </c>
      <c r="CS30" s="293">
        <f t="shared" ca="1" si="36"/>
        <v>100028</v>
      </c>
      <c r="CT30" s="627">
        <f t="shared" si="37"/>
        <v>100029</v>
      </c>
      <c r="CU30" s="293">
        <f>IF(CW30="",99999,'Finals 4'!$D30)</f>
        <v>99999</v>
      </c>
      <c r="CV30" s="293" t="str">
        <f>IF(CW30="","",'Finals 4'!$E30)</f>
        <v/>
      </c>
      <c r="CW30" s="633" t="str">
        <f>IF($C$89="","",IF('Finals 4'!$I30=$C$89,'Finals 4'!$K30,IF('Finals 4'!$K30=$C$89,'Finals 4'!$I30,"")))</f>
        <v/>
      </c>
      <c r="CX30" s="629">
        <f t="shared" si="38"/>
        <v>100029</v>
      </c>
    </row>
    <row r="31" spans="2:102" ht="15.95" customHeight="1" x14ac:dyDescent="0.2">
      <c r="E31" s="610">
        <f ca="1">IF($AP$13&lt;99999,INDEX($L$12:$L$36,MATCH($AP$13,$AL$12:$AL$36,0)),"")</f>
        <v>67</v>
      </c>
      <c r="F31" s="614">
        <f ca="1">IF($AP$13&lt;99999,VLOOKUP($AP$13,$AL$12:$AO$36,2,0),"")</f>
        <v>0.76388888888888895</v>
      </c>
      <c r="G31" s="615">
        <f ca="1">IF($AP$13&lt;99999,VLOOKUP($AP$13,$AL$12:$AO$36,3,0),"")</f>
        <v>3</v>
      </c>
      <c r="H31" s="616" t="str">
        <f ca="1">IF($AP$13&lt;99999,VLOOKUP($AP$13,$AL$12:$AO$36,4,0),"")</f>
        <v>Raslo Winners</v>
      </c>
      <c r="J31" s="602">
        <f t="shared" ca="1" si="39"/>
        <v>0</v>
      </c>
      <c r="K31" s="602" t="str">
        <f t="shared" ref="K31:K32" ca="1" si="67">IF(J31=0,"",$C$29)</f>
        <v/>
      </c>
      <c r="L31" s="164">
        <f ca="1">'Finals 4'!$C31</f>
        <v>75</v>
      </c>
      <c r="M31" s="627">
        <f t="shared" ca="1" si="43"/>
        <v>100030</v>
      </c>
      <c r="N31" s="293">
        <f ca="1">IF(P31="",99999,'Finals 4'!$D31)</f>
        <v>99999</v>
      </c>
      <c r="O31" s="293" t="str">
        <f ca="1">IF(P31="","",'Finals 4'!$E31)</f>
        <v/>
      </c>
      <c r="P31" s="633" t="str">
        <f ca="1">IF($C$4="","",IF('Finals 4'!$I31=$C$4,'Finals 4'!$K31,IF('Finals 4'!$K31=$C$4,'Finals 4'!$I31,"")))</f>
        <v/>
      </c>
      <c r="Q31" s="293">
        <f t="shared" ca="1" si="44"/>
        <v>100030</v>
      </c>
      <c r="R31" s="293">
        <f t="shared" ca="1" si="45"/>
        <v>100030</v>
      </c>
      <c r="S31" s="293">
        <f ca="1">IF(U31="",99999,'Finals 4'!$D31)</f>
        <v>99999</v>
      </c>
      <c r="T31" s="293" t="str">
        <f ca="1">IF(U31="","",'Finals 4'!$E31)</f>
        <v/>
      </c>
      <c r="U31" s="633" t="str">
        <f ca="1">IF($C$9="","",IF('Finals 4'!$I31=$C$9,'Finals 4'!$K31,IF('Finals 4'!$K31=$C$9,'Finals 4'!$I31,"")))</f>
        <v/>
      </c>
      <c r="V31" s="293">
        <f t="shared" ca="1" si="46"/>
        <v>100029</v>
      </c>
      <c r="W31" s="293">
        <f t="shared" ca="1" si="47"/>
        <v>100030</v>
      </c>
      <c r="X31" s="293">
        <f ca="1">IF(Z31="",99999,'Finals 4'!$D31)</f>
        <v>99999</v>
      </c>
      <c r="Y31" s="293" t="str">
        <f ca="1">IF(Z31="","",'Finals 4'!$E31)</f>
        <v/>
      </c>
      <c r="Z31" s="633" t="str">
        <f ca="1">IF($C$14="","",IF('Finals 4'!$I31=$C$14,'Finals 4'!$K31,IF('Finals 4'!$K31=$C$14,'Finals 4'!$I31,"")))</f>
        <v/>
      </c>
      <c r="AA31" s="293">
        <f t="shared" ca="1" si="48"/>
        <v>100029</v>
      </c>
      <c r="AB31" s="293">
        <f t="shared" ca="1" si="49"/>
        <v>100030</v>
      </c>
      <c r="AC31" s="293">
        <f ca="1">IF(AE31="",99999,'Finals 4'!$D31)</f>
        <v>99999</v>
      </c>
      <c r="AD31" s="293" t="str">
        <f ca="1">IF(AE31="","",'Finals 4'!$E31)</f>
        <v/>
      </c>
      <c r="AE31" s="633" t="str">
        <f ca="1">IF($C$19="","",IF('Finals 4'!$I31=$C$19,'Finals 4'!$K31,IF('Finals 4'!$K31=$C$19,'Finals 4'!$I31,"")))</f>
        <v/>
      </c>
      <c r="AF31" s="293">
        <f t="shared" ca="1" si="50"/>
        <v>100030</v>
      </c>
      <c r="AG31" s="293">
        <f t="shared" ca="1" si="51"/>
        <v>100030</v>
      </c>
      <c r="AH31" s="293">
        <f ca="1">IF(AJ31="",99999,'Finals 4'!$D31)</f>
        <v>99999</v>
      </c>
      <c r="AI31" s="293" t="str">
        <f ca="1">IF(AJ31="","",'Finals 4'!$E31)</f>
        <v/>
      </c>
      <c r="AJ31" s="633" t="str">
        <f ca="1">IF($C$24="","",IF('Finals 4'!$I31=$C$24,'Finals 4'!$K31,IF('Finals 4'!$K31=$C$24,'Finals 4'!$I31,"")))</f>
        <v/>
      </c>
      <c r="AK31" s="293">
        <f t="shared" ca="1" si="52"/>
        <v>100029</v>
      </c>
      <c r="AL31" s="293">
        <f t="shared" ca="1" si="53"/>
        <v>31.8125</v>
      </c>
      <c r="AM31" s="293">
        <f ca="1">IF(AO31="",99999,'Finals 4'!$D31)</f>
        <v>0.8125</v>
      </c>
      <c r="AN31" s="293">
        <f ca="1">IF(AO31="","",'Finals 4'!$E31)</f>
        <v>3</v>
      </c>
      <c r="AO31" s="633" t="str">
        <f ca="1">IF($C$29="","",IF('Finals 4'!$I31=$C$29,'Finals 4'!$K31,IF('Finals 4'!$K31=$C$29,'Finals 4'!$I31,"")))</f>
        <v>Mainz 05</v>
      </c>
      <c r="AP31" s="293">
        <f t="shared" ca="1" si="54"/>
        <v>100029</v>
      </c>
      <c r="AQ31" s="293">
        <f t="shared" ca="1" si="55"/>
        <v>100030</v>
      </c>
      <c r="AR31" s="293">
        <f ca="1">IF(AT31="",99999,'Finals 4'!$D31)</f>
        <v>99999</v>
      </c>
      <c r="AS31" s="293" t="str">
        <f ca="1">IF(AT31="","",'Finals 4'!$E31)</f>
        <v/>
      </c>
      <c r="AT31" s="633" t="str">
        <f ca="1">IF($C$34="","",IF('Finals 4'!$I31=$C$34,'Finals 4'!$K31,IF('Finals 4'!$K31=$C$34,'Finals 4'!$I31,"")))</f>
        <v/>
      </c>
      <c r="AU31" s="293">
        <f t="shared" ca="1" si="56"/>
        <v>100029</v>
      </c>
      <c r="AV31" s="293">
        <f t="shared" ca="1" si="57"/>
        <v>100030</v>
      </c>
      <c r="AW31" s="293">
        <f ca="1">IF(AY31="",99999,'Finals 4'!$D31)</f>
        <v>99999</v>
      </c>
      <c r="AX31" s="293" t="str">
        <f ca="1">IF(AY31="","",'Finals 4'!$E31)</f>
        <v/>
      </c>
      <c r="AY31" s="633" t="str">
        <f ca="1">IF($C$39="","",IF('Finals 4'!$I31=$C$39,'Finals 4'!$K31,IF('Finals 4'!$K31=$C$39,'Finals 4'!$I31,"")))</f>
        <v/>
      </c>
      <c r="AZ31" s="293">
        <f t="shared" ca="1" si="58"/>
        <v>100029</v>
      </c>
      <c r="BA31" s="293">
        <f t="shared" si="59"/>
        <v>100030</v>
      </c>
      <c r="BB31" s="293">
        <f>IF(BD31="",99999,'Finals 4'!$D31)</f>
        <v>99999</v>
      </c>
      <c r="BC31" s="293" t="str">
        <f>IF(BD31="","",'Finals 4'!$E31)</f>
        <v/>
      </c>
      <c r="BD31" s="633" t="str">
        <f>IF($C$44="","",IF('Finals 4'!$I31=$C$44,'Finals 4'!$K31,IF('Finals 4'!$K31=$C$44,'Finals 4'!$I31,"")))</f>
        <v/>
      </c>
      <c r="BE31" s="293">
        <f t="shared" si="60"/>
        <v>100030</v>
      </c>
      <c r="BF31" s="293">
        <f t="shared" ca="1" si="61"/>
        <v>31.8125</v>
      </c>
      <c r="BG31" s="293">
        <f ca="1">IF(BI31="",99999,'Finals 4'!$D31)</f>
        <v>0.8125</v>
      </c>
      <c r="BH31" s="293">
        <f ca="1">IF(BI31="","",'Finals 4'!$E31)</f>
        <v>3</v>
      </c>
      <c r="BI31" s="633" t="str">
        <f ca="1">IF($C$49="","",IF('Finals 4'!$I31=$C$49,'Finals 4'!$K31,IF('Finals 4'!$K31=$C$49,'Finals 4'!$I31,"")))</f>
        <v>Fun Kickers Oes</v>
      </c>
      <c r="BJ31" s="293">
        <f t="shared" ca="1" si="62"/>
        <v>100029</v>
      </c>
      <c r="BK31" s="293">
        <f t="shared" ca="1" si="63"/>
        <v>100030</v>
      </c>
      <c r="BL31" s="293">
        <f ca="1">IF(BN31="",99999,'Finals 4'!$D31)</f>
        <v>99999</v>
      </c>
      <c r="BM31" s="293" t="str">
        <f ca="1">IF(BN31="","",'Finals 4'!$E31)</f>
        <v/>
      </c>
      <c r="BN31" s="633" t="str">
        <f ca="1">IF($C$54="","",IF('Finals 4'!$I31=$C$54,'Finals 4'!$K31,IF('Finals 4'!$K31=$C$54,'Finals 4'!$I31,"")))</f>
        <v/>
      </c>
      <c r="BO31" s="293">
        <f t="shared" ca="1" si="64"/>
        <v>100029</v>
      </c>
      <c r="BP31" s="293">
        <f t="shared" ca="1" si="65"/>
        <v>100030</v>
      </c>
      <c r="BQ31" s="293">
        <f ca="1">IF(BS31="",99999,'Finals 4'!$D31)</f>
        <v>99999</v>
      </c>
      <c r="BR31" s="293" t="str">
        <f ca="1">IF(BS31="","",'Finals 4'!$E31)</f>
        <v/>
      </c>
      <c r="BS31" s="633" t="str">
        <f ca="1">IF($C$59="","",IF('Finals 4'!$I31=$C$59,'Finals 4'!$K31,IF('Finals 4'!$K31=$C$59,'Finals 4'!$I31,"")))</f>
        <v/>
      </c>
      <c r="BT31" s="629">
        <f t="shared" ca="1" si="66"/>
        <v>100030</v>
      </c>
      <c r="BU31" s="627">
        <f t="shared" ca="1" si="27"/>
        <v>100030</v>
      </c>
      <c r="BV31" s="293">
        <f ca="1">IF(BX31="",99999,'Finals 4'!$D31)</f>
        <v>99999</v>
      </c>
      <c r="BW31" s="293" t="str">
        <f ca="1">IF(BX31="","",'Finals 4'!$E31)</f>
        <v/>
      </c>
      <c r="BX31" s="633" t="str">
        <f ca="1">IF($C$64="","",IF('Finals 4'!$I31=$C$64,'Finals 4'!$K31,IF('Finals 4'!$K31=$C$64,'Finals 4'!$I31,"")))</f>
        <v/>
      </c>
      <c r="BY31" s="293">
        <f t="shared" ca="1" si="28"/>
        <v>100029</v>
      </c>
      <c r="BZ31" s="627">
        <f t="shared" ca="1" si="29"/>
        <v>100030</v>
      </c>
      <c r="CA31" s="293">
        <f ca="1">IF(CC31="",99999,'Finals 4'!$D31)</f>
        <v>99999</v>
      </c>
      <c r="CB31" s="293" t="str">
        <f ca="1">IF(CC31="","",'Finals 4'!$E31)</f>
        <v/>
      </c>
      <c r="CC31" s="633" t="str">
        <f ca="1">IF($C$69="","",IF('Finals 4'!$I31=$C$69,'Finals 4'!$K31,IF('Finals 4'!$K31=$C$69,'Finals 4'!$I31,"")))</f>
        <v/>
      </c>
      <c r="CD31" s="293">
        <f t="shared" ca="1" si="30"/>
        <v>100030</v>
      </c>
      <c r="CE31" s="627">
        <f t="shared" ca="1" si="31"/>
        <v>100030</v>
      </c>
      <c r="CF31" s="293">
        <f ca="1">IF(CH31="",99999,'Finals 4'!$D31)</f>
        <v>99999</v>
      </c>
      <c r="CG31" s="293" t="str">
        <f ca="1">IF(CH31="","",'Finals 4'!$E31)</f>
        <v/>
      </c>
      <c r="CH31" s="633" t="str">
        <f ca="1">IF($C$74="","",IF('Finals 4'!$I31=$C$74,'Finals 4'!$K31,IF('Finals 4'!$K31=$C$74,'Finals 4'!$I31,"")))</f>
        <v/>
      </c>
      <c r="CI31" s="293">
        <f t="shared" ca="1" si="32"/>
        <v>100029</v>
      </c>
      <c r="CJ31" s="627">
        <f t="shared" ca="1" si="33"/>
        <v>100030</v>
      </c>
      <c r="CK31" s="293">
        <f ca="1">IF(CM31="",99999,'Finals 4'!$D31)</f>
        <v>99999</v>
      </c>
      <c r="CL31" s="293" t="str">
        <f ca="1">IF(CM31="","",'Finals 4'!$E31)</f>
        <v/>
      </c>
      <c r="CM31" s="633" t="str">
        <f ca="1">IF($C$79="","",IF('Finals 4'!$I31=$C$79,'Finals 4'!$K31,IF('Finals 4'!$K31=$C$79,'Finals 4'!$I31,"")))</f>
        <v/>
      </c>
      <c r="CN31" s="293">
        <f t="shared" ca="1" si="34"/>
        <v>100029</v>
      </c>
      <c r="CO31" s="627">
        <f t="shared" ca="1" si="35"/>
        <v>100030</v>
      </c>
      <c r="CP31" s="293">
        <f ca="1">IF(CR31="",99999,'Finals 4'!$D31)</f>
        <v>99999</v>
      </c>
      <c r="CQ31" s="293" t="str">
        <f ca="1">IF(CR31="","",'Finals 4'!$E31)</f>
        <v/>
      </c>
      <c r="CR31" s="633" t="str">
        <f ca="1">IF($C$84="","",IF('Finals 4'!$I31=$C$84,'Finals 4'!$K31,IF('Finals 4'!$K31=$C$84,'Finals 4'!$I31,"")))</f>
        <v/>
      </c>
      <c r="CS31" s="293">
        <f t="shared" ca="1" si="36"/>
        <v>100029</v>
      </c>
      <c r="CT31" s="627">
        <f t="shared" si="37"/>
        <v>100030</v>
      </c>
      <c r="CU31" s="293">
        <f>IF(CW31="",99999,'Finals 4'!$D31)</f>
        <v>99999</v>
      </c>
      <c r="CV31" s="293" t="str">
        <f>IF(CW31="","",'Finals 4'!$E31)</f>
        <v/>
      </c>
      <c r="CW31" s="633" t="str">
        <f>IF($C$89="","",IF('Finals 4'!$I31=$C$89,'Finals 4'!$K31,IF('Finals 4'!$K31=$C$89,'Finals 4'!$I31,"")))</f>
        <v/>
      </c>
      <c r="CX31" s="629">
        <f t="shared" si="38"/>
        <v>100030</v>
      </c>
    </row>
    <row r="32" spans="2:102" ht="15.95" customHeight="1" thickBot="1" x14ac:dyDescent="0.25">
      <c r="E32" s="617">
        <f ca="1">IF($AP$14&lt;99999,INDEX($L$12:$L$36,MATCH($AP$14,$AL$12:$AL$36,0)),"")</f>
        <v>75</v>
      </c>
      <c r="F32" s="618">
        <f ca="1">IF($AP$14&lt;99999,VLOOKUP($AP$14,$AL$12:$AO$36,2,0),"")</f>
        <v>0.8125</v>
      </c>
      <c r="G32" s="619">
        <f ca="1">IF($AP$14&lt;99999,VLOOKUP($AP$14,$AL$12:$AO$36,3,0),"")</f>
        <v>3</v>
      </c>
      <c r="H32" s="620" t="str">
        <f ca="1">IF($AP$14&lt;99999,VLOOKUP($AP$14,$AL$12:$AO$36,4,0),"")</f>
        <v>Mainz 05</v>
      </c>
      <c r="J32" s="602">
        <f t="shared" ca="1" si="39"/>
        <v>0</v>
      </c>
      <c r="K32" s="602" t="str">
        <f t="shared" ca="1" si="67"/>
        <v/>
      </c>
      <c r="L32" s="164">
        <f ca="1">'Finals 4'!$C32</f>
        <v>76</v>
      </c>
      <c r="M32" s="627">
        <f t="shared" ca="1" si="43"/>
        <v>100031</v>
      </c>
      <c r="N32" s="293">
        <f ca="1">IF(P32="",99999,'Finals 4'!$D32)</f>
        <v>99999</v>
      </c>
      <c r="O32" s="293" t="str">
        <f ca="1">IF(P32="","",'Finals 4'!$E32)</f>
        <v/>
      </c>
      <c r="P32" s="633" t="str">
        <f ca="1">IF($C$4="","",IF('Finals 4'!$I32=$C$4,'Finals 4'!$K32,IF('Finals 4'!$K32=$C$4,'Finals 4'!$I32,"")))</f>
        <v/>
      </c>
      <c r="Q32" s="293">
        <f t="shared" ca="1" si="44"/>
        <v>100031</v>
      </c>
      <c r="R32" s="293">
        <f t="shared" ca="1" si="45"/>
        <v>100031</v>
      </c>
      <c r="S32" s="293">
        <f ca="1">IF(U32="",99999,'Finals 4'!$D32)</f>
        <v>99999</v>
      </c>
      <c r="T32" s="293" t="str">
        <f ca="1">IF(U32="","",'Finals 4'!$E32)</f>
        <v/>
      </c>
      <c r="U32" s="633" t="str">
        <f ca="1">IF($C$9="","",IF('Finals 4'!$I32=$C$9,'Finals 4'!$K32,IF('Finals 4'!$K32=$C$9,'Finals 4'!$I32,"")))</f>
        <v/>
      </c>
      <c r="V32" s="293">
        <f t="shared" ca="1" si="46"/>
        <v>100030</v>
      </c>
      <c r="W32" s="293">
        <f t="shared" ca="1" si="47"/>
        <v>32.8125</v>
      </c>
      <c r="X32" s="293">
        <f ca="1">IF(Z32="",99999,'Finals 4'!$D32)</f>
        <v>0.8125</v>
      </c>
      <c r="Y32" s="293">
        <f ca="1">IF(Z32="","",'Finals 4'!$E32)</f>
        <v>4</v>
      </c>
      <c r="Z32" s="633" t="str">
        <f ca="1">IF($C$14="","",IF('Finals 4'!$I32=$C$14,'Finals 4'!$K32,IF('Finals 4'!$K32=$C$14,'Finals 4'!$I32,"")))</f>
        <v>AC Roma</v>
      </c>
      <c r="AA32" s="293">
        <f t="shared" ca="1" si="48"/>
        <v>100030</v>
      </c>
      <c r="AB32" s="293">
        <f t="shared" ca="1" si="49"/>
        <v>100031</v>
      </c>
      <c r="AC32" s="293">
        <f ca="1">IF(AE32="",99999,'Finals 4'!$D32)</f>
        <v>99999</v>
      </c>
      <c r="AD32" s="293" t="str">
        <f ca="1">IF(AE32="","",'Finals 4'!$E32)</f>
        <v/>
      </c>
      <c r="AE32" s="633" t="str">
        <f ca="1">IF($C$19="","",IF('Finals 4'!$I32=$C$19,'Finals 4'!$K32,IF('Finals 4'!$K32=$C$19,'Finals 4'!$I32,"")))</f>
        <v/>
      </c>
      <c r="AF32" s="293">
        <f t="shared" ca="1" si="50"/>
        <v>100031</v>
      </c>
      <c r="AG32" s="293">
        <f t="shared" ca="1" si="51"/>
        <v>100031</v>
      </c>
      <c r="AH32" s="293">
        <f ca="1">IF(AJ32="",99999,'Finals 4'!$D32)</f>
        <v>99999</v>
      </c>
      <c r="AI32" s="293" t="str">
        <f ca="1">IF(AJ32="","",'Finals 4'!$E32)</f>
        <v/>
      </c>
      <c r="AJ32" s="633" t="str">
        <f ca="1">IF($C$24="","",IF('Finals 4'!$I32=$C$24,'Finals 4'!$K32,IF('Finals 4'!$K32=$C$24,'Finals 4'!$I32,"")))</f>
        <v/>
      </c>
      <c r="AK32" s="293">
        <f t="shared" ca="1" si="52"/>
        <v>100030</v>
      </c>
      <c r="AL32" s="293">
        <f t="shared" ca="1" si="53"/>
        <v>100031</v>
      </c>
      <c r="AM32" s="293">
        <f ca="1">IF(AO32="",99999,'Finals 4'!$D32)</f>
        <v>99999</v>
      </c>
      <c r="AN32" s="293" t="str">
        <f ca="1">IF(AO32="","",'Finals 4'!$E32)</f>
        <v/>
      </c>
      <c r="AO32" s="633" t="str">
        <f ca="1">IF($C$29="","",IF('Finals 4'!$I32=$C$29,'Finals 4'!$K32,IF('Finals 4'!$K32=$C$29,'Finals 4'!$I32,"")))</f>
        <v/>
      </c>
      <c r="AP32" s="293">
        <f t="shared" ca="1" si="54"/>
        <v>100031</v>
      </c>
      <c r="AQ32" s="293">
        <f t="shared" ca="1" si="55"/>
        <v>100031</v>
      </c>
      <c r="AR32" s="293">
        <f ca="1">IF(AT32="",99999,'Finals 4'!$D32)</f>
        <v>99999</v>
      </c>
      <c r="AS32" s="293" t="str">
        <f ca="1">IF(AT32="","",'Finals 4'!$E32)</f>
        <v/>
      </c>
      <c r="AT32" s="633" t="str">
        <f ca="1">IF($C$34="","",IF('Finals 4'!$I32=$C$34,'Finals 4'!$K32,IF('Finals 4'!$K32=$C$34,'Finals 4'!$I32,"")))</f>
        <v/>
      </c>
      <c r="AU32" s="293">
        <f t="shared" ca="1" si="56"/>
        <v>100030</v>
      </c>
      <c r="AV32" s="293">
        <f t="shared" ca="1" si="57"/>
        <v>100031</v>
      </c>
      <c r="AW32" s="293">
        <f ca="1">IF(AY32="",99999,'Finals 4'!$D32)</f>
        <v>99999</v>
      </c>
      <c r="AX32" s="293" t="str">
        <f ca="1">IF(AY32="","",'Finals 4'!$E32)</f>
        <v/>
      </c>
      <c r="AY32" s="633" t="str">
        <f ca="1">IF($C$39="","",IF('Finals 4'!$I32=$C$39,'Finals 4'!$K32,IF('Finals 4'!$K32=$C$39,'Finals 4'!$I32,"")))</f>
        <v/>
      </c>
      <c r="AZ32" s="293">
        <f t="shared" ca="1" si="58"/>
        <v>100030</v>
      </c>
      <c r="BA32" s="293">
        <f t="shared" si="59"/>
        <v>100031</v>
      </c>
      <c r="BB32" s="293">
        <f>IF(BD32="",99999,'Finals 4'!$D32)</f>
        <v>99999</v>
      </c>
      <c r="BC32" s="293" t="str">
        <f>IF(BD32="","",'Finals 4'!$E32)</f>
        <v/>
      </c>
      <c r="BD32" s="633" t="str">
        <f>IF($C$44="","",IF('Finals 4'!$I32=$C$44,'Finals 4'!$K32,IF('Finals 4'!$K32=$C$44,'Finals 4'!$I32,"")))</f>
        <v/>
      </c>
      <c r="BE32" s="293">
        <f t="shared" si="60"/>
        <v>100031</v>
      </c>
      <c r="BF32" s="293">
        <f t="shared" ca="1" si="61"/>
        <v>100031</v>
      </c>
      <c r="BG32" s="293">
        <f ca="1">IF(BI32="",99999,'Finals 4'!$D32)</f>
        <v>99999</v>
      </c>
      <c r="BH32" s="293" t="str">
        <f ca="1">IF(BI32="","",'Finals 4'!$E32)</f>
        <v/>
      </c>
      <c r="BI32" s="633" t="str">
        <f ca="1">IF($C$49="","",IF('Finals 4'!$I32=$C$49,'Finals 4'!$K32,IF('Finals 4'!$K32=$C$49,'Finals 4'!$I32,"")))</f>
        <v/>
      </c>
      <c r="BJ32" s="293">
        <f t="shared" ca="1" si="62"/>
        <v>100031</v>
      </c>
      <c r="BK32" s="293">
        <f t="shared" ca="1" si="63"/>
        <v>100031</v>
      </c>
      <c r="BL32" s="293">
        <f ca="1">IF(BN32="",99999,'Finals 4'!$D32)</f>
        <v>99999</v>
      </c>
      <c r="BM32" s="293" t="str">
        <f ca="1">IF(BN32="","",'Finals 4'!$E32)</f>
        <v/>
      </c>
      <c r="BN32" s="633" t="str">
        <f ca="1">IF($C$54="","",IF('Finals 4'!$I32=$C$54,'Finals 4'!$K32,IF('Finals 4'!$K32=$C$54,'Finals 4'!$I32,"")))</f>
        <v/>
      </c>
      <c r="BO32" s="293">
        <f t="shared" ca="1" si="64"/>
        <v>100030</v>
      </c>
      <c r="BP32" s="293">
        <f t="shared" ca="1" si="65"/>
        <v>100031</v>
      </c>
      <c r="BQ32" s="293">
        <f ca="1">IF(BS32="",99999,'Finals 4'!$D32)</f>
        <v>99999</v>
      </c>
      <c r="BR32" s="293" t="str">
        <f ca="1">IF(BS32="","",'Finals 4'!$E32)</f>
        <v/>
      </c>
      <c r="BS32" s="633" t="str">
        <f ca="1">IF($C$59="","",IF('Finals 4'!$I32=$C$59,'Finals 4'!$K32,IF('Finals 4'!$K32=$C$59,'Finals 4'!$I32,"")))</f>
        <v/>
      </c>
      <c r="BT32" s="629">
        <f t="shared" ca="1" si="66"/>
        <v>100031</v>
      </c>
      <c r="BU32" s="627">
        <f t="shared" ca="1" si="27"/>
        <v>100031</v>
      </c>
      <c r="BV32" s="293">
        <f ca="1">IF(BX32="",99999,'Finals 4'!$D32)</f>
        <v>99999</v>
      </c>
      <c r="BW32" s="293" t="str">
        <f ca="1">IF(BX32="","",'Finals 4'!$E32)</f>
        <v/>
      </c>
      <c r="BX32" s="633" t="str">
        <f ca="1">IF($C$64="","",IF('Finals 4'!$I32=$C$64,'Finals 4'!$K32,IF('Finals 4'!$K32=$C$64,'Finals 4'!$I32,"")))</f>
        <v/>
      </c>
      <c r="BY32" s="293">
        <f t="shared" ca="1" si="28"/>
        <v>100030</v>
      </c>
      <c r="BZ32" s="627">
        <f t="shared" ca="1" si="29"/>
        <v>100031</v>
      </c>
      <c r="CA32" s="293">
        <f ca="1">IF(CC32="",99999,'Finals 4'!$D32)</f>
        <v>99999</v>
      </c>
      <c r="CB32" s="293" t="str">
        <f ca="1">IF(CC32="","",'Finals 4'!$E32)</f>
        <v/>
      </c>
      <c r="CC32" s="633" t="str">
        <f ca="1">IF($C$69="","",IF('Finals 4'!$I32=$C$69,'Finals 4'!$K32,IF('Finals 4'!$K32=$C$69,'Finals 4'!$I32,"")))</f>
        <v/>
      </c>
      <c r="CD32" s="293">
        <f t="shared" ca="1" si="30"/>
        <v>100031</v>
      </c>
      <c r="CE32" s="627">
        <f t="shared" ca="1" si="31"/>
        <v>32.8125</v>
      </c>
      <c r="CF32" s="293">
        <f ca="1">IF(CH32="",99999,'Finals 4'!$D32)</f>
        <v>0.8125</v>
      </c>
      <c r="CG32" s="293">
        <f ca="1">IF(CH32="","",'Finals 4'!$E32)</f>
        <v>4</v>
      </c>
      <c r="CH32" s="633" t="str">
        <f ca="1">IF($C$74="","",IF('Finals 4'!$I32=$C$74,'Finals 4'!$K32,IF('Finals 4'!$K32=$C$74,'Finals 4'!$I32,"")))</f>
        <v>Eintracht Frankfurt</v>
      </c>
      <c r="CI32" s="293">
        <f t="shared" ca="1" si="32"/>
        <v>100030</v>
      </c>
      <c r="CJ32" s="627">
        <f t="shared" ca="1" si="33"/>
        <v>100031</v>
      </c>
      <c r="CK32" s="293">
        <f ca="1">IF(CM32="",99999,'Finals 4'!$D32)</f>
        <v>99999</v>
      </c>
      <c r="CL32" s="293" t="str">
        <f ca="1">IF(CM32="","",'Finals 4'!$E32)</f>
        <v/>
      </c>
      <c r="CM32" s="633" t="str">
        <f ca="1">IF($C$79="","",IF('Finals 4'!$I32=$C$79,'Finals 4'!$K32,IF('Finals 4'!$K32=$C$79,'Finals 4'!$I32,"")))</f>
        <v/>
      </c>
      <c r="CN32" s="293">
        <f t="shared" ca="1" si="34"/>
        <v>100030</v>
      </c>
      <c r="CO32" s="627">
        <f t="shared" ca="1" si="35"/>
        <v>100031</v>
      </c>
      <c r="CP32" s="293">
        <f ca="1">IF(CR32="",99999,'Finals 4'!$D32)</f>
        <v>99999</v>
      </c>
      <c r="CQ32" s="293" t="str">
        <f ca="1">IF(CR32="","",'Finals 4'!$E32)</f>
        <v/>
      </c>
      <c r="CR32" s="633" t="str">
        <f ca="1">IF($C$84="","",IF('Finals 4'!$I32=$C$84,'Finals 4'!$K32,IF('Finals 4'!$K32=$C$84,'Finals 4'!$I32,"")))</f>
        <v/>
      </c>
      <c r="CS32" s="293">
        <f t="shared" ca="1" si="36"/>
        <v>100030</v>
      </c>
      <c r="CT32" s="627">
        <f t="shared" si="37"/>
        <v>100031</v>
      </c>
      <c r="CU32" s="293">
        <f>IF(CW32="",99999,'Finals 4'!$D32)</f>
        <v>99999</v>
      </c>
      <c r="CV32" s="293" t="str">
        <f>IF(CW32="","",'Finals 4'!$E32)</f>
        <v/>
      </c>
      <c r="CW32" s="633" t="str">
        <f>IF($C$89="","",IF('Finals 4'!$I32=$C$89,'Finals 4'!$K32,IF('Finals 4'!$K32=$C$89,'Finals 4'!$I32,"")))</f>
        <v/>
      </c>
      <c r="CX32" s="629">
        <f t="shared" si="38"/>
        <v>100031</v>
      </c>
    </row>
    <row r="33" spans="2:102" ht="30" customHeight="1" thickBot="1" x14ac:dyDescent="0.25">
      <c r="J33" s="602">
        <f t="shared" ca="1" si="39"/>
        <v>0</v>
      </c>
      <c r="L33" s="164">
        <f ca="1">'Finals 4'!$C33</f>
        <v>77</v>
      </c>
      <c r="M33" s="627">
        <f t="shared" ca="1" si="43"/>
        <v>100032</v>
      </c>
      <c r="N33" s="293">
        <f ca="1">IF(P33="",99999,'Finals 4'!$D33)</f>
        <v>99999</v>
      </c>
      <c r="O33" s="293" t="str">
        <f ca="1">IF(P33="","",'Finals 4'!$E33)</f>
        <v/>
      </c>
      <c r="P33" s="633" t="str">
        <f ca="1">IF($C$4="","",IF('Finals 4'!$I33=$C$4,'Finals 4'!$K33,IF('Finals 4'!$K33=$C$4,'Finals 4'!$I33,"")))</f>
        <v/>
      </c>
      <c r="Q33" s="293">
        <f t="shared" ca="1" si="44"/>
        <v>100032</v>
      </c>
      <c r="R33" s="293">
        <f t="shared" ca="1" si="45"/>
        <v>100032</v>
      </c>
      <c r="S33" s="293">
        <f ca="1">IF(U33="",99999,'Finals 4'!$D33)</f>
        <v>99999</v>
      </c>
      <c r="T33" s="293" t="str">
        <f ca="1">IF(U33="","",'Finals 4'!$E33)</f>
        <v/>
      </c>
      <c r="U33" s="633" t="str">
        <f ca="1">IF($C$9="","",IF('Finals 4'!$I33=$C$9,'Finals 4'!$K33,IF('Finals 4'!$K33=$C$9,'Finals 4'!$I33,"")))</f>
        <v/>
      </c>
      <c r="V33" s="293">
        <f t="shared" ca="1" si="46"/>
        <v>100031</v>
      </c>
      <c r="W33" s="293">
        <f t="shared" ca="1" si="47"/>
        <v>100032</v>
      </c>
      <c r="X33" s="293">
        <f ca="1">IF(Z33="",99999,'Finals 4'!$D33)</f>
        <v>99999</v>
      </c>
      <c r="Y33" s="293" t="str">
        <f ca="1">IF(Z33="","",'Finals 4'!$E33)</f>
        <v/>
      </c>
      <c r="Z33" s="633" t="str">
        <f ca="1">IF($C$14="","",IF('Finals 4'!$I33=$C$14,'Finals 4'!$K33,IF('Finals 4'!$K33=$C$14,'Finals 4'!$I33,"")))</f>
        <v/>
      </c>
      <c r="AA33" s="293">
        <f t="shared" ca="1" si="48"/>
        <v>100032</v>
      </c>
      <c r="AB33" s="293">
        <f t="shared" ca="1" si="49"/>
        <v>100032</v>
      </c>
      <c r="AC33" s="293">
        <f ca="1">IF(AE33="",99999,'Finals 4'!$D33)</f>
        <v>99999</v>
      </c>
      <c r="AD33" s="293" t="str">
        <f ca="1">IF(AE33="","",'Finals 4'!$E33)</f>
        <v/>
      </c>
      <c r="AE33" s="633" t="str">
        <f ca="1">IF($C$19="","",IF('Finals 4'!$I33=$C$19,'Finals 4'!$K33,IF('Finals 4'!$K33=$C$19,'Finals 4'!$I33,"")))</f>
        <v/>
      </c>
      <c r="AF33" s="293">
        <f t="shared" ca="1" si="50"/>
        <v>100032</v>
      </c>
      <c r="AG33" s="293">
        <f t="shared" ca="1" si="51"/>
        <v>33.836805555555557</v>
      </c>
      <c r="AH33" s="293">
        <f ca="1">IF(AJ33="",99999,'Finals 4'!$D33)</f>
        <v>0.83680555555555558</v>
      </c>
      <c r="AI33" s="293">
        <f ca="1">IF(AJ33="","",'Finals 4'!$E33)</f>
        <v>1</v>
      </c>
      <c r="AJ33" s="633" t="str">
        <f ca="1">IF($C$24="","",IF('Finals 4'!$I33=$C$24,'Finals 4'!$K33,IF('Finals 4'!$K33=$C$24,'Finals 4'!$I33,"")))</f>
        <v>VFL Ronsdorf</v>
      </c>
      <c r="AK33" s="293">
        <f t="shared" ca="1" si="52"/>
        <v>100031</v>
      </c>
      <c r="AL33" s="293">
        <f t="shared" ca="1" si="53"/>
        <v>100032</v>
      </c>
      <c r="AM33" s="293">
        <f ca="1">IF(AO33="",99999,'Finals 4'!$D33)</f>
        <v>99999</v>
      </c>
      <c r="AN33" s="293" t="str">
        <f ca="1">IF(AO33="","",'Finals 4'!$E33)</f>
        <v/>
      </c>
      <c r="AO33" s="633" t="str">
        <f ca="1">IF($C$29="","",IF('Finals 4'!$I33=$C$29,'Finals 4'!$K33,IF('Finals 4'!$K33=$C$29,'Finals 4'!$I33,"")))</f>
        <v/>
      </c>
      <c r="AP33" s="293">
        <f t="shared" ca="1" si="54"/>
        <v>100032</v>
      </c>
      <c r="AQ33" s="293">
        <f t="shared" ca="1" si="55"/>
        <v>100032</v>
      </c>
      <c r="AR33" s="293">
        <f ca="1">IF(AT33="",99999,'Finals 4'!$D33)</f>
        <v>99999</v>
      </c>
      <c r="AS33" s="293" t="str">
        <f ca="1">IF(AT33="","",'Finals 4'!$E33)</f>
        <v/>
      </c>
      <c r="AT33" s="633" t="str">
        <f ca="1">IF($C$34="","",IF('Finals 4'!$I33=$C$34,'Finals 4'!$K33,IF('Finals 4'!$K33=$C$34,'Finals 4'!$I33,"")))</f>
        <v/>
      </c>
      <c r="AU33" s="293">
        <f t="shared" ca="1" si="56"/>
        <v>100031</v>
      </c>
      <c r="AV33" s="293">
        <f t="shared" ca="1" si="57"/>
        <v>100032</v>
      </c>
      <c r="AW33" s="293">
        <f ca="1">IF(AY33="",99999,'Finals 4'!$D33)</f>
        <v>99999</v>
      </c>
      <c r="AX33" s="293" t="str">
        <f ca="1">IF(AY33="","",'Finals 4'!$E33)</f>
        <v/>
      </c>
      <c r="AY33" s="633" t="str">
        <f ca="1">IF($C$39="","",IF('Finals 4'!$I33=$C$39,'Finals 4'!$K33,IF('Finals 4'!$K33=$C$39,'Finals 4'!$I33,"")))</f>
        <v/>
      </c>
      <c r="AZ33" s="293">
        <f t="shared" ca="1" si="58"/>
        <v>100031</v>
      </c>
      <c r="BA33" s="293">
        <f t="shared" si="59"/>
        <v>100032</v>
      </c>
      <c r="BB33" s="293">
        <f>IF(BD33="",99999,'Finals 4'!$D33)</f>
        <v>99999</v>
      </c>
      <c r="BC33" s="293" t="str">
        <f>IF(BD33="","",'Finals 4'!$E33)</f>
        <v/>
      </c>
      <c r="BD33" s="633" t="str">
        <f>IF($C$44="","",IF('Finals 4'!$I33=$C$44,'Finals 4'!$K33,IF('Finals 4'!$K33=$C$44,'Finals 4'!$I33,"")))</f>
        <v/>
      </c>
      <c r="BE33" s="293">
        <f t="shared" si="60"/>
        <v>100032</v>
      </c>
      <c r="BF33" s="293">
        <f t="shared" ca="1" si="61"/>
        <v>100032</v>
      </c>
      <c r="BG33" s="293">
        <f ca="1">IF(BI33="",99999,'Finals 4'!$D33)</f>
        <v>99999</v>
      </c>
      <c r="BH33" s="293" t="str">
        <f ca="1">IF(BI33="","",'Finals 4'!$E33)</f>
        <v/>
      </c>
      <c r="BI33" s="633" t="str">
        <f ca="1">IF($C$49="","",IF('Finals 4'!$I33=$C$49,'Finals 4'!$K33,IF('Finals 4'!$K33=$C$49,'Finals 4'!$I33,"")))</f>
        <v/>
      </c>
      <c r="BJ33" s="293">
        <f t="shared" ca="1" si="62"/>
        <v>100032</v>
      </c>
      <c r="BK33" s="293">
        <f t="shared" ca="1" si="63"/>
        <v>100032</v>
      </c>
      <c r="BL33" s="293">
        <f ca="1">IF(BN33="",99999,'Finals 4'!$D33)</f>
        <v>99999</v>
      </c>
      <c r="BM33" s="293" t="str">
        <f ca="1">IF(BN33="","",'Finals 4'!$E33)</f>
        <v/>
      </c>
      <c r="BN33" s="633" t="str">
        <f ca="1">IF($C$54="","",IF('Finals 4'!$I33=$C$54,'Finals 4'!$K33,IF('Finals 4'!$K33=$C$54,'Finals 4'!$I33,"")))</f>
        <v/>
      </c>
      <c r="BO33" s="293">
        <f t="shared" ca="1" si="64"/>
        <v>100031</v>
      </c>
      <c r="BP33" s="293">
        <f t="shared" ca="1" si="65"/>
        <v>100032</v>
      </c>
      <c r="BQ33" s="293">
        <f ca="1">IF(BS33="",99999,'Finals 4'!$D33)</f>
        <v>99999</v>
      </c>
      <c r="BR33" s="293" t="str">
        <f ca="1">IF(BS33="","",'Finals 4'!$E33)</f>
        <v/>
      </c>
      <c r="BS33" s="633" t="str">
        <f ca="1">IF($C$59="","",IF('Finals 4'!$I33=$C$59,'Finals 4'!$K33,IF('Finals 4'!$K33=$C$59,'Finals 4'!$I33,"")))</f>
        <v/>
      </c>
      <c r="BT33" s="629">
        <f t="shared" ca="1" si="66"/>
        <v>100032</v>
      </c>
      <c r="BU33" s="627">
        <f t="shared" ca="1" si="27"/>
        <v>100032</v>
      </c>
      <c r="BV33" s="293">
        <f ca="1">IF(BX33="",99999,'Finals 4'!$D33)</f>
        <v>99999</v>
      </c>
      <c r="BW33" s="293" t="str">
        <f ca="1">IF(BX33="","",'Finals 4'!$E33)</f>
        <v/>
      </c>
      <c r="BX33" s="633" t="str">
        <f ca="1">IF($C$64="","",IF('Finals 4'!$I33=$C$64,'Finals 4'!$K33,IF('Finals 4'!$K33=$C$64,'Finals 4'!$I33,"")))</f>
        <v/>
      </c>
      <c r="BY33" s="293">
        <f t="shared" ca="1" si="28"/>
        <v>100031</v>
      </c>
      <c r="BZ33" s="627">
        <f t="shared" ca="1" si="29"/>
        <v>100032</v>
      </c>
      <c r="CA33" s="293">
        <f ca="1">IF(CC33="",99999,'Finals 4'!$D33)</f>
        <v>99999</v>
      </c>
      <c r="CB33" s="293" t="str">
        <f ca="1">IF(CC33="","",'Finals 4'!$E33)</f>
        <v/>
      </c>
      <c r="CC33" s="633" t="str">
        <f ca="1">IF($C$69="","",IF('Finals 4'!$I33=$C$69,'Finals 4'!$K33,IF('Finals 4'!$K33=$C$69,'Finals 4'!$I33,"")))</f>
        <v/>
      </c>
      <c r="CD33" s="293">
        <f t="shared" ca="1" si="30"/>
        <v>100032</v>
      </c>
      <c r="CE33" s="627">
        <f t="shared" ca="1" si="31"/>
        <v>100032</v>
      </c>
      <c r="CF33" s="293">
        <f ca="1">IF(CH33="",99999,'Finals 4'!$D33)</f>
        <v>99999</v>
      </c>
      <c r="CG33" s="293" t="str">
        <f ca="1">IF(CH33="","",'Finals 4'!$E33)</f>
        <v/>
      </c>
      <c r="CH33" s="633" t="str">
        <f ca="1">IF($C$74="","",IF('Finals 4'!$I33=$C$74,'Finals 4'!$K33,IF('Finals 4'!$K33=$C$74,'Finals 4'!$I33,"")))</f>
        <v/>
      </c>
      <c r="CI33" s="293">
        <f t="shared" ca="1" si="32"/>
        <v>100032</v>
      </c>
      <c r="CJ33" s="627">
        <f t="shared" ca="1" si="33"/>
        <v>33.836805555555557</v>
      </c>
      <c r="CK33" s="293">
        <f ca="1">IF(CM33="",99999,'Finals 4'!$D33)</f>
        <v>0.83680555555555558</v>
      </c>
      <c r="CL33" s="293">
        <f ca="1">IF(CM33="","",'Finals 4'!$E33)</f>
        <v>1</v>
      </c>
      <c r="CM33" s="633" t="str">
        <f ca="1">IF($C$79="","",IF('Finals 4'!$I33=$C$79,'Finals 4'!$K33,IF('Finals 4'!$K33=$C$79,'Finals 4'!$I33,"")))</f>
        <v>VFB Essenheim</v>
      </c>
      <c r="CN33" s="293">
        <f t="shared" ca="1" si="34"/>
        <v>100031</v>
      </c>
      <c r="CO33" s="627">
        <f t="shared" ca="1" si="35"/>
        <v>100032</v>
      </c>
      <c r="CP33" s="293">
        <f ca="1">IF(CR33="",99999,'Finals 4'!$D33)</f>
        <v>99999</v>
      </c>
      <c r="CQ33" s="293" t="str">
        <f ca="1">IF(CR33="","",'Finals 4'!$E33)</f>
        <v/>
      </c>
      <c r="CR33" s="633" t="str">
        <f ca="1">IF($C$84="","",IF('Finals 4'!$I33=$C$84,'Finals 4'!$K33,IF('Finals 4'!$K33=$C$84,'Finals 4'!$I33,"")))</f>
        <v/>
      </c>
      <c r="CS33" s="293">
        <f t="shared" ca="1" si="36"/>
        <v>100031</v>
      </c>
      <c r="CT33" s="627">
        <f t="shared" si="37"/>
        <v>100032</v>
      </c>
      <c r="CU33" s="293">
        <f>IF(CW33="",99999,'Finals 4'!$D33)</f>
        <v>99999</v>
      </c>
      <c r="CV33" s="293" t="str">
        <f>IF(CW33="","",'Finals 4'!$E33)</f>
        <v/>
      </c>
      <c r="CW33" s="633" t="str">
        <f>IF($C$89="","",IF('Finals 4'!$I33=$C$89,'Finals 4'!$K33,IF('Finals 4'!$K33=$C$89,'Finals 4'!$I33,"")))</f>
        <v/>
      </c>
      <c r="CX33" s="629">
        <f t="shared" si="38"/>
        <v>100032</v>
      </c>
    </row>
    <row r="34" spans="2:102" ht="15.95" customHeight="1" x14ac:dyDescent="0.2">
      <c r="B34" s="604" t="s">
        <v>331</v>
      </c>
      <c r="C34" s="605" t="str">
        <f>IF(Planning!$C$19="","",Planning!$C$19)</f>
        <v>Raslo Winners</v>
      </c>
      <c r="E34" s="606" t="str">
        <f>Language!$E$69</f>
        <v>Match No.</v>
      </c>
      <c r="F34" s="607" t="str">
        <f>Language!$E$39</f>
        <v>Start</v>
      </c>
      <c r="G34" s="608" t="str">
        <f>Language!$E$48</f>
        <v>Field</v>
      </c>
      <c r="H34" s="609" t="str">
        <f>Language!$E$46</f>
        <v>Match against</v>
      </c>
      <c r="J34" s="602">
        <f t="shared" ca="1" si="39"/>
        <v>0</v>
      </c>
      <c r="L34" s="164">
        <f ca="1">'Finals 4'!$C34</f>
        <v>78</v>
      </c>
      <c r="M34" s="627">
        <f t="shared" ca="1" si="43"/>
        <v>100033</v>
      </c>
      <c r="N34" s="293">
        <f ca="1">IF(P34="",99999,'Finals 4'!$D34)</f>
        <v>99999</v>
      </c>
      <c r="O34" s="293" t="str">
        <f ca="1">IF(P34="","",'Finals 4'!$E34)</f>
        <v/>
      </c>
      <c r="P34" s="633" t="str">
        <f ca="1">IF($C$4="","",IF('Finals 4'!$I34=$C$4,'Finals 4'!$K34,IF('Finals 4'!$K34=$C$4,'Finals 4'!$I34,"")))</f>
        <v/>
      </c>
      <c r="Q34" s="293">
        <f t="shared" ca="1" si="44"/>
        <v>100033</v>
      </c>
      <c r="R34" s="293">
        <f t="shared" ca="1" si="45"/>
        <v>100033</v>
      </c>
      <c r="S34" s="293">
        <f ca="1">IF(U34="",99999,'Finals 4'!$D34)</f>
        <v>99999</v>
      </c>
      <c r="T34" s="293" t="str">
        <f ca="1">IF(U34="","",'Finals 4'!$E34)</f>
        <v/>
      </c>
      <c r="U34" s="633" t="str">
        <f ca="1">IF($C$9="","",IF('Finals 4'!$I34=$C$9,'Finals 4'!$K34,IF('Finals 4'!$K34=$C$9,'Finals 4'!$I34,"")))</f>
        <v/>
      </c>
      <c r="V34" s="293">
        <f t="shared" ca="1" si="46"/>
        <v>100032</v>
      </c>
      <c r="W34" s="293">
        <f t="shared" ca="1" si="47"/>
        <v>100033</v>
      </c>
      <c r="X34" s="293">
        <f ca="1">IF(Z34="",99999,'Finals 4'!$D34)</f>
        <v>99999</v>
      </c>
      <c r="Y34" s="293" t="str">
        <f ca="1">IF(Z34="","",'Finals 4'!$E34)</f>
        <v/>
      </c>
      <c r="Z34" s="633" t="str">
        <f ca="1">IF($C$14="","",IF('Finals 4'!$I34=$C$14,'Finals 4'!$K34,IF('Finals 4'!$K34=$C$14,'Finals 4'!$I34,"")))</f>
        <v/>
      </c>
      <c r="AA34" s="293">
        <f t="shared" ca="1" si="48"/>
        <v>100033</v>
      </c>
      <c r="AB34" s="293">
        <f t="shared" ca="1" si="49"/>
        <v>100033</v>
      </c>
      <c r="AC34" s="293">
        <f ca="1">IF(AE34="",99999,'Finals 4'!$D34)</f>
        <v>99999</v>
      </c>
      <c r="AD34" s="293" t="str">
        <f ca="1">IF(AE34="","",'Finals 4'!$E34)</f>
        <v/>
      </c>
      <c r="AE34" s="633" t="str">
        <f ca="1">IF($C$19="","",IF('Finals 4'!$I34=$C$19,'Finals 4'!$K34,IF('Finals 4'!$K34=$C$19,'Finals 4'!$I34,"")))</f>
        <v/>
      </c>
      <c r="AF34" s="293">
        <f t="shared" ca="1" si="50"/>
        <v>100033</v>
      </c>
      <c r="AG34" s="293">
        <f t="shared" ca="1" si="51"/>
        <v>100033</v>
      </c>
      <c r="AH34" s="293">
        <f ca="1">IF(AJ34="",99999,'Finals 4'!$D34)</f>
        <v>99999</v>
      </c>
      <c r="AI34" s="293" t="str">
        <f ca="1">IF(AJ34="","",'Finals 4'!$E34)</f>
        <v/>
      </c>
      <c r="AJ34" s="633" t="str">
        <f ca="1">IF($C$24="","",IF('Finals 4'!$I34=$C$24,'Finals 4'!$K34,IF('Finals 4'!$K34=$C$24,'Finals 4'!$I34,"")))</f>
        <v/>
      </c>
      <c r="AK34" s="293">
        <f t="shared" ca="1" si="52"/>
        <v>100033</v>
      </c>
      <c r="AL34" s="293">
        <f t="shared" ca="1" si="53"/>
        <v>100033</v>
      </c>
      <c r="AM34" s="293">
        <f ca="1">IF(AO34="",99999,'Finals 4'!$D34)</f>
        <v>99999</v>
      </c>
      <c r="AN34" s="293" t="str">
        <f ca="1">IF(AO34="","",'Finals 4'!$E34)</f>
        <v/>
      </c>
      <c r="AO34" s="633" t="str">
        <f ca="1">IF($C$29="","",IF('Finals 4'!$I34=$C$29,'Finals 4'!$K34,IF('Finals 4'!$K34=$C$29,'Finals 4'!$I34,"")))</f>
        <v/>
      </c>
      <c r="AP34" s="293">
        <f t="shared" ca="1" si="54"/>
        <v>100033</v>
      </c>
      <c r="AQ34" s="293">
        <f t="shared" ca="1" si="55"/>
        <v>100033</v>
      </c>
      <c r="AR34" s="293">
        <f ca="1">IF(AT34="",99999,'Finals 4'!$D34)</f>
        <v>99999</v>
      </c>
      <c r="AS34" s="293" t="str">
        <f ca="1">IF(AT34="","",'Finals 4'!$E34)</f>
        <v/>
      </c>
      <c r="AT34" s="633" t="str">
        <f ca="1">IF($C$34="","",IF('Finals 4'!$I34=$C$34,'Finals 4'!$K34,IF('Finals 4'!$K34=$C$34,'Finals 4'!$I34,"")))</f>
        <v/>
      </c>
      <c r="AU34" s="293">
        <f t="shared" ca="1" si="56"/>
        <v>100032</v>
      </c>
      <c r="AV34" s="293">
        <f t="shared" ca="1" si="57"/>
        <v>34.836805555555557</v>
      </c>
      <c r="AW34" s="293">
        <f ca="1">IF(AY34="",99999,'Finals 4'!$D34)</f>
        <v>0.83680555555555558</v>
      </c>
      <c r="AX34" s="293">
        <f ca="1">IF(AY34="","",'Finals 4'!$E34)</f>
        <v>2</v>
      </c>
      <c r="AY34" s="633" t="str">
        <f ca="1">IF($C$39="","",IF('Finals 4'!$I34=$C$39,'Finals 4'!$K34,IF('Finals 4'!$K34=$C$39,'Finals 4'!$I34,"")))</f>
        <v>Borussia Heine</v>
      </c>
      <c r="AZ34" s="293">
        <f t="shared" ca="1" si="58"/>
        <v>100032</v>
      </c>
      <c r="BA34" s="293">
        <f t="shared" si="59"/>
        <v>100033</v>
      </c>
      <c r="BB34" s="293">
        <f>IF(BD34="",99999,'Finals 4'!$D34)</f>
        <v>99999</v>
      </c>
      <c r="BC34" s="293" t="str">
        <f>IF(BD34="","",'Finals 4'!$E34)</f>
        <v/>
      </c>
      <c r="BD34" s="633" t="str">
        <f>IF($C$44="","",IF('Finals 4'!$I34=$C$44,'Finals 4'!$K34,IF('Finals 4'!$K34=$C$44,'Finals 4'!$I34,"")))</f>
        <v/>
      </c>
      <c r="BE34" s="293">
        <f t="shared" si="60"/>
        <v>100033</v>
      </c>
      <c r="BF34" s="293">
        <f t="shared" ca="1" si="61"/>
        <v>100033</v>
      </c>
      <c r="BG34" s="293">
        <f ca="1">IF(BI34="",99999,'Finals 4'!$D34)</f>
        <v>99999</v>
      </c>
      <c r="BH34" s="293" t="str">
        <f ca="1">IF(BI34="","",'Finals 4'!$E34)</f>
        <v/>
      </c>
      <c r="BI34" s="633" t="str">
        <f ca="1">IF($C$49="","",IF('Finals 4'!$I34=$C$49,'Finals 4'!$K34,IF('Finals 4'!$K34=$C$49,'Finals 4'!$I34,"")))</f>
        <v/>
      </c>
      <c r="BJ34" s="293">
        <f t="shared" ca="1" si="62"/>
        <v>100033</v>
      </c>
      <c r="BK34" s="293">
        <f t="shared" ca="1" si="63"/>
        <v>100033</v>
      </c>
      <c r="BL34" s="293">
        <f ca="1">IF(BN34="",99999,'Finals 4'!$D34)</f>
        <v>99999</v>
      </c>
      <c r="BM34" s="293" t="str">
        <f ca="1">IF(BN34="","",'Finals 4'!$E34)</f>
        <v/>
      </c>
      <c r="BN34" s="633" t="str">
        <f ca="1">IF($C$54="","",IF('Finals 4'!$I34=$C$54,'Finals 4'!$K34,IF('Finals 4'!$K34=$C$54,'Finals 4'!$I34,"")))</f>
        <v/>
      </c>
      <c r="BO34" s="293">
        <f t="shared" ca="1" si="64"/>
        <v>100032</v>
      </c>
      <c r="BP34" s="293">
        <f t="shared" ca="1" si="65"/>
        <v>100033</v>
      </c>
      <c r="BQ34" s="293">
        <f ca="1">IF(BS34="",99999,'Finals 4'!$D34)</f>
        <v>99999</v>
      </c>
      <c r="BR34" s="293" t="str">
        <f ca="1">IF(BS34="","",'Finals 4'!$E34)</f>
        <v/>
      </c>
      <c r="BS34" s="633" t="str">
        <f ca="1">IF($C$59="","",IF('Finals 4'!$I34=$C$59,'Finals 4'!$K34,IF('Finals 4'!$K34=$C$59,'Finals 4'!$I34,"")))</f>
        <v/>
      </c>
      <c r="BT34" s="629">
        <f t="shared" ca="1" si="66"/>
        <v>100033</v>
      </c>
      <c r="BU34" s="627">
        <f t="shared" ca="1" si="27"/>
        <v>100033</v>
      </c>
      <c r="BV34" s="293">
        <f ca="1">IF(BX34="",99999,'Finals 4'!$D34)</f>
        <v>99999</v>
      </c>
      <c r="BW34" s="293" t="str">
        <f ca="1">IF(BX34="","",'Finals 4'!$E34)</f>
        <v/>
      </c>
      <c r="BX34" s="633" t="str">
        <f ca="1">IF($C$64="","",IF('Finals 4'!$I34=$C$64,'Finals 4'!$K34,IF('Finals 4'!$K34=$C$64,'Finals 4'!$I34,"")))</f>
        <v/>
      </c>
      <c r="BY34" s="293">
        <f t="shared" ca="1" si="28"/>
        <v>100032</v>
      </c>
      <c r="BZ34" s="627">
        <f t="shared" ca="1" si="29"/>
        <v>100033</v>
      </c>
      <c r="CA34" s="293">
        <f ca="1">IF(CC34="",99999,'Finals 4'!$D34)</f>
        <v>99999</v>
      </c>
      <c r="CB34" s="293" t="str">
        <f ca="1">IF(CC34="","",'Finals 4'!$E34)</f>
        <v/>
      </c>
      <c r="CC34" s="633" t="str">
        <f ca="1">IF($C$69="","",IF('Finals 4'!$I34=$C$69,'Finals 4'!$K34,IF('Finals 4'!$K34=$C$69,'Finals 4'!$I34,"")))</f>
        <v/>
      </c>
      <c r="CD34" s="293">
        <f t="shared" ca="1" si="30"/>
        <v>100033</v>
      </c>
      <c r="CE34" s="627">
        <f t="shared" ca="1" si="31"/>
        <v>100033</v>
      </c>
      <c r="CF34" s="293">
        <f ca="1">IF(CH34="",99999,'Finals 4'!$D34)</f>
        <v>99999</v>
      </c>
      <c r="CG34" s="293" t="str">
        <f ca="1">IF(CH34="","",'Finals 4'!$E34)</f>
        <v/>
      </c>
      <c r="CH34" s="633" t="str">
        <f ca="1">IF($C$74="","",IF('Finals 4'!$I34=$C$74,'Finals 4'!$K34,IF('Finals 4'!$K34=$C$74,'Finals 4'!$I34,"")))</f>
        <v/>
      </c>
      <c r="CI34" s="293">
        <f t="shared" ca="1" si="32"/>
        <v>100033</v>
      </c>
      <c r="CJ34" s="627">
        <f t="shared" ca="1" si="33"/>
        <v>100033</v>
      </c>
      <c r="CK34" s="293">
        <f ca="1">IF(CM34="",99999,'Finals 4'!$D34)</f>
        <v>99999</v>
      </c>
      <c r="CL34" s="293" t="str">
        <f ca="1">IF(CM34="","",'Finals 4'!$E34)</f>
        <v/>
      </c>
      <c r="CM34" s="633" t="str">
        <f ca="1">IF($C$79="","",IF('Finals 4'!$I34=$C$79,'Finals 4'!$K34,IF('Finals 4'!$K34=$C$79,'Finals 4'!$I34,"")))</f>
        <v/>
      </c>
      <c r="CN34" s="293">
        <f t="shared" ca="1" si="34"/>
        <v>100033</v>
      </c>
      <c r="CO34" s="627">
        <f t="shared" ca="1" si="35"/>
        <v>34.836805555555557</v>
      </c>
      <c r="CP34" s="293">
        <f ca="1">IF(CR34="",99999,'Finals 4'!$D34)</f>
        <v>0.83680555555555558</v>
      </c>
      <c r="CQ34" s="293">
        <f ca="1">IF(CR34="","",'Finals 4'!$E34)</f>
        <v>2</v>
      </c>
      <c r="CR34" s="633" t="str">
        <f ca="1">IF($C$84="","",IF('Finals 4'!$I34=$C$84,'Finals 4'!$K34,IF('Finals 4'!$K34=$C$84,'Finals 4'!$I34,"")))</f>
        <v>Knock Out Rangers</v>
      </c>
      <c r="CS34" s="293">
        <f t="shared" ca="1" si="36"/>
        <v>100032</v>
      </c>
      <c r="CT34" s="627">
        <f t="shared" si="37"/>
        <v>100033</v>
      </c>
      <c r="CU34" s="293">
        <f>IF(CW34="",99999,'Finals 4'!$D34)</f>
        <v>99999</v>
      </c>
      <c r="CV34" s="293" t="str">
        <f>IF(CW34="","",'Finals 4'!$E34)</f>
        <v/>
      </c>
      <c r="CW34" s="633" t="str">
        <f>IF($C$89="","",IF('Finals 4'!$I34=$C$89,'Finals 4'!$K34,IF('Finals 4'!$K34=$C$89,'Finals 4'!$I34,"")))</f>
        <v/>
      </c>
      <c r="CX34" s="629">
        <f t="shared" si="38"/>
        <v>100033</v>
      </c>
    </row>
    <row r="35" spans="2:102" ht="15.95" customHeight="1" x14ac:dyDescent="0.2">
      <c r="E35" s="610">
        <f ca="1">IF($AU$12&lt;99999,INDEX($L$12:$L$36,MATCH($AU$12,$AQ$12:$AQ$36,0)),"")</f>
        <v>59</v>
      </c>
      <c r="F35" s="611">
        <f ca="1">IF($AU$12&lt;99999,VLOOKUP($AU$12,$AQ$12:$AT$36,2,0),"")</f>
        <v>0.71527777777777779</v>
      </c>
      <c r="G35" s="612">
        <f ca="1">IF($AU$12&lt;99999,VLOOKUP($AU$12,$AQ$12:$AT$36,3,0),"")</f>
        <v>3</v>
      </c>
      <c r="H35" s="613" t="str">
        <f ca="1">IF($AU$12&lt;99999,VLOOKUP($AU$12,$AQ$12:$AT$36,4,0),"")</f>
        <v>Mainz 05</v>
      </c>
      <c r="J35" s="602">
        <f t="shared" ca="1" si="39"/>
        <v>0</v>
      </c>
      <c r="K35" s="602" t="str">
        <f ca="1">IF(J35=0,"",$C$34)</f>
        <v/>
      </c>
      <c r="L35" s="164">
        <f ca="1">'Finals 4'!$C35</f>
        <v>79</v>
      </c>
      <c r="M35" s="627">
        <f t="shared" ca="1" si="43"/>
        <v>100034</v>
      </c>
      <c r="N35" s="293">
        <f ca="1">IF(P35="",99999,'Finals 4'!$D35)</f>
        <v>99999</v>
      </c>
      <c r="O35" s="293" t="str">
        <f ca="1">IF(P35="","",'Finals 4'!$E35)</f>
        <v/>
      </c>
      <c r="P35" s="633" t="str">
        <f ca="1">IF($C$4="","",IF('Finals 4'!$I35=$C$4,'Finals 4'!$K35,IF('Finals 4'!$K35=$C$4,'Finals 4'!$I35,"")))</f>
        <v/>
      </c>
      <c r="Q35" s="293">
        <f t="shared" ca="1" si="44"/>
        <v>100034</v>
      </c>
      <c r="R35" s="293">
        <f t="shared" ca="1" si="45"/>
        <v>100034</v>
      </c>
      <c r="S35" s="293">
        <f ca="1">IF(U35="",99999,'Finals 4'!$D35)</f>
        <v>99999</v>
      </c>
      <c r="T35" s="293" t="str">
        <f ca="1">IF(U35="","",'Finals 4'!$E35)</f>
        <v/>
      </c>
      <c r="U35" s="633" t="str">
        <f ca="1">IF($C$9="","",IF('Finals 4'!$I35=$C$9,'Finals 4'!$K35,IF('Finals 4'!$K35=$C$9,'Finals 4'!$I35,"")))</f>
        <v/>
      </c>
      <c r="V35" s="293">
        <f t="shared" ca="1" si="46"/>
        <v>100033</v>
      </c>
      <c r="W35" s="293">
        <f t="shared" ca="1" si="47"/>
        <v>100034</v>
      </c>
      <c r="X35" s="293">
        <f ca="1">IF(Z35="",99999,'Finals 4'!$D35)</f>
        <v>99999</v>
      </c>
      <c r="Y35" s="293" t="str">
        <f ca="1">IF(Z35="","",'Finals 4'!$E35)</f>
        <v/>
      </c>
      <c r="Z35" s="633" t="str">
        <f ca="1">IF($C$14="","",IF('Finals 4'!$I35=$C$14,'Finals 4'!$K35,IF('Finals 4'!$K35=$C$14,'Finals 4'!$I35,"")))</f>
        <v/>
      </c>
      <c r="AA35" s="293">
        <f t="shared" ca="1" si="48"/>
        <v>100034</v>
      </c>
      <c r="AB35" s="293">
        <f t="shared" ca="1" si="49"/>
        <v>100034</v>
      </c>
      <c r="AC35" s="293">
        <f ca="1">IF(AE35="",99999,'Finals 4'!$D35)</f>
        <v>99999</v>
      </c>
      <c r="AD35" s="293" t="str">
        <f ca="1">IF(AE35="","",'Finals 4'!$E35)</f>
        <v/>
      </c>
      <c r="AE35" s="633" t="str">
        <f ca="1">IF($C$19="","",IF('Finals 4'!$I35=$C$19,'Finals 4'!$K35,IF('Finals 4'!$K35=$C$19,'Finals 4'!$I35,"")))</f>
        <v/>
      </c>
      <c r="AF35" s="293">
        <f t="shared" ca="1" si="50"/>
        <v>100034</v>
      </c>
      <c r="AG35" s="293">
        <f t="shared" ca="1" si="51"/>
        <v>100034</v>
      </c>
      <c r="AH35" s="293">
        <f ca="1">IF(AJ35="",99999,'Finals 4'!$D35)</f>
        <v>99999</v>
      </c>
      <c r="AI35" s="293" t="str">
        <f ca="1">IF(AJ35="","",'Finals 4'!$E35)</f>
        <v/>
      </c>
      <c r="AJ35" s="633" t="str">
        <f ca="1">IF($C$24="","",IF('Finals 4'!$I35=$C$24,'Finals 4'!$K35,IF('Finals 4'!$K35=$C$24,'Finals 4'!$I35,"")))</f>
        <v/>
      </c>
      <c r="AK35" s="293">
        <f t="shared" ca="1" si="52"/>
        <v>100034</v>
      </c>
      <c r="AL35" s="293">
        <f t="shared" ca="1" si="53"/>
        <v>100034</v>
      </c>
      <c r="AM35" s="293">
        <f ca="1">IF(AO35="",99999,'Finals 4'!$D35)</f>
        <v>99999</v>
      </c>
      <c r="AN35" s="293" t="str">
        <f ca="1">IF(AO35="","",'Finals 4'!$E35)</f>
        <v/>
      </c>
      <c r="AO35" s="633" t="str">
        <f ca="1">IF($C$29="","",IF('Finals 4'!$I35=$C$29,'Finals 4'!$K35,IF('Finals 4'!$K35=$C$29,'Finals 4'!$I35,"")))</f>
        <v/>
      </c>
      <c r="AP35" s="293">
        <f t="shared" ca="1" si="54"/>
        <v>100034</v>
      </c>
      <c r="AQ35" s="293">
        <f t="shared" ca="1" si="55"/>
        <v>35.836805555555557</v>
      </c>
      <c r="AR35" s="293">
        <f ca="1">IF(AT35="",99999,'Finals 4'!$D35)</f>
        <v>0.83680555555555558</v>
      </c>
      <c r="AS35" s="293">
        <f ca="1">IF(AT35="","",'Finals 4'!$E35)</f>
        <v>3</v>
      </c>
      <c r="AT35" s="633" t="str">
        <f ca="1">IF($C$34="","",IF('Finals 4'!$I35=$C$34,'Finals 4'!$K35,IF('Finals 4'!$K35=$C$34,'Finals 4'!$I35,"")))</f>
        <v>Inter Mailand</v>
      </c>
      <c r="AU35" s="293">
        <f t="shared" ca="1" si="56"/>
        <v>100033</v>
      </c>
      <c r="AV35" s="293">
        <f t="shared" ca="1" si="57"/>
        <v>100034</v>
      </c>
      <c r="AW35" s="293">
        <f ca="1">IF(AY35="",99999,'Finals 4'!$D35)</f>
        <v>99999</v>
      </c>
      <c r="AX35" s="293" t="str">
        <f ca="1">IF(AY35="","",'Finals 4'!$E35)</f>
        <v/>
      </c>
      <c r="AY35" s="633" t="str">
        <f ca="1">IF($C$39="","",IF('Finals 4'!$I35=$C$39,'Finals 4'!$K35,IF('Finals 4'!$K35=$C$39,'Finals 4'!$I35,"")))</f>
        <v/>
      </c>
      <c r="AZ35" s="293">
        <f t="shared" ca="1" si="58"/>
        <v>100034</v>
      </c>
      <c r="BA35" s="293">
        <f t="shared" si="59"/>
        <v>100034</v>
      </c>
      <c r="BB35" s="293">
        <f>IF(BD35="",99999,'Finals 4'!$D35)</f>
        <v>99999</v>
      </c>
      <c r="BC35" s="293" t="str">
        <f>IF(BD35="","",'Finals 4'!$E35)</f>
        <v/>
      </c>
      <c r="BD35" s="633" t="str">
        <f>IF($C$44="","",IF('Finals 4'!$I35=$C$44,'Finals 4'!$K35,IF('Finals 4'!$K35=$C$44,'Finals 4'!$I35,"")))</f>
        <v/>
      </c>
      <c r="BE35" s="293">
        <f t="shared" si="60"/>
        <v>100034</v>
      </c>
      <c r="BF35" s="293">
        <f t="shared" ca="1" si="61"/>
        <v>100034</v>
      </c>
      <c r="BG35" s="293">
        <f ca="1">IF(BI35="",99999,'Finals 4'!$D35)</f>
        <v>99999</v>
      </c>
      <c r="BH35" s="293" t="str">
        <f ca="1">IF(BI35="","",'Finals 4'!$E35)</f>
        <v/>
      </c>
      <c r="BI35" s="633" t="str">
        <f ca="1">IF($C$49="","",IF('Finals 4'!$I35=$C$49,'Finals 4'!$K35,IF('Finals 4'!$K35=$C$49,'Finals 4'!$I35,"")))</f>
        <v/>
      </c>
      <c r="BJ35" s="293">
        <f t="shared" ca="1" si="62"/>
        <v>100034</v>
      </c>
      <c r="BK35" s="293">
        <f t="shared" ca="1" si="63"/>
        <v>35.836805555555557</v>
      </c>
      <c r="BL35" s="293">
        <f ca="1">IF(BN35="",99999,'Finals 4'!$D35)</f>
        <v>0.83680555555555558</v>
      </c>
      <c r="BM35" s="293">
        <f ca="1">IF(BN35="","",'Finals 4'!$E35)</f>
        <v>3</v>
      </c>
      <c r="BN35" s="633" t="str">
        <f ca="1">IF($C$54="","",IF('Finals 4'!$I35=$C$54,'Finals 4'!$K35,IF('Finals 4'!$K35=$C$54,'Finals 4'!$I35,"")))</f>
        <v>Raslo Winners</v>
      </c>
      <c r="BO35" s="293">
        <f t="shared" ca="1" si="64"/>
        <v>100033</v>
      </c>
      <c r="BP35" s="293">
        <f t="shared" ca="1" si="65"/>
        <v>100034</v>
      </c>
      <c r="BQ35" s="293">
        <f ca="1">IF(BS35="",99999,'Finals 4'!$D35)</f>
        <v>99999</v>
      </c>
      <c r="BR35" s="293" t="str">
        <f ca="1">IF(BS35="","",'Finals 4'!$E35)</f>
        <v/>
      </c>
      <c r="BS35" s="633" t="str">
        <f ca="1">IF($C$59="","",IF('Finals 4'!$I35=$C$59,'Finals 4'!$K35,IF('Finals 4'!$K35=$C$59,'Finals 4'!$I35,"")))</f>
        <v/>
      </c>
      <c r="BT35" s="629">
        <f t="shared" ca="1" si="66"/>
        <v>100034</v>
      </c>
      <c r="BU35" s="627">
        <f t="shared" ca="1" si="27"/>
        <v>100034</v>
      </c>
      <c r="BV35" s="293">
        <f ca="1">IF(BX35="",99999,'Finals 4'!$D35)</f>
        <v>99999</v>
      </c>
      <c r="BW35" s="293" t="str">
        <f ca="1">IF(BX35="","",'Finals 4'!$E35)</f>
        <v/>
      </c>
      <c r="BX35" s="633" t="str">
        <f ca="1">IF($C$64="","",IF('Finals 4'!$I35=$C$64,'Finals 4'!$K35,IF('Finals 4'!$K35=$C$64,'Finals 4'!$I35,"")))</f>
        <v/>
      </c>
      <c r="BY35" s="293">
        <f t="shared" ca="1" si="28"/>
        <v>100033</v>
      </c>
      <c r="BZ35" s="627">
        <f t="shared" ca="1" si="29"/>
        <v>100034</v>
      </c>
      <c r="CA35" s="293">
        <f ca="1">IF(CC35="",99999,'Finals 4'!$D35)</f>
        <v>99999</v>
      </c>
      <c r="CB35" s="293" t="str">
        <f ca="1">IF(CC35="","",'Finals 4'!$E35)</f>
        <v/>
      </c>
      <c r="CC35" s="633" t="str">
        <f ca="1">IF($C$69="","",IF('Finals 4'!$I35=$C$69,'Finals 4'!$K35,IF('Finals 4'!$K35=$C$69,'Finals 4'!$I35,"")))</f>
        <v/>
      </c>
      <c r="CD35" s="293">
        <f t="shared" ca="1" si="30"/>
        <v>100034</v>
      </c>
      <c r="CE35" s="627">
        <f t="shared" ca="1" si="31"/>
        <v>100034</v>
      </c>
      <c r="CF35" s="293">
        <f ca="1">IF(CH35="",99999,'Finals 4'!$D35)</f>
        <v>99999</v>
      </c>
      <c r="CG35" s="293" t="str">
        <f ca="1">IF(CH35="","",'Finals 4'!$E35)</f>
        <v/>
      </c>
      <c r="CH35" s="633" t="str">
        <f ca="1">IF($C$74="","",IF('Finals 4'!$I35=$C$74,'Finals 4'!$K35,IF('Finals 4'!$K35=$C$74,'Finals 4'!$I35,"")))</f>
        <v/>
      </c>
      <c r="CI35" s="293">
        <f t="shared" ca="1" si="32"/>
        <v>100034</v>
      </c>
      <c r="CJ35" s="627">
        <f t="shared" ca="1" si="33"/>
        <v>100034</v>
      </c>
      <c r="CK35" s="293">
        <f ca="1">IF(CM35="",99999,'Finals 4'!$D35)</f>
        <v>99999</v>
      </c>
      <c r="CL35" s="293" t="str">
        <f ca="1">IF(CM35="","",'Finals 4'!$E35)</f>
        <v/>
      </c>
      <c r="CM35" s="633" t="str">
        <f ca="1">IF($C$79="","",IF('Finals 4'!$I35=$C$79,'Finals 4'!$K35,IF('Finals 4'!$K35=$C$79,'Finals 4'!$I35,"")))</f>
        <v/>
      </c>
      <c r="CN35" s="293">
        <f t="shared" ca="1" si="34"/>
        <v>100034</v>
      </c>
      <c r="CO35" s="627">
        <f t="shared" ca="1" si="35"/>
        <v>100034</v>
      </c>
      <c r="CP35" s="293">
        <f ca="1">IF(CR35="",99999,'Finals 4'!$D35)</f>
        <v>99999</v>
      </c>
      <c r="CQ35" s="293" t="str">
        <f ca="1">IF(CR35="","",'Finals 4'!$E35)</f>
        <v/>
      </c>
      <c r="CR35" s="633" t="str">
        <f ca="1">IF($C$84="","",IF('Finals 4'!$I35=$C$84,'Finals 4'!$K35,IF('Finals 4'!$K35=$C$84,'Finals 4'!$I35,"")))</f>
        <v/>
      </c>
      <c r="CS35" s="293">
        <f t="shared" ca="1" si="36"/>
        <v>100034</v>
      </c>
      <c r="CT35" s="627">
        <f t="shared" si="37"/>
        <v>100034</v>
      </c>
      <c r="CU35" s="293">
        <f>IF(CW35="",99999,'Finals 4'!$D35)</f>
        <v>99999</v>
      </c>
      <c r="CV35" s="293" t="str">
        <f>IF(CW35="","",'Finals 4'!$E35)</f>
        <v/>
      </c>
      <c r="CW35" s="633" t="str">
        <f>IF($C$89="","",IF('Finals 4'!$I35=$C$89,'Finals 4'!$K35,IF('Finals 4'!$K35=$C$89,'Finals 4'!$I35,"")))</f>
        <v/>
      </c>
      <c r="CX35" s="629">
        <f t="shared" si="38"/>
        <v>100034</v>
      </c>
    </row>
    <row r="36" spans="2:102" ht="15.95" customHeight="1" x14ac:dyDescent="0.2">
      <c r="E36" s="610">
        <f ca="1">IF($AU$13&lt;99999,INDEX($L$12:$L$36,MATCH($AU$13,$AQ$12:$AQ$36,0)),"")</f>
        <v>67</v>
      </c>
      <c r="F36" s="614">
        <f ca="1">IF($AU$13&lt;99999,VLOOKUP($AU$13,$AQ$12:$AT$36,2,0),"")</f>
        <v>0.76388888888888895</v>
      </c>
      <c r="G36" s="615">
        <f ca="1">IF($AU$13&lt;99999,VLOOKUP($AU$13,$AQ$12:$AT$36,3,0),"")</f>
        <v>3</v>
      </c>
      <c r="H36" s="616" t="str">
        <f ca="1">IF($AU$13&lt;99999,VLOOKUP($AU$13,$AQ$12:$AT$36,4,0),"")</f>
        <v>Fun Kickers Oes</v>
      </c>
      <c r="J36" s="602">
        <f t="shared" ca="1" si="39"/>
        <v>0</v>
      </c>
      <c r="K36" s="602" t="str">
        <f t="shared" ref="K36:K37" ca="1" si="68">IF(J36=0,"",$C$34)</f>
        <v/>
      </c>
      <c r="L36" s="164">
        <f ca="1">'Finals 4'!$C36</f>
        <v>80</v>
      </c>
      <c r="M36" s="630">
        <f t="shared" ca="1" si="43"/>
        <v>100035</v>
      </c>
      <c r="N36" s="631">
        <f ca="1">IF(P36="",99999,'Finals 4'!$D36)</f>
        <v>99999</v>
      </c>
      <c r="O36" s="631" t="str">
        <f ca="1">IF(P36="","",'Finals 4'!$E36)</f>
        <v/>
      </c>
      <c r="P36" s="634" t="str">
        <f ca="1">IF($C$4="","",IF('Finals 4'!$I36=$C$4,'Finals 4'!$K36,IF('Finals 4'!$K36=$C$4,'Finals 4'!$I36,"")))</f>
        <v/>
      </c>
      <c r="Q36" s="631">
        <f t="shared" ca="1" si="44"/>
        <v>100035</v>
      </c>
      <c r="R36" s="631">
        <f t="shared" ca="1" si="45"/>
        <v>36.836805555555557</v>
      </c>
      <c r="S36" s="631">
        <f ca="1">IF(U36="",99999,'Finals 4'!$D36)</f>
        <v>0.83680555555555558</v>
      </c>
      <c r="T36" s="631">
        <f ca="1">IF(U36="","",'Finals 4'!$E36)</f>
        <v>4</v>
      </c>
      <c r="U36" s="634" t="str">
        <f ca="1">IF($C$9="","",IF('Finals 4'!$I36=$C$9,'Finals 4'!$K36,IF('Finals 4'!$K36=$C$9,'Finals 4'!$I36,"")))</f>
        <v>Manchester City</v>
      </c>
      <c r="V36" s="631">
        <f t="shared" ca="1" si="46"/>
        <v>100034</v>
      </c>
      <c r="W36" s="631">
        <f t="shared" ca="1" si="47"/>
        <v>100035</v>
      </c>
      <c r="X36" s="631">
        <f ca="1">IF(Z36="",99999,'Finals 4'!$D36)</f>
        <v>99999</v>
      </c>
      <c r="Y36" s="631" t="str">
        <f ca="1">IF(Z36="","",'Finals 4'!$E36)</f>
        <v/>
      </c>
      <c r="Z36" s="634" t="str">
        <f ca="1">IF($C$14="","",IF('Finals 4'!$I36=$C$14,'Finals 4'!$K36,IF('Finals 4'!$K36=$C$14,'Finals 4'!$I36,"")))</f>
        <v/>
      </c>
      <c r="AA36" s="631">
        <f t="shared" ca="1" si="48"/>
        <v>100035</v>
      </c>
      <c r="AB36" s="631">
        <f t="shared" ca="1" si="49"/>
        <v>100035</v>
      </c>
      <c r="AC36" s="631">
        <f ca="1">IF(AE36="",99999,'Finals 4'!$D36)</f>
        <v>99999</v>
      </c>
      <c r="AD36" s="631" t="str">
        <f ca="1">IF(AE36="","",'Finals 4'!$E36)</f>
        <v/>
      </c>
      <c r="AE36" s="634" t="str">
        <f ca="1">IF($C$19="","",IF('Finals 4'!$I36=$C$19,'Finals 4'!$K36,IF('Finals 4'!$K36=$C$19,'Finals 4'!$I36,"")))</f>
        <v/>
      </c>
      <c r="AF36" s="631">
        <f t="shared" ca="1" si="50"/>
        <v>100035</v>
      </c>
      <c r="AG36" s="631">
        <f t="shared" ca="1" si="51"/>
        <v>100035</v>
      </c>
      <c r="AH36" s="631">
        <f ca="1">IF(AJ36="",99999,'Finals 4'!$D36)</f>
        <v>99999</v>
      </c>
      <c r="AI36" s="631" t="str">
        <f ca="1">IF(AJ36="","",'Finals 4'!$E36)</f>
        <v/>
      </c>
      <c r="AJ36" s="634" t="str">
        <f ca="1">IF($C$24="","",IF('Finals 4'!$I36=$C$24,'Finals 4'!$K36,IF('Finals 4'!$K36=$C$24,'Finals 4'!$I36,"")))</f>
        <v/>
      </c>
      <c r="AK36" s="631">
        <f t="shared" ca="1" si="52"/>
        <v>100035</v>
      </c>
      <c r="AL36" s="631">
        <f t="shared" ca="1" si="53"/>
        <v>100035</v>
      </c>
      <c r="AM36" s="631">
        <f ca="1">IF(AO36="",99999,'Finals 4'!$D36)</f>
        <v>99999</v>
      </c>
      <c r="AN36" s="631" t="str">
        <f ca="1">IF(AO36="","",'Finals 4'!$E36)</f>
        <v/>
      </c>
      <c r="AO36" s="634" t="str">
        <f ca="1">IF($C$29="","",IF('Finals 4'!$I36=$C$29,'Finals 4'!$K36,IF('Finals 4'!$K36=$C$29,'Finals 4'!$I36,"")))</f>
        <v/>
      </c>
      <c r="AP36" s="631">
        <f t="shared" ca="1" si="54"/>
        <v>100035</v>
      </c>
      <c r="AQ36" s="631">
        <f t="shared" ca="1" si="55"/>
        <v>100035</v>
      </c>
      <c r="AR36" s="631">
        <f ca="1">IF(AT36="",99999,'Finals 4'!$D36)</f>
        <v>99999</v>
      </c>
      <c r="AS36" s="631" t="str">
        <f ca="1">IF(AT36="","",'Finals 4'!$E36)</f>
        <v/>
      </c>
      <c r="AT36" s="634" t="str">
        <f ca="1">IF($C$34="","",IF('Finals 4'!$I36=$C$34,'Finals 4'!$K36,IF('Finals 4'!$K36=$C$34,'Finals 4'!$I36,"")))</f>
        <v/>
      </c>
      <c r="AU36" s="631">
        <f t="shared" ca="1" si="56"/>
        <v>100035</v>
      </c>
      <c r="AV36" s="631">
        <f t="shared" ca="1" si="57"/>
        <v>100035</v>
      </c>
      <c r="AW36" s="631">
        <f ca="1">IF(AY36="",99999,'Finals 4'!$D36)</f>
        <v>99999</v>
      </c>
      <c r="AX36" s="631" t="str">
        <f ca="1">IF(AY36="","",'Finals 4'!$E36)</f>
        <v/>
      </c>
      <c r="AY36" s="634" t="str">
        <f ca="1">IF($C$39="","",IF('Finals 4'!$I36=$C$39,'Finals 4'!$K36,IF('Finals 4'!$K36=$C$39,'Finals 4'!$I36,"")))</f>
        <v/>
      </c>
      <c r="AZ36" s="631">
        <f t="shared" ca="1" si="58"/>
        <v>100035</v>
      </c>
      <c r="BA36" s="631">
        <f t="shared" si="59"/>
        <v>100035</v>
      </c>
      <c r="BB36" s="631">
        <f>IF(BD36="",99999,'Finals 4'!$D36)</f>
        <v>99999</v>
      </c>
      <c r="BC36" s="631" t="str">
        <f>IF(BD36="","",'Finals 4'!$E36)</f>
        <v/>
      </c>
      <c r="BD36" s="634" t="str">
        <f>IF($C$44="","",IF('Finals 4'!$I36=$C$44,'Finals 4'!$K36,IF('Finals 4'!$K36=$C$44,'Finals 4'!$I36,"")))</f>
        <v/>
      </c>
      <c r="BE36" s="631">
        <f t="shared" si="60"/>
        <v>100035</v>
      </c>
      <c r="BF36" s="631">
        <f t="shared" ca="1" si="61"/>
        <v>100035</v>
      </c>
      <c r="BG36" s="631">
        <f ca="1">IF(BI36="",99999,'Finals 4'!$D36)</f>
        <v>99999</v>
      </c>
      <c r="BH36" s="631" t="str">
        <f ca="1">IF(BI36="","",'Finals 4'!$E36)</f>
        <v/>
      </c>
      <c r="BI36" s="634" t="str">
        <f ca="1">IF($C$49="","",IF('Finals 4'!$I36=$C$49,'Finals 4'!$K36,IF('Finals 4'!$K36=$C$49,'Finals 4'!$I36,"")))</f>
        <v/>
      </c>
      <c r="BJ36" s="631">
        <f t="shared" ca="1" si="62"/>
        <v>100035</v>
      </c>
      <c r="BK36" s="631">
        <f t="shared" ca="1" si="63"/>
        <v>100035</v>
      </c>
      <c r="BL36" s="631">
        <f ca="1">IF(BN36="",99999,'Finals 4'!$D36)</f>
        <v>99999</v>
      </c>
      <c r="BM36" s="631" t="str">
        <f ca="1">IF(BN36="","",'Finals 4'!$E36)</f>
        <v/>
      </c>
      <c r="BN36" s="634" t="str">
        <f ca="1">IF($C$54="","",IF('Finals 4'!$I36=$C$54,'Finals 4'!$K36,IF('Finals 4'!$K36=$C$54,'Finals 4'!$I36,"")))</f>
        <v/>
      </c>
      <c r="BO36" s="631">
        <f t="shared" ca="1" si="64"/>
        <v>100035</v>
      </c>
      <c r="BP36" s="631">
        <f t="shared" ca="1" si="65"/>
        <v>100035</v>
      </c>
      <c r="BQ36" s="631">
        <f ca="1">IF(BS36="",99999,'Finals 4'!$D36)</f>
        <v>99999</v>
      </c>
      <c r="BR36" s="631" t="str">
        <f ca="1">IF(BS36="","",'Finals 4'!$E36)</f>
        <v/>
      </c>
      <c r="BS36" s="634" t="str">
        <f ca="1">IF($C$59="","",IF('Finals 4'!$I36=$C$59,'Finals 4'!$K36,IF('Finals 4'!$K36=$C$59,'Finals 4'!$I36,"")))</f>
        <v/>
      </c>
      <c r="BT36" s="632">
        <f t="shared" ca="1" si="66"/>
        <v>100035</v>
      </c>
      <c r="BU36" s="630">
        <f t="shared" ca="1" si="27"/>
        <v>36.836805555555557</v>
      </c>
      <c r="BV36" s="631">
        <f ca="1">IF(BX36="",99999,'Finals 4'!$D36)</f>
        <v>0.83680555555555558</v>
      </c>
      <c r="BW36" s="631">
        <f ca="1">IF(BX36="","",'Finals 4'!$E36)</f>
        <v>4</v>
      </c>
      <c r="BX36" s="634" t="str">
        <f ca="1">IF($C$64="","",IF('Finals 4'!$I36=$C$64,'Finals 4'!$K36,IF('Finals 4'!$K36=$C$64,'Finals 4'!$I36,"")))</f>
        <v>FC Barcelona</v>
      </c>
      <c r="BY36" s="631">
        <f t="shared" ca="1" si="28"/>
        <v>100034</v>
      </c>
      <c r="BZ36" s="630">
        <f t="shared" ca="1" si="29"/>
        <v>100035</v>
      </c>
      <c r="CA36" s="631">
        <f ca="1">IF(CC36="",99999,'Finals 4'!$D36)</f>
        <v>99999</v>
      </c>
      <c r="CB36" s="631" t="str">
        <f ca="1">IF(CC36="","",'Finals 4'!$E36)</f>
        <v/>
      </c>
      <c r="CC36" s="634" t="str">
        <f ca="1">IF($C$69="","",IF('Finals 4'!$I36=$C$69,'Finals 4'!$K36,IF('Finals 4'!$K36=$C$69,'Finals 4'!$I36,"")))</f>
        <v/>
      </c>
      <c r="CD36" s="631">
        <f t="shared" ca="1" si="30"/>
        <v>100035</v>
      </c>
      <c r="CE36" s="630">
        <f t="shared" ca="1" si="31"/>
        <v>100035</v>
      </c>
      <c r="CF36" s="631">
        <f ca="1">IF(CH36="",99999,'Finals 4'!$D36)</f>
        <v>99999</v>
      </c>
      <c r="CG36" s="631" t="str">
        <f ca="1">IF(CH36="","",'Finals 4'!$E36)</f>
        <v/>
      </c>
      <c r="CH36" s="634" t="str">
        <f ca="1">IF($C$74="","",IF('Finals 4'!$I36=$C$74,'Finals 4'!$K36,IF('Finals 4'!$K36=$C$74,'Finals 4'!$I36,"")))</f>
        <v/>
      </c>
      <c r="CI36" s="631">
        <f t="shared" ca="1" si="32"/>
        <v>100035</v>
      </c>
      <c r="CJ36" s="630">
        <f t="shared" ca="1" si="33"/>
        <v>100035</v>
      </c>
      <c r="CK36" s="631">
        <f ca="1">IF(CM36="",99999,'Finals 4'!$D36)</f>
        <v>99999</v>
      </c>
      <c r="CL36" s="631" t="str">
        <f ca="1">IF(CM36="","",'Finals 4'!$E36)</f>
        <v/>
      </c>
      <c r="CM36" s="634" t="str">
        <f ca="1">IF($C$79="","",IF('Finals 4'!$I36=$C$79,'Finals 4'!$K36,IF('Finals 4'!$K36=$C$79,'Finals 4'!$I36,"")))</f>
        <v/>
      </c>
      <c r="CN36" s="631">
        <f t="shared" ca="1" si="34"/>
        <v>100035</v>
      </c>
      <c r="CO36" s="630">
        <f t="shared" ca="1" si="35"/>
        <v>100035</v>
      </c>
      <c r="CP36" s="631">
        <f ca="1">IF(CR36="",99999,'Finals 4'!$D36)</f>
        <v>99999</v>
      </c>
      <c r="CQ36" s="631" t="str">
        <f ca="1">IF(CR36="","",'Finals 4'!$E36)</f>
        <v/>
      </c>
      <c r="CR36" s="634" t="str">
        <f ca="1">IF($C$84="","",IF('Finals 4'!$I36=$C$84,'Finals 4'!$K36,IF('Finals 4'!$K36=$C$84,'Finals 4'!$I36,"")))</f>
        <v/>
      </c>
      <c r="CS36" s="631">
        <f t="shared" ca="1" si="36"/>
        <v>100035</v>
      </c>
      <c r="CT36" s="630">
        <f t="shared" si="37"/>
        <v>100035</v>
      </c>
      <c r="CU36" s="631">
        <f>IF(CW36="",99999,'Finals 4'!$D36)</f>
        <v>99999</v>
      </c>
      <c r="CV36" s="631" t="str">
        <f>IF(CW36="","",'Finals 4'!$E36)</f>
        <v/>
      </c>
      <c r="CW36" s="634" t="str">
        <f>IF($C$89="","",IF('Finals 4'!$I36=$C$89,'Finals 4'!$K36,IF('Finals 4'!$K36=$C$89,'Finals 4'!$I36,"")))</f>
        <v/>
      </c>
      <c r="CX36" s="632">
        <f t="shared" si="38"/>
        <v>100035</v>
      </c>
    </row>
    <row r="37" spans="2:102" ht="15.95" customHeight="1" thickBot="1" x14ac:dyDescent="0.25">
      <c r="E37" s="617">
        <f ca="1">IF($AU$14&lt;99999,INDEX($L$12:$L$36,MATCH($AU$14,$AQ$12:$AQ$36,0)),"")</f>
        <v>79</v>
      </c>
      <c r="F37" s="618">
        <f ca="1">IF($AU$14&lt;99999,VLOOKUP($AU$14,$AQ$12:$AT$36,2,0),"")</f>
        <v>0.83680555555555558</v>
      </c>
      <c r="G37" s="619">
        <f ca="1">IF($AU$14&lt;99999,VLOOKUP($AU$14,$AQ$12:$AT$36,3,0),"")</f>
        <v>3</v>
      </c>
      <c r="H37" s="620" t="str">
        <f ca="1">IF($AU$14&lt;99999,VLOOKUP($AU$14,$AQ$12:$AT$36,4,0),"")</f>
        <v>Inter Mailand</v>
      </c>
      <c r="J37" s="602">
        <f t="shared" ca="1" si="39"/>
        <v>0</v>
      </c>
      <c r="K37" s="602" t="str">
        <f t="shared" ca="1" si="68"/>
        <v/>
      </c>
    </row>
    <row r="38" spans="2:102" ht="30" customHeight="1" thickBot="1" x14ac:dyDescent="0.25">
      <c r="J38" s="602">
        <f t="shared" ca="1" si="39"/>
        <v>0</v>
      </c>
    </row>
    <row r="39" spans="2:102" ht="15.95" customHeight="1" x14ac:dyDescent="0.2">
      <c r="B39" s="604" t="s">
        <v>332</v>
      </c>
      <c r="C39" s="605" t="str">
        <f>IF(Planning!$C$21="","",Planning!$C$21)</f>
        <v>Knock Out Rangers</v>
      </c>
      <c r="E39" s="606" t="str">
        <f>Language!$E$69</f>
        <v>Match No.</v>
      </c>
      <c r="F39" s="607" t="str">
        <f>Language!$E$39</f>
        <v>Start</v>
      </c>
      <c r="G39" s="608" t="str">
        <f>Language!$E$48</f>
        <v>Field</v>
      </c>
      <c r="H39" s="609" t="str">
        <f>Language!$E$46</f>
        <v>Match against</v>
      </c>
      <c r="J39" s="602">
        <f t="shared" ca="1" si="39"/>
        <v>0</v>
      </c>
    </row>
    <row r="40" spans="2:102" ht="15.95" customHeight="1" x14ac:dyDescent="0.2">
      <c r="E40" s="610">
        <f ca="1">IF($AZ$12&lt;99999,INDEX($L$12:$L$36,MATCH($AZ$12,$AV$12:$AV$36,0)),"")</f>
        <v>58</v>
      </c>
      <c r="F40" s="611">
        <f ca="1">IF($AZ$12&lt;99999,VLOOKUP($AZ$12,$AV$12:$AY$36,2,0),"")</f>
        <v>0.71527777777777779</v>
      </c>
      <c r="G40" s="612">
        <f ca="1">IF($AZ$12&lt;99999,VLOOKUP($AZ$12,$AV$12:$AY$36,3,0),"")</f>
        <v>2</v>
      </c>
      <c r="H40" s="613" t="str">
        <f ca="1">IF($AZ$12&lt;99999,VLOOKUP($AZ$12,$AV$12:$AY$36,4,0),"")</f>
        <v>FC Grönlingen</v>
      </c>
      <c r="J40" s="602">
        <f t="shared" ca="1" si="39"/>
        <v>0</v>
      </c>
      <c r="K40" s="602" t="str">
        <f ca="1">IF(J40=0,"",$C$39)</f>
        <v/>
      </c>
    </row>
    <row r="41" spans="2:102" ht="15.95" customHeight="1" x14ac:dyDescent="0.2">
      <c r="E41" s="610">
        <f ca="1">IF($AZ$13&lt;99999,INDEX($L$12:$L$36,MATCH($AZ$13,$AV$12:$AV$36,0)),"")</f>
        <v>66</v>
      </c>
      <c r="F41" s="614">
        <f ca="1">IF($AZ$13&lt;99999,VLOOKUP($AZ$13,$AV$12:$AY$36,2,0),"")</f>
        <v>0.76388888888888895</v>
      </c>
      <c r="G41" s="615">
        <f ca="1">IF($AZ$13&lt;99999,VLOOKUP($AZ$13,$AV$12:$AY$36,3,0),"")</f>
        <v>2</v>
      </c>
      <c r="H41" s="616" t="str">
        <f ca="1">IF($AZ$13&lt;99999,VLOOKUP($AZ$13,$AV$12:$AY$36,4,0),"")</f>
        <v>Maibach 1822 eV</v>
      </c>
      <c r="J41" s="602">
        <f t="shared" ca="1" si="39"/>
        <v>0</v>
      </c>
      <c r="K41" s="602" t="str">
        <f t="shared" ref="K41:K42" ca="1" si="69">IF(J41=0,"",$C$39)</f>
        <v/>
      </c>
    </row>
    <row r="42" spans="2:102" ht="15.95" customHeight="1" thickBot="1" x14ac:dyDescent="0.25">
      <c r="E42" s="617">
        <f ca="1">IF($AZ$14&lt;99999,INDEX($L$12:$L$36,MATCH($AZ$14,$AV$12:$AV$36,0)),"")</f>
        <v>78</v>
      </c>
      <c r="F42" s="618">
        <f ca="1">IF($AZ$14&lt;99999,VLOOKUP($AZ$14,$AV$12:$AY$36,2,0),"")</f>
        <v>0.83680555555555558</v>
      </c>
      <c r="G42" s="619">
        <f ca="1">IF($AZ$14&lt;99999,VLOOKUP($AZ$14,$AV$12:$AY$36,3,0),"")</f>
        <v>2</v>
      </c>
      <c r="H42" s="620" t="str">
        <f ca="1">IF($AZ$14&lt;99999,VLOOKUP($AZ$14,$AV$12:$AY$36,4,0),"")</f>
        <v>Borussia Heine</v>
      </c>
      <c r="J42" s="602">
        <f t="shared" ca="1" si="39"/>
        <v>0</v>
      </c>
      <c r="K42" s="602" t="str">
        <f t="shared" ca="1" si="69"/>
        <v/>
      </c>
    </row>
    <row r="43" spans="2:102" ht="30" customHeight="1" thickBot="1" x14ac:dyDescent="0.25">
      <c r="J43" s="602">
        <f t="shared" ca="1" si="39"/>
        <v>0</v>
      </c>
    </row>
    <row r="44" spans="2:102" ht="15.95" customHeight="1" x14ac:dyDescent="0.2">
      <c r="B44" s="604" t="s">
        <v>333</v>
      </c>
      <c r="C44" s="605" t="str">
        <f>IF(Planning!$C$23="","",Planning!$C$23)</f>
        <v/>
      </c>
      <c r="E44" s="606" t="str">
        <f>Language!$E$69</f>
        <v>Match No.</v>
      </c>
      <c r="F44" s="607" t="str">
        <f>Language!$E$39</f>
        <v>Start</v>
      </c>
      <c r="G44" s="608" t="str">
        <f>Language!$E$48</f>
        <v>Field</v>
      </c>
      <c r="H44" s="609" t="str">
        <f>Language!$E$46</f>
        <v>Match against</v>
      </c>
      <c r="J44" s="602">
        <f t="shared" si="39"/>
        <v>0</v>
      </c>
    </row>
    <row r="45" spans="2:102" ht="15.95" customHeight="1" x14ac:dyDescent="0.2">
      <c r="E45" s="610" t="str">
        <f>IF($BE$12&lt;99999,INDEX($L$12:$L$36,MATCH($BE$12,$BA$12:$BA$36,0)),"")</f>
        <v/>
      </c>
      <c r="F45" s="611" t="str">
        <f>IF($BE$12&lt;99999,VLOOKUP($BE$12,$BA$12:$BD$36,2,0),"")</f>
        <v/>
      </c>
      <c r="G45" s="612" t="str">
        <f>IF($BE$12&lt;99999,VLOOKUP($BE$12,$BA$12:$BD$36,3,0),"")</f>
        <v/>
      </c>
      <c r="H45" s="613" t="str">
        <f>IF($BE$12&lt;99999,VLOOKUP($BE$12,$BA$12:$BD$36,4,0),"")</f>
        <v/>
      </c>
      <c r="J45" s="602">
        <f t="shared" si="39"/>
        <v>0</v>
      </c>
      <c r="K45" s="602" t="str">
        <f>IF(J45=0,"",$C$44)</f>
        <v/>
      </c>
    </row>
    <row r="46" spans="2:102" ht="15.95" customHeight="1" x14ac:dyDescent="0.2">
      <c r="E46" s="610" t="str">
        <f>IF($BE$13&lt;99999,INDEX($L$12:$L$36,MATCH($BE$13,$BA$12:$BA$36,0)),"")</f>
        <v/>
      </c>
      <c r="F46" s="614" t="str">
        <f>IF($BE$13&lt;99999,VLOOKUP($BE$13,$BA$12:$BD$36,2,0),"")</f>
        <v/>
      </c>
      <c r="G46" s="615" t="str">
        <f>IF($BE$13&lt;99999,VLOOKUP($BE$13,$BA$12:$BD$36,3,0),"")</f>
        <v/>
      </c>
      <c r="H46" s="616" t="str">
        <f>IF($BE$13&lt;99999,VLOOKUP($BE$13,$BA$12:$BD$36,4,0),"")</f>
        <v/>
      </c>
      <c r="J46" s="602">
        <f t="shared" si="39"/>
        <v>0</v>
      </c>
      <c r="K46" s="602" t="str">
        <f t="shared" ref="K46:K47" si="70">IF(J46=0,"",$C$44)</f>
        <v/>
      </c>
    </row>
    <row r="47" spans="2:102" ht="15.95" customHeight="1" thickBot="1" x14ac:dyDescent="0.25">
      <c r="E47" s="617" t="str">
        <f>IF($BE$14&lt;99999,INDEX($L$12:$L$36,MATCH($BE$14,$BA$12:$BA$36,0)),"")</f>
        <v/>
      </c>
      <c r="F47" s="618" t="str">
        <f>IF($BE$14&lt;99999,VLOOKUP($BE$14,$BA$12:$BD$36,2,0),"")</f>
        <v/>
      </c>
      <c r="G47" s="619" t="str">
        <f>IF($BE$14&lt;99999,VLOOKUP($BE$14,$BA$12:$BD$36,3,0),"")</f>
        <v/>
      </c>
      <c r="H47" s="620" t="str">
        <f>IF($BE$14&lt;99999,VLOOKUP($BE$14,$BA$12:$BD$36,4,0),"")</f>
        <v/>
      </c>
      <c r="J47" s="602">
        <f t="shared" si="39"/>
        <v>0</v>
      </c>
      <c r="K47" s="602" t="str">
        <f t="shared" si="70"/>
        <v/>
      </c>
    </row>
    <row r="48" spans="2:102" ht="30" customHeight="1" thickBot="1" x14ac:dyDescent="0.25">
      <c r="J48" s="602">
        <f t="shared" si="39"/>
        <v>0</v>
      </c>
    </row>
    <row r="49" spans="2:11" ht="15.95" customHeight="1" x14ac:dyDescent="0.2">
      <c r="B49" s="604" t="s">
        <v>209</v>
      </c>
      <c r="C49" s="605" t="str">
        <f>IF(Planning!$C$31="","",Planning!$C$31)</f>
        <v>Mainz 05</v>
      </c>
      <c r="E49" s="606" t="str">
        <f>Language!$E$69</f>
        <v>Match No.</v>
      </c>
      <c r="F49" s="607" t="str">
        <f>Language!$E$39</f>
        <v>Start</v>
      </c>
      <c r="G49" s="608" t="str">
        <f>Language!$E$48</f>
        <v>Field</v>
      </c>
      <c r="H49" s="609" t="str">
        <f>Language!$E$46</f>
        <v>Match against</v>
      </c>
      <c r="J49" s="602">
        <f t="shared" ca="1" si="39"/>
        <v>0</v>
      </c>
    </row>
    <row r="50" spans="2:11" ht="15.95" customHeight="1" x14ac:dyDescent="0.2">
      <c r="E50" s="610">
        <f ca="1">IF($BJ$12&lt;99999,INDEX($L$12:$L$36,MATCH($BJ$12,$BF$12:$BF$36,0)),"")</f>
        <v>59</v>
      </c>
      <c r="F50" s="611">
        <f ca="1">IF($BJ$12&lt;99999,VLOOKUP($BJ$12,$BF$12:$BI$36,2,0),"")</f>
        <v>0.71527777777777779</v>
      </c>
      <c r="G50" s="612">
        <f ca="1">IF($BJ$12&lt;99999,VLOOKUP($BJ$12,$BF$12:$BI$36,3,0),"")</f>
        <v>3</v>
      </c>
      <c r="H50" s="613" t="str">
        <f ca="1">IF($BJ$12&lt;99999,VLOOKUP($BJ$12,$BF$12:$BI$36,4,0),"")</f>
        <v>Raslo Winners</v>
      </c>
      <c r="J50" s="602">
        <f t="shared" ca="1" si="39"/>
        <v>0</v>
      </c>
      <c r="K50" s="602" t="str">
        <f ca="1">IF(J50=0,"",$C$49)</f>
        <v/>
      </c>
    </row>
    <row r="51" spans="2:11" ht="15.95" customHeight="1" x14ac:dyDescent="0.2">
      <c r="E51" s="610">
        <f ca="1">IF($BJ$13&lt;99999,INDEX($L$12:$L$36,MATCH($BJ$13,$BF$12:$BF$36,0)),"")</f>
        <v>71</v>
      </c>
      <c r="F51" s="614">
        <f ca="1">IF($BJ$13&lt;99999,VLOOKUP($BJ$13,$BF$12:$BI$36,2,0),"")</f>
        <v>0.78819444444444442</v>
      </c>
      <c r="G51" s="615">
        <f ca="1">IF($BJ$13&lt;99999,VLOOKUP($BJ$13,$BF$12:$BI$36,3,0),"")</f>
        <v>3</v>
      </c>
      <c r="H51" s="616" t="str">
        <f ca="1">IF($BJ$13&lt;99999,VLOOKUP($BJ$13,$BF$12:$BI$36,4,0),"")</f>
        <v>Inter Mailand</v>
      </c>
      <c r="J51" s="602">
        <f t="shared" ca="1" si="39"/>
        <v>0</v>
      </c>
      <c r="K51" s="602" t="str">
        <f t="shared" ref="K51:K52" ca="1" si="71">IF(J51=0,"",$C$49)</f>
        <v/>
      </c>
    </row>
    <row r="52" spans="2:11" ht="15.95" customHeight="1" thickBot="1" x14ac:dyDescent="0.25">
      <c r="E52" s="617">
        <f ca="1">IF($BJ$14&lt;99999,INDEX($L$12:$L$36,MATCH($BJ$14,$BF$12:$BF$36,0)),"")</f>
        <v>75</v>
      </c>
      <c r="F52" s="618">
        <f ca="1">IF($BJ$14&lt;99999,VLOOKUP($BJ$14,$BF$12:$BI$36,2,0),"")</f>
        <v>0.8125</v>
      </c>
      <c r="G52" s="619">
        <f ca="1">IF($BJ$14&lt;99999,VLOOKUP($BJ$14,$BF$12:$BI$36,3,0),"")</f>
        <v>3</v>
      </c>
      <c r="H52" s="620" t="str">
        <f ca="1">IF($BJ$14&lt;99999,VLOOKUP($BJ$14,$BF$12:$BI$36,4,0),"")</f>
        <v>Fun Kickers Oes</v>
      </c>
      <c r="J52" s="602">
        <f t="shared" ca="1" si="39"/>
        <v>0</v>
      </c>
      <c r="K52" s="602" t="str">
        <f t="shared" ca="1" si="71"/>
        <v/>
      </c>
    </row>
    <row r="53" spans="2:11" ht="30" customHeight="1" thickBot="1" x14ac:dyDescent="0.25">
      <c r="J53" s="602">
        <f t="shared" ca="1" si="39"/>
        <v>0</v>
      </c>
    </row>
    <row r="54" spans="2:11" ht="15.95" customHeight="1" x14ac:dyDescent="0.2">
      <c r="B54" s="604" t="s">
        <v>211</v>
      </c>
      <c r="C54" s="605" t="str">
        <f>IF(Planning!$C$33="","",Planning!$C$33)</f>
        <v>Inter Mailand</v>
      </c>
      <c r="E54" s="606" t="str">
        <f>Language!$E$69</f>
        <v>Match No.</v>
      </c>
      <c r="F54" s="607" t="str">
        <f>Language!$E$39</f>
        <v>Start</v>
      </c>
      <c r="G54" s="608" t="str">
        <f>Language!$E$48</f>
        <v>Field</v>
      </c>
      <c r="H54" s="609" t="str">
        <f>Language!$E$46</f>
        <v>Match against</v>
      </c>
      <c r="J54" s="602">
        <f t="shared" ca="1" si="39"/>
        <v>0</v>
      </c>
    </row>
    <row r="55" spans="2:11" ht="15.95" customHeight="1" x14ac:dyDescent="0.2">
      <c r="E55" s="610">
        <f ca="1">IF($BO$12&lt;99999,INDEX($L$12:$L$36,MATCH($BO$12,$BK$12:$BK$36,0)),"")</f>
        <v>63</v>
      </c>
      <c r="F55" s="611">
        <f ca="1">IF($BO$12&lt;99999,VLOOKUP($BO$12,$BK$12:$BN$36,2,0),"")</f>
        <v>0.73958333333333337</v>
      </c>
      <c r="G55" s="612">
        <f ca="1">IF($BO$12&lt;99999,VLOOKUP($BO$12,$BK$12:$BN$36,3,0),"")</f>
        <v>3</v>
      </c>
      <c r="H55" s="613" t="str">
        <f ca="1">IF($BO$12&lt;99999,VLOOKUP($BO$12,$BK$12:$BN$36,4,0),"")</f>
        <v>Fun Kickers Oes</v>
      </c>
      <c r="J55" s="602">
        <f t="shared" ca="1" si="39"/>
        <v>0</v>
      </c>
      <c r="K55" s="602" t="str">
        <f ca="1">IF(J55=0,"",$C$54)</f>
        <v/>
      </c>
    </row>
    <row r="56" spans="2:11" ht="15.95" customHeight="1" x14ac:dyDescent="0.2">
      <c r="E56" s="610">
        <f ca="1">IF($BO$13&lt;99999,INDEX($L$12:$L$36,MATCH($BO$13,$BK$12:$BK$36,0)),"")</f>
        <v>71</v>
      </c>
      <c r="F56" s="614">
        <f ca="1">IF($BO$13&lt;99999,VLOOKUP($BO$13,$BK$12:$BN$36,2,0),"")</f>
        <v>0.78819444444444442</v>
      </c>
      <c r="G56" s="615">
        <f ca="1">IF($BO$13&lt;99999,VLOOKUP($BO$13,$BK$12:$BN$36,3,0),"")</f>
        <v>3</v>
      </c>
      <c r="H56" s="616" t="str">
        <f ca="1">IF($BO$13&lt;99999,VLOOKUP($BO$13,$BK$12:$BN$36,4,0),"")</f>
        <v>Mainz 05</v>
      </c>
      <c r="J56" s="602">
        <f t="shared" ca="1" si="39"/>
        <v>0</v>
      </c>
      <c r="K56" s="602" t="str">
        <f t="shared" ref="K56:K57" ca="1" si="72">IF(J56=0,"",$C$54)</f>
        <v/>
      </c>
    </row>
    <row r="57" spans="2:11" ht="15.95" customHeight="1" thickBot="1" x14ac:dyDescent="0.25">
      <c r="E57" s="617">
        <f ca="1">IF($BO$14&lt;99999,INDEX($L$12:$L$36,MATCH($BO$14,$BK$12:$BK$36,0)),"")</f>
        <v>79</v>
      </c>
      <c r="F57" s="618">
        <f ca="1">IF($BO$14&lt;99999,VLOOKUP($BO$14,$BK$12:$BN$36,2,0),"")</f>
        <v>0.83680555555555558</v>
      </c>
      <c r="G57" s="619">
        <f ca="1">IF($BO$14&lt;99999,VLOOKUP($BO$14,$BK$12:$BN$36,3,0),"")</f>
        <v>3</v>
      </c>
      <c r="H57" s="620" t="str">
        <f ca="1">IF($BO$14&lt;99999,VLOOKUP($BO$14,$BK$12:$BN$36,4,0),"")</f>
        <v>Raslo Winners</v>
      </c>
      <c r="J57" s="602">
        <f t="shared" ca="1" si="39"/>
        <v>0</v>
      </c>
      <c r="K57" s="602" t="str">
        <f t="shared" ca="1" si="72"/>
        <v/>
      </c>
    </row>
    <row r="58" spans="2:11" ht="30" customHeight="1" thickBot="1" x14ac:dyDescent="0.25">
      <c r="J58" s="602">
        <f t="shared" ca="1" si="39"/>
        <v>0</v>
      </c>
    </row>
    <row r="59" spans="2:11" ht="15.95" customHeight="1" x14ac:dyDescent="0.2">
      <c r="B59" s="604" t="s">
        <v>207</v>
      </c>
      <c r="C59" s="605" t="str">
        <f>IF(Planning!$C$35="","",Planning!$C$35)</f>
        <v>SSV Wildbach</v>
      </c>
      <c r="E59" s="606" t="str">
        <f>Language!$E$69</f>
        <v>Match No.</v>
      </c>
      <c r="F59" s="607" t="str">
        <f>Language!$E$39</f>
        <v>Start</v>
      </c>
      <c r="G59" s="608" t="str">
        <f>Language!$E$48</f>
        <v>Field</v>
      </c>
      <c r="H59" s="609" t="str">
        <f>Language!$E$46</f>
        <v>Match against</v>
      </c>
      <c r="J59" s="602">
        <f t="shared" ca="1" si="39"/>
        <v>0</v>
      </c>
    </row>
    <row r="60" spans="2:11" ht="15.95" customHeight="1" x14ac:dyDescent="0.2">
      <c r="E60" s="610">
        <f ca="1">IF($BT$12&lt;99999,INDEX($L$12:$L$36,MATCH($BT$12,$BP$12:$BP$36,0)),"")</f>
        <v>57</v>
      </c>
      <c r="F60" s="611">
        <f ca="1">IF($BT$12&lt;99999,VLOOKUP($BT$12,$BP$12:$BS$36,2,0),"")</f>
        <v>0.71527777777777779</v>
      </c>
      <c r="G60" s="612">
        <f ca="1">IF($BT$12&lt;99999,VLOOKUP($BT$12,$BP$12:$BS$36,3,0),"")</f>
        <v>1</v>
      </c>
      <c r="H60" s="613" t="str">
        <f ca="1">IF($BT$12&lt;99999,VLOOKUP($BT$12,$BP$12:$BS$36,4,0),"")</f>
        <v>VFB Essenheim</v>
      </c>
      <c r="J60" s="602">
        <f t="shared" ca="1" si="39"/>
        <v>0</v>
      </c>
      <c r="K60" s="602" t="str">
        <f ca="1">IF(J60=0,"",$C$59)</f>
        <v/>
      </c>
    </row>
    <row r="61" spans="2:11" ht="15.95" customHeight="1" x14ac:dyDescent="0.2">
      <c r="E61" s="610">
        <f ca="1">IF($BT$13&lt;99999,INDEX($L$12:$L$36,MATCH($BT$13,$BP$12:$BP$36,0)),"")</f>
        <v>69</v>
      </c>
      <c r="F61" s="614">
        <f ca="1">IF($BT$13&lt;99999,VLOOKUP($BT$13,$BP$12:$BS$36,2,0),"")</f>
        <v>0.78819444444444442</v>
      </c>
      <c r="G61" s="615">
        <f ca="1">IF($BT$13&lt;99999,VLOOKUP($BT$13,$BP$12:$BS$36,3,0),"")</f>
        <v>1</v>
      </c>
      <c r="H61" s="616" t="str">
        <f ca="1">IF($BT$13&lt;99999,VLOOKUP($BT$13,$BP$12:$BS$36,4,0),"")</f>
        <v>VFL Ronsdorf</v>
      </c>
      <c r="J61" s="602">
        <f t="shared" ca="1" si="39"/>
        <v>0</v>
      </c>
      <c r="K61" s="602" t="str">
        <f t="shared" ref="K61:K62" ca="1" si="73">IF(J61=0,"",$C$59)</f>
        <v/>
      </c>
    </row>
    <row r="62" spans="2:11" ht="15.95" customHeight="1" thickBot="1" x14ac:dyDescent="0.25">
      <c r="E62" s="617">
        <f ca="1">IF($BT$14&lt;99999,INDEX($L$12:$L$36,MATCH($BT$14,$BP$12:$BP$36,0)),"")</f>
        <v>73</v>
      </c>
      <c r="F62" s="618">
        <f ca="1">IF($BT$14&lt;99999,VLOOKUP($BT$14,$BP$12:$BS$36,2,0),"")</f>
        <v>0.8125</v>
      </c>
      <c r="G62" s="619">
        <f ca="1">IF($BT$14&lt;99999,VLOOKUP($BT$14,$BP$12:$BS$36,3,0),"")</f>
        <v>1</v>
      </c>
      <c r="H62" s="620" t="str">
        <f ca="1">IF($BT$14&lt;99999,VLOOKUP($BT$14,$BP$12:$BS$36,4,0),"")</f>
        <v>1. FC Riedwald</v>
      </c>
      <c r="J62" s="602">
        <f t="shared" ca="1" si="39"/>
        <v>0</v>
      </c>
      <c r="K62" s="602" t="str">
        <f t="shared" ca="1" si="73"/>
        <v/>
      </c>
    </row>
    <row r="63" spans="2:11" ht="15.95" customHeight="1" thickBot="1" x14ac:dyDescent="0.25">
      <c r="J63" s="603">
        <f t="shared" ca="1" si="39"/>
        <v>0</v>
      </c>
    </row>
    <row r="64" spans="2:11" ht="15.95" customHeight="1" x14ac:dyDescent="0.2">
      <c r="B64" s="604" t="s">
        <v>213</v>
      </c>
      <c r="C64" s="605" t="str">
        <f>IF(Planning!$C$37="","",Planning!$C$37)</f>
        <v>Manchester City</v>
      </c>
      <c r="E64" s="606" t="str">
        <f>Language!$E$69</f>
        <v>Match No.</v>
      </c>
      <c r="F64" s="607" t="str">
        <f>Language!$E$39</f>
        <v>Start</v>
      </c>
      <c r="G64" s="608" t="str">
        <f>Language!$E$48</f>
        <v>Field</v>
      </c>
      <c r="H64" s="609" t="str">
        <f>Language!$E$46</f>
        <v>Match against</v>
      </c>
      <c r="J64" s="603">
        <f t="shared" ca="1" si="39"/>
        <v>0</v>
      </c>
    </row>
    <row r="65" spans="2:11" ht="15.95" customHeight="1" x14ac:dyDescent="0.2">
      <c r="E65" s="610">
        <f ca="1">IF($BY$12&lt;99999,INDEX($L$12:$L$36,MATCH($BY$12,$BU$12:$BU$36,0)),"")</f>
        <v>64</v>
      </c>
      <c r="F65" s="611">
        <f ca="1">IF($BY$12&lt;99999,VLOOKUP($BY$12,$BU$12:$BX$36,2,0),"")</f>
        <v>0.73958333333333337</v>
      </c>
      <c r="G65" s="612">
        <f ca="1">IF($BY$12&lt;99999,VLOOKUP($BY$12,$BU$12:$BX$36,3,0),"")</f>
        <v>4</v>
      </c>
      <c r="H65" s="613" t="str">
        <f ca="1">IF($BY$12&lt;99999,VLOOKUP($BY$12,$BU$12:$BX$36,4,0),"")</f>
        <v>Eintracht Frankfurt</v>
      </c>
      <c r="J65" s="603">
        <f t="shared" ca="1" si="39"/>
        <v>0</v>
      </c>
      <c r="K65" s="603" t="str">
        <f ca="1">IF(J65=0,"",$C$64)</f>
        <v/>
      </c>
    </row>
    <row r="66" spans="2:11" ht="15.95" customHeight="1" x14ac:dyDescent="0.2">
      <c r="E66" s="610">
        <f ca="1">IF($BY$13&lt;99999,INDEX($L$12:$L$36,MATCH($BY$13,$BU$12:$BU$36,0)),"")</f>
        <v>72</v>
      </c>
      <c r="F66" s="614">
        <f ca="1">IF($BY$13&lt;99999,VLOOKUP($BY$13,$BU$12:$BX$36,2,0),"")</f>
        <v>0.78819444444444442</v>
      </c>
      <c r="G66" s="615">
        <f ca="1">IF($BY$13&lt;99999,VLOOKUP($BY$13,$BU$12:$BX$36,3,0),"")</f>
        <v>4</v>
      </c>
      <c r="H66" s="616" t="str">
        <f ca="1">IF($BY$13&lt;99999,VLOOKUP($BY$13,$BU$12:$BX$36,4,0),"")</f>
        <v>AC Roma</v>
      </c>
      <c r="J66" s="603">
        <f t="shared" ca="1" si="39"/>
        <v>0</v>
      </c>
      <c r="K66" s="603" t="str">
        <f ca="1">IF(J66=0,"",$C$64)</f>
        <v/>
      </c>
    </row>
    <row r="67" spans="2:11" ht="15.95" customHeight="1" thickBot="1" x14ac:dyDescent="0.25">
      <c r="E67" s="617">
        <f ca="1">IF($BY$14&lt;99999,INDEX($L$12:$L$36,MATCH($BY$14,$BU$12:$BU$36,0)),"")</f>
        <v>80</v>
      </c>
      <c r="F67" s="618">
        <f ca="1">IF($BY$14&lt;99999,VLOOKUP($BY$14,$BU$12:$BX$36,2,0),"")</f>
        <v>0.83680555555555558</v>
      </c>
      <c r="G67" s="619">
        <f ca="1">IF($BY$14&lt;99999,VLOOKUP($BY$14,$BU$12:$BX$36,3,0),"")</f>
        <v>4</v>
      </c>
      <c r="H67" s="620" t="str">
        <f ca="1">IF($BY$14&lt;99999,VLOOKUP($BY$14,$BU$12:$BX$36,4,0),"")</f>
        <v>FC Barcelona</v>
      </c>
      <c r="J67" s="603">
        <f t="shared" ca="1" si="39"/>
        <v>0</v>
      </c>
      <c r="K67" s="603" t="str">
        <f ca="1">IF(J67=0,"",$C$64)</f>
        <v/>
      </c>
    </row>
    <row r="68" spans="2:11" ht="15.95" customHeight="1" thickBot="1" x14ac:dyDescent="0.25">
      <c r="J68" s="603">
        <f t="shared" ca="1" si="39"/>
        <v>0</v>
      </c>
    </row>
    <row r="69" spans="2:11" ht="15.95" customHeight="1" x14ac:dyDescent="0.2">
      <c r="B69" s="604" t="s">
        <v>215</v>
      </c>
      <c r="C69" s="605" t="str">
        <f>IF(Planning!$C$39="","",Planning!$C$39)</f>
        <v>FC Grönlingen</v>
      </c>
      <c r="E69" s="606" t="str">
        <f>Language!$E$69</f>
        <v>Match No.</v>
      </c>
      <c r="F69" s="607" t="str">
        <f>Language!$E$39</f>
        <v>Start</v>
      </c>
      <c r="G69" s="608" t="str">
        <f>Language!$E$48</f>
        <v>Field</v>
      </c>
      <c r="H69" s="609" t="str">
        <f>Language!$E$46</f>
        <v>Match against</v>
      </c>
      <c r="J69" s="603">
        <f t="shared" ca="1" si="39"/>
        <v>0</v>
      </c>
    </row>
    <row r="70" spans="2:11" ht="15.95" customHeight="1" x14ac:dyDescent="0.2">
      <c r="E70" s="610">
        <f ca="1">IF($CD$12&lt;99999,INDEX($L$12:$L$36,MATCH($CD$12,$BZ$12:$BZ$36,0)),"")</f>
        <v>58</v>
      </c>
      <c r="F70" s="611">
        <f ca="1">IF($CD$12&lt;99999,VLOOKUP($CD$12,$BZ$12:$CC$36,2,0),"")</f>
        <v>0.71527777777777779</v>
      </c>
      <c r="G70" s="612">
        <f ca="1">IF($CD$12&lt;99999,VLOOKUP($CD$12,$BZ$12:$CC$36,3,0),"")</f>
        <v>2</v>
      </c>
      <c r="H70" s="613" t="str">
        <f ca="1">IF($CD$12&lt;99999,VLOOKUP($CD$12,$BZ$12:$CC$36,4,0),"")</f>
        <v>Knock Out Rangers</v>
      </c>
      <c r="J70" s="603">
        <f t="shared" ca="1" si="39"/>
        <v>0</v>
      </c>
      <c r="K70" s="603" t="str">
        <f ca="1">IF(J70=0,"",$C$69)</f>
        <v/>
      </c>
    </row>
    <row r="71" spans="2:11" ht="15.95" customHeight="1" x14ac:dyDescent="0.2">
      <c r="E71" s="610">
        <f ca="1">IF($CD$13&lt;99999,INDEX($L$12:$L$36,MATCH($CD$13,$BZ$12:$BZ$36,0)),"")</f>
        <v>70</v>
      </c>
      <c r="F71" s="614">
        <f ca="1">IF($CD$13&lt;99999,VLOOKUP($CD$13,$BZ$12:$CC$36,2,0),"")</f>
        <v>0.78819444444444442</v>
      </c>
      <c r="G71" s="615">
        <f ca="1">IF($CD$13&lt;99999,VLOOKUP($CD$13,$BZ$12:$CC$36,3,0),"")</f>
        <v>2</v>
      </c>
      <c r="H71" s="616" t="str">
        <f ca="1">IF($CD$13&lt;99999,VLOOKUP($CD$13,$BZ$12:$CC$36,4,0),"")</f>
        <v>Borussia Heine</v>
      </c>
      <c r="J71" s="603">
        <f t="shared" ca="1" si="39"/>
        <v>0</v>
      </c>
      <c r="K71" s="603" t="str">
        <f ca="1">IF(J71=0,"",$C$69)</f>
        <v/>
      </c>
    </row>
    <row r="72" spans="2:11" ht="15.95" customHeight="1" thickBot="1" x14ac:dyDescent="0.25">
      <c r="E72" s="617">
        <f ca="1">IF($CD$14&lt;99999,INDEX($L$12:$L$36,MATCH($CD$14,$BZ$12:$BZ$36,0)),"")</f>
        <v>74</v>
      </c>
      <c r="F72" s="618">
        <f ca="1">IF($CD$14&lt;99999,VLOOKUP($CD$14,$BZ$12:$CC$36,2,0),"")</f>
        <v>0.8125</v>
      </c>
      <c r="G72" s="619">
        <f ca="1">IF($CD$14&lt;99999,VLOOKUP($CD$14,$BZ$12:$CC$36,3,0),"")</f>
        <v>2</v>
      </c>
      <c r="H72" s="620" t="str">
        <f ca="1">IF($CD$14&lt;99999,VLOOKUP($CD$14,$BZ$12:$CC$36,4,0),"")</f>
        <v>Maibach 1822 eV</v>
      </c>
      <c r="J72" s="603">
        <f t="shared" ca="1" si="39"/>
        <v>0</v>
      </c>
      <c r="K72" s="603" t="str">
        <f ca="1">IF(J72=0,"",$C$69)</f>
        <v/>
      </c>
    </row>
    <row r="73" spans="2:11" ht="15.95" customHeight="1" thickBot="1" x14ac:dyDescent="0.25">
      <c r="J73" s="603">
        <f t="shared" ca="1" si="39"/>
        <v>0</v>
      </c>
    </row>
    <row r="74" spans="2:11" ht="15.95" customHeight="1" x14ac:dyDescent="0.2">
      <c r="B74" s="604" t="s">
        <v>217</v>
      </c>
      <c r="C74" s="605" t="str">
        <f>IF(Planning!$C$41="","",Planning!$C$41)</f>
        <v>AC Roma</v>
      </c>
      <c r="E74" s="606" t="str">
        <f>Language!$E$69</f>
        <v>Match No.</v>
      </c>
      <c r="F74" s="607" t="str">
        <f>Language!$E$39</f>
        <v>Start</v>
      </c>
      <c r="G74" s="608" t="str">
        <f>Language!$E$48</f>
        <v>Field</v>
      </c>
      <c r="H74" s="609" t="str">
        <f>Language!$E$46</f>
        <v>Match against</v>
      </c>
      <c r="J74" s="603">
        <f t="shared" ca="1" si="39"/>
        <v>0</v>
      </c>
    </row>
    <row r="75" spans="2:11" ht="15.95" customHeight="1" x14ac:dyDescent="0.2">
      <c r="E75" s="610">
        <f ca="1">IF($CI$12&lt;99999,INDEX($L$12:$L$36,MATCH($CI$12,$CE$12:$CE$36,0)),"")</f>
        <v>60</v>
      </c>
      <c r="F75" s="611">
        <f ca="1">IF($CI$12&lt;99999,VLOOKUP($CI$12,$CE$12:$CH$36,2,0),"")</f>
        <v>0.71527777777777779</v>
      </c>
      <c r="G75" s="612">
        <f ca="1">IF($CI$12&lt;99999,VLOOKUP($CI$12,$CE$12:$CH$36,3,0),"")</f>
        <v>4</v>
      </c>
      <c r="H75" s="613" t="str">
        <f ca="1">IF($CI$12&lt;99999,VLOOKUP($CI$12,$CE$12:$CH$36,4,0),"")</f>
        <v>FC Barcelona</v>
      </c>
      <c r="J75" s="603">
        <f t="shared" ca="1" si="39"/>
        <v>0</v>
      </c>
      <c r="K75" s="603" t="str">
        <f ca="1">IF(J75=0,"",$C$74)</f>
        <v/>
      </c>
    </row>
    <row r="76" spans="2:11" ht="15.95" customHeight="1" x14ac:dyDescent="0.2">
      <c r="E76" s="610">
        <f ca="1">IF($CI$13&lt;99999,INDEX($L$12:$L$36,MATCH($CI$13,$CE$12:$CE$36,0)),"")</f>
        <v>72</v>
      </c>
      <c r="F76" s="614">
        <f ca="1">IF($CI$13&lt;99999,VLOOKUP($CI$13,$CE$12:$CH$36,2,0),"")</f>
        <v>0.78819444444444442</v>
      </c>
      <c r="G76" s="615">
        <f ca="1">IF($CI$13&lt;99999,VLOOKUP($CI$13,$CE$12:$CH$36,3,0),"")</f>
        <v>4</v>
      </c>
      <c r="H76" s="616" t="str">
        <f ca="1">IF($CI$13&lt;99999,VLOOKUP($CI$13,$CE$12:$CH$36,4,0),"")</f>
        <v>Manchester City</v>
      </c>
      <c r="J76" s="603">
        <f t="shared" ca="1" si="39"/>
        <v>0</v>
      </c>
      <c r="K76" s="603" t="str">
        <f ca="1">IF(J76=0,"",$C$74)</f>
        <v/>
      </c>
    </row>
    <row r="77" spans="2:11" ht="15.95" customHeight="1" thickBot="1" x14ac:dyDescent="0.25">
      <c r="E77" s="617">
        <f ca="1">IF($CI$14&lt;99999,INDEX($L$12:$L$36,MATCH($CI$14,$CE$12:$CE$36,0)),"")</f>
        <v>76</v>
      </c>
      <c r="F77" s="618">
        <f ca="1">IF($CI$14&lt;99999,VLOOKUP($CI$14,$CE$12:$CH$36,2,0),"")</f>
        <v>0.8125</v>
      </c>
      <c r="G77" s="619">
        <f ca="1">IF($CI$14&lt;99999,VLOOKUP($CI$14,$CE$12:$CH$36,3,0),"")</f>
        <v>4</v>
      </c>
      <c r="H77" s="620" t="str">
        <f ca="1">IF($CI$14&lt;99999,VLOOKUP($CI$14,$CE$12:$CH$36,4,0),"")</f>
        <v>Eintracht Frankfurt</v>
      </c>
      <c r="J77" s="603">
        <f t="shared" ca="1" si="39"/>
        <v>0</v>
      </c>
      <c r="K77" s="603" t="str">
        <f ca="1">IF(J77=0,"",$C$74)</f>
        <v/>
      </c>
    </row>
    <row r="78" spans="2:11" ht="15.95" customHeight="1" thickBot="1" x14ac:dyDescent="0.25">
      <c r="J78" s="603">
        <f t="shared" ca="1" si="39"/>
        <v>0</v>
      </c>
    </row>
    <row r="79" spans="2:11" ht="15.95" customHeight="1" x14ac:dyDescent="0.2">
      <c r="B79" s="604" t="s">
        <v>334</v>
      </c>
      <c r="C79" s="605" t="str">
        <f>IF(Planning!$C$43="","",Planning!$C$43)</f>
        <v>VFL Ronsdorf</v>
      </c>
      <c r="E79" s="606" t="str">
        <f>Language!$E$69</f>
        <v>Match No.</v>
      </c>
      <c r="F79" s="607" t="str">
        <f>Language!$E$39</f>
        <v>Start</v>
      </c>
      <c r="G79" s="608" t="str">
        <f>Language!$E$48</f>
        <v>Field</v>
      </c>
      <c r="H79" s="609" t="str">
        <f>Language!$E$46</f>
        <v>Match against</v>
      </c>
      <c r="J79" s="603">
        <f t="shared" ca="1" si="39"/>
        <v>0</v>
      </c>
    </row>
    <row r="80" spans="2:11" ht="15.95" customHeight="1" x14ac:dyDescent="0.2">
      <c r="E80" s="610">
        <f ca="1">IF($CN$12&lt;99999,INDEX($L$12:$L$36,MATCH($CN$12,$CJ$12:$CJ$36,0)),"")</f>
        <v>61</v>
      </c>
      <c r="F80" s="611">
        <f ca="1">IF($CN$12&lt;99999,VLOOKUP($CN$12,$CJ$12:$CM$36,2,0),"")</f>
        <v>0.73958333333333337</v>
      </c>
      <c r="G80" s="612">
        <f ca="1">IF($CN$12&lt;99999,VLOOKUP($CN$12,$CJ$12:$CM$36,3,0),"")</f>
        <v>1</v>
      </c>
      <c r="H80" s="613" t="str">
        <f ca="1">IF($CN$12&lt;99999,VLOOKUP($CN$12,$CJ$12:$CM$36,4,0),"")</f>
        <v>1. FC Riedwald</v>
      </c>
      <c r="J80" s="603">
        <f t="shared" ref="J80:J92" ca="1" si="74">IF(AND(F80&lt;&gt;"",OR(F80=F79,F80=F81)),E80,0)</f>
        <v>0</v>
      </c>
      <c r="K80" s="603" t="str">
        <f ca="1">IF(J80=0,"",$C$79)</f>
        <v/>
      </c>
    </row>
    <row r="81" spans="2:11" ht="15.95" customHeight="1" x14ac:dyDescent="0.2">
      <c r="E81" s="610">
        <f ca="1">IF($CN$13&lt;99999,INDEX($L$12:$L$36,MATCH($CN$13,$CJ$12:$CJ$36,0)),"")</f>
        <v>69</v>
      </c>
      <c r="F81" s="614">
        <f ca="1">IF($CN$13&lt;99999,VLOOKUP($CN$13,$CJ$12:$CM$36,2,0),"")</f>
        <v>0.78819444444444442</v>
      </c>
      <c r="G81" s="615">
        <f ca="1">IF($CN$13&lt;99999,VLOOKUP($CN$13,$CJ$12:$CM$36,3,0),"")</f>
        <v>1</v>
      </c>
      <c r="H81" s="616" t="str">
        <f ca="1">IF($CN$13&lt;99999,VLOOKUP($CN$13,$CJ$12:$CM$36,4,0),"")</f>
        <v>SSV Wildbach</v>
      </c>
      <c r="J81" s="603">
        <f t="shared" ca="1" si="74"/>
        <v>0</v>
      </c>
      <c r="K81" s="603" t="str">
        <f ca="1">IF(J81=0,"",$C$79)</f>
        <v/>
      </c>
    </row>
    <row r="82" spans="2:11" ht="15.95" customHeight="1" thickBot="1" x14ac:dyDescent="0.25">
      <c r="E82" s="617">
        <f ca="1">IF($CN$14&lt;99999,INDEX($L$12:$L$36,MATCH($CN$14,$CJ$12:$CJ$36,0)),"")</f>
        <v>77</v>
      </c>
      <c r="F82" s="618">
        <f ca="1">IF($CN$14&lt;99999,VLOOKUP($CN$14,$CJ$12:$CM$36,2,0),"")</f>
        <v>0.83680555555555558</v>
      </c>
      <c r="G82" s="619">
        <f ca="1">IF($CN$14&lt;99999,VLOOKUP($CN$14,$CJ$12:$CM$36,3,0),"")</f>
        <v>1</v>
      </c>
      <c r="H82" s="620" t="str">
        <f ca="1">IF($CN$14&lt;99999,VLOOKUP($CN$14,$CJ$12:$CM$36,4,0),"")</f>
        <v>VFB Essenheim</v>
      </c>
      <c r="J82" s="603">
        <f t="shared" ca="1" si="74"/>
        <v>0</v>
      </c>
      <c r="K82" s="603" t="str">
        <f ca="1">IF(J82=0,"",$C$79)</f>
        <v/>
      </c>
    </row>
    <row r="83" spans="2:11" ht="15.95" customHeight="1" thickBot="1" x14ac:dyDescent="0.25">
      <c r="J83" s="603">
        <f t="shared" ca="1" si="74"/>
        <v>0</v>
      </c>
    </row>
    <row r="84" spans="2:11" ht="15.95" customHeight="1" x14ac:dyDescent="0.2">
      <c r="B84" s="604" t="s">
        <v>335</v>
      </c>
      <c r="C84" s="605" t="str">
        <f>IF(Planning!$C$45="","",Planning!$C$45)</f>
        <v>Borussia Heine</v>
      </c>
      <c r="E84" s="606" t="str">
        <f>Language!$E$69</f>
        <v>Match No.</v>
      </c>
      <c r="F84" s="607" t="str">
        <f>Language!$E$39</f>
        <v>Start</v>
      </c>
      <c r="G84" s="608" t="str">
        <f>Language!$E$48</f>
        <v>Field</v>
      </c>
      <c r="H84" s="609" t="str">
        <f>Language!$E$46</f>
        <v>Match against</v>
      </c>
      <c r="J84" s="603">
        <f t="shared" ca="1" si="74"/>
        <v>0</v>
      </c>
    </row>
    <row r="85" spans="2:11" ht="15.95" customHeight="1" x14ac:dyDescent="0.2">
      <c r="E85" s="610">
        <f ca="1">IF($CS$12&lt;99999,INDEX($L$12:$L$36,MATCH($CS$12,$CO$12:$CO$36,0)),"")</f>
        <v>62</v>
      </c>
      <c r="F85" s="611">
        <f ca="1">IF($CS$12&lt;99999,VLOOKUP($CS$12,$CO$12:$CR$36,2,0),"")</f>
        <v>0.73958333333333337</v>
      </c>
      <c r="G85" s="612">
        <f ca="1">IF($CS$12&lt;99999,VLOOKUP($CS$12,$CO$12:$CR$36,3,0),"")</f>
        <v>2</v>
      </c>
      <c r="H85" s="613" t="str">
        <f ca="1">IF($CS$12&lt;99999,VLOOKUP($CS$12,$CO$12:$CR$36,4,0),"")</f>
        <v>Maibach 1822 eV</v>
      </c>
      <c r="J85" s="603">
        <f t="shared" ca="1" si="74"/>
        <v>0</v>
      </c>
      <c r="K85" s="603" t="str">
        <f ca="1">IF(J85=0,"",$C$84)</f>
        <v/>
      </c>
    </row>
    <row r="86" spans="2:11" ht="15.95" customHeight="1" x14ac:dyDescent="0.2">
      <c r="E86" s="610">
        <f ca="1">IF($CS$13&lt;99999,INDEX($L$12:$L$36,MATCH($CS$13,$CO$12:$CO$36,0)),"")</f>
        <v>70</v>
      </c>
      <c r="F86" s="614">
        <f ca="1">IF($CS$13&lt;99999,VLOOKUP($CS$13,$CO$12:$CR$36,2,0),"")</f>
        <v>0.78819444444444442</v>
      </c>
      <c r="G86" s="615">
        <f ca="1">IF($CS$13&lt;99999,VLOOKUP($CS$13,$CO$12:$CR$36,3,0),"")</f>
        <v>2</v>
      </c>
      <c r="H86" s="616" t="str">
        <f ca="1">IF($CS$13&lt;99999,VLOOKUP($CS$13,$CO$12:$CR$36,4,0),"")</f>
        <v>FC Grönlingen</v>
      </c>
      <c r="J86" s="603">
        <f t="shared" ca="1" si="74"/>
        <v>0</v>
      </c>
      <c r="K86" s="603" t="str">
        <f ca="1">IF(J86=0,"",$C$84)</f>
        <v/>
      </c>
    </row>
    <row r="87" spans="2:11" ht="15.95" customHeight="1" thickBot="1" x14ac:dyDescent="0.25">
      <c r="E87" s="617">
        <f ca="1">IF($CS$14&lt;99999,INDEX($L$12:$L$36,MATCH($CS$14,$CO$12:$CO$36,0)),"")</f>
        <v>78</v>
      </c>
      <c r="F87" s="618">
        <f ca="1">IF($CS$14&lt;99999,VLOOKUP($CS$14,$CO$12:$CR$36,2,0),"")</f>
        <v>0.83680555555555558</v>
      </c>
      <c r="G87" s="619">
        <f ca="1">IF($CS$14&lt;99999,VLOOKUP($CS$14,$CO$12:$CR$36,3,0),"")</f>
        <v>2</v>
      </c>
      <c r="H87" s="620" t="str">
        <f ca="1">IF($CS$14&lt;99999,VLOOKUP($CS$14,$CO$12:$CR$36,4,0),"")</f>
        <v>Knock Out Rangers</v>
      </c>
      <c r="J87" s="603">
        <f t="shared" ca="1" si="74"/>
        <v>0</v>
      </c>
      <c r="K87" s="603" t="str">
        <f ca="1">IF(J87=0,"",$C$84)</f>
        <v/>
      </c>
    </row>
    <row r="88" spans="2:11" ht="15.95" customHeight="1" thickBot="1" x14ac:dyDescent="0.25">
      <c r="J88" s="603">
        <f t="shared" ca="1" si="74"/>
        <v>0</v>
      </c>
    </row>
    <row r="89" spans="2:11" ht="15.95" customHeight="1" x14ac:dyDescent="0.2">
      <c r="B89" s="604" t="s">
        <v>336</v>
      </c>
      <c r="C89" s="605" t="str">
        <f>IF(Planning!$C$47="","",Planning!$C$47)</f>
        <v/>
      </c>
      <c r="E89" s="606" t="str">
        <f>Language!$E$69</f>
        <v>Match No.</v>
      </c>
      <c r="F89" s="607" t="str">
        <f>Language!$E$39</f>
        <v>Start</v>
      </c>
      <c r="G89" s="608" t="str">
        <f>Language!$E$48</f>
        <v>Field</v>
      </c>
      <c r="H89" s="609" t="str">
        <f>Language!$E$46</f>
        <v>Match against</v>
      </c>
      <c r="J89" s="603">
        <f t="shared" si="74"/>
        <v>0</v>
      </c>
    </row>
    <row r="90" spans="2:11" ht="15.95" customHeight="1" x14ac:dyDescent="0.2">
      <c r="E90" s="610" t="str">
        <f>IF($CX$12&lt;99999,INDEX($L$12:$L$36,MATCH($CX$12,$CT$12:$CT$36,0)),"")</f>
        <v/>
      </c>
      <c r="F90" s="611" t="str">
        <f>IF($CX$12&lt;99999,VLOOKUP($CX$12,$CT$12:$CW$36,2,0),"")</f>
        <v/>
      </c>
      <c r="G90" s="612" t="str">
        <f>IF($CX$12&lt;99999,VLOOKUP($CX$12,$CT$12:$CW$36,3,0),"")</f>
        <v/>
      </c>
      <c r="H90" s="613" t="str">
        <f>IF($CX$12&lt;99999,VLOOKUP($CX$12,$CT$12:$CW$36,4,0),"")</f>
        <v/>
      </c>
      <c r="J90" s="603">
        <f t="shared" si="74"/>
        <v>0</v>
      </c>
      <c r="K90" s="603" t="str">
        <f>IF(J90=0,"",$C$89)</f>
        <v/>
      </c>
    </row>
    <row r="91" spans="2:11" ht="15.95" customHeight="1" x14ac:dyDescent="0.2">
      <c r="E91" s="610" t="str">
        <f>IF($CX$13&lt;99999,INDEX($L$12:$L$36,MATCH($CX$13,$CT$12:$CT$36,0)),"")</f>
        <v/>
      </c>
      <c r="F91" s="614" t="str">
        <f>IF($CX$13&lt;99999,VLOOKUP($CX$13,$CT$12:$CW$36,2,0),"")</f>
        <v/>
      </c>
      <c r="G91" s="615" t="str">
        <f>IF($CX$13&lt;99999,VLOOKUP($CX$13,$CT$12:$CW$36,3,0),"")</f>
        <v/>
      </c>
      <c r="H91" s="616" t="str">
        <f>IF($CX$13&lt;99999,VLOOKUP($CX$13,$CT$12:$CW$36,4,0),"")</f>
        <v/>
      </c>
      <c r="J91" s="603">
        <f t="shared" si="74"/>
        <v>0</v>
      </c>
      <c r="K91" s="603" t="str">
        <f>IF(J91=0,"",$C$89)</f>
        <v/>
      </c>
    </row>
    <row r="92" spans="2:11" ht="15.95" customHeight="1" thickBot="1" x14ac:dyDescent="0.25">
      <c r="E92" s="617" t="str">
        <f>IF($CX$14&lt;99999,INDEX($L$12:$L$36,MATCH($CX$14,$CT$12:$CT$36,0)),"")</f>
        <v/>
      </c>
      <c r="F92" s="618" t="str">
        <f>IF($CX$14&lt;99999,VLOOKUP($CX$14,$CT$12:$CW$36,2,0),"")</f>
        <v/>
      </c>
      <c r="G92" s="619" t="str">
        <f>IF($CX$14&lt;99999,VLOOKUP($CX$14,$CT$12:$CW$36,3,0),"")</f>
        <v/>
      </c>
      <c r="H92" s="620" t="str">
        <f>IF($CX$14&lt;99999,VLOOKUP($CX$14,$CT$12:$CW$36,4,0),"")</f>
        <v/>
      </c>
      <c r="J92" s="603">
        <f t="shared" si="74"/>
        <v>0</v>
      </c>
      <c r="K92" s="603" t="str">
        <f>IF(J92=0,"",$C$89)</f>
        <v/>
      </c>
    </row>
    <row r="93" spans="2:11" ht="15.95" customHeight="1" x14ac:dyDescent="0.2"/>
    <row r="94" spans="2:11" x14ac:dyDescent="0.2"/>
    <row r="95" spans="2:11" x14ac:dyDescent="0.2"/>
  </sheetData>
  <sheetProtection sheet="1" selectLockedCells="1"/>
  <mergeCells count="1">
    <mergeCell ref="B1:H1"/>
  </mergeCells>
  <conditionalFormatting sqref="E5:F92">
    <cfRule type="expression" dxfId="4" priority="1">
      <formula>AND($F5&lt;&gt;"",OR($F5=$F4,$F5=$F6))</formula>
    </cfRule>
  </conditionalFormatting>
  <pageMargins left="0.70866141732283472" right="0.31496062992125984" top="0.39370078740157483" bottom="0.19685039370078741" header="0.31496062992125984" footer="0.31496062992125984"/>
  <pageSetup paperSize="9" fitToHeight="2"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0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657" t="str">
        <f>$E$35</f>
        <v>Choose language</v>
      </c>
      <c r="G1" s="657"/>
      <c r="H1" s="657"/>
      <c r="I1" s="107"/>
      <c r="J1" s="109" t="s">
        <v>116</v>
      </c>
      <c r="K1" s="171" t="str">
        <f>_xlfn.UNICHAR(8592)</f>
        <v>←</v>
      </c>
      <c r="L1" s="170" t="str">
        <f>$E$76</f>
        <v>Click here and choose language</v>
      </c>
    </row>
    <row r="2" spans="2:12" ht="11.25" customHeight="1" thickBot="1" x14ac:dyDescent="0.25">
      <c r="F2" s="774"/>
      <c r="G2" s="774"/>
      <c r="I2" s="72"/>
      <c r="J2" s="73"/>
    </row>
    <row r="3" spans="2:12" ht="13.5" thickTop="1" x14ac:dyDescent="0.2">
      <c r="B3" s="74" t="s">
        <v>116</v>
      </c>
      <c r="C3" s="75">
        <f>IF(AND($J$1&lt;&gt;B4,$J$1&lt;&gt;B5),1,0)</f>
        <v>1</v>
      </c>
      <c r="D3" s="775"/>
      <c r="E3" s="777"/>
      <c r="F3" s="778" t="s">
        <v>116</v>
      </c>
      <c r="G3" s="780" t="s">
        <v>152</v>
      </c>
      <c r="H3" s="772" t="s">
        <v>115</v>
      </c>
      <c r="I3" s="76"/>
    </row>
    <row r="4" spans="2:12" ht="13.5" thickBot="1" x14ac:dyDescent="0.25">
      <c r="B4" s="74" t="s">
        <v>152</v>
      </c>
      <c r="C4" s="75">
        <f>IF($J$1=B4,1,0)</f>
        <v>0</v>
      </c>
      <c r="D4" s="776"/>
      <c r="E4" s="777"/>
      <c r="F4" s="779"/>
      <c r="G4" s="781"/>
      <c r="H4" s="773"/>
      <c r="I4" s="77"/>
      <c r="J4" s="78"/>
    </row>
    <row r="5" spans="2:12" ht="29.25" thickTop="1" x14ac:dyDescent="0.45">
      <c r="B5" s="74" t="s">
        <v>115</v>
      </c>
      <c r="C5" s="75">
        <f>IF($J$1=B5,1,0)</f>
        <v>0</v>
      </c>
      <c r="E5" s="74"/>
      <c r="F5" s="82" t="str">
        <f>$E$36</f>
        <v>Captions</v>
      </c>
      <c r="G5" s="83"/>
      <c r="H5" s="84"/>
      <c r="I5" s="77"/>
      <c r="J5" s="78"/>
    </row>
    <row r="6" spans="2:12" x14ac:dyDescent="0.2">
      <c r="E6" s="74" t="str">
        <f>IF($C$3,F6,IF($C$4,G6,IF($H6&lt;&gt;"",$H6,$F6)))</f>
        <v>Tie break preliminary round</v>
      </c>
      <c r="F6" s="81" t="s">
        <v>226</v>
      </c>
      <c r="G6" s="79" t="s">
        <v>225</v>
      </c>
      <c r="H6" s="102"/>
    </row>
    <row r="7" spans="2:12" x14ac:dyDescent="0.2">
      <c r="E7" s="74" t="str">
        <f t="shared" ref="E7:E103" si="0">IF($C$3,F7,IF($C$4,G7,IF($H7&lt;&gt;"",$H7,$F7)))</f>
        <v>Direct comparisons</v>
      </c>
      <c r="F7" s="81" t="s">
        <v>117</v>
      </c>
      <c r="G7" s="79" t="s">
        <v>13</v>
      </c>
      <c r="H7" s="80"/>
    </row>
    <row r="8" spans="2:12" x14ac:dyDescent="0.2">
      <c r="E8" s="74" t="str">
        <f t="shared" si="0"/>
        <v>Your date</v>
      </c>
      <c r="F8" s="100" t="s">
        <v>147</v>
      </c>
      <c r="G8" s="99" t="s">
        <v>146</v>
      </c>
      <c r="H8" s="80"/>
    </row>
    <row r="9" spans="2:12" ht="15" customHeight="1" x14ac:dyDescent="0.45">
      <c r="E9" s="74" t="str">
        <f t="shared" si="0"/>
        <v>No.</v>
      </c>
      <c r="F9" s="97" t="s">
        <v>120</v>
      </c>
      <c r="G9" s="96" t="s">
        <v>0</v>
      </c>
      <c r="H9" s="80"/>
      <c r="I9" s="88"/>
    </row>
    <row r="10" spans="2:12" ht="15" customHeight="1" x14ac:dyDescent="0.45">
      <c r="E10" s="74" t="str">
        <f t="shared" si="0"/>
        <v>Participant or team</v>
      </c>
      <c r="F10" s="97" t="s">
        <v>121</v>
      </c>
      <c r="G10" s="96" t="s">
        <v>22</v>
      </c>
      <c r="H10" s="80"/>
      <c r="I10" s="88"/>
    </row>
    <row r="11" spans="2:12" ht="15" customHeight="1" x14ac:dyDescent="0.45">
      <c r="E11" s="74" t="str">
        <f t="shared" si="0"/>
        <v>Results</v>
      </c>
      <c r="F11" s="97" t="s">
        <v>122</v>
      </c>
      <c r="G11" s="96" t="s">
        <v>23</v>
      </c>
      <c r="H11" s="80"/>
      <c r="I11" s="88"/>
    </row>
    <row r="12" spans="2:12" ht="15" customHeight="1" x14ac:dyDescent="0.45">
      <c r="E12" s="74" t="str">
        <f t="shared" si="0"/>
        <v>Total table</v>
      </c>
      <c r="F12" s="97" t="s">
        <v>123</v>
      </c>
      <c r="G12" s="96" t="s">
        <v>14</v>
      </c>
      <c r="H12" s="80"/>
      <c r="I12" s="88"/>
    </row>
    <row r="13" spans="2:12" ht="15" customHeight="1" x14ac:dyDescent="0.45">
      <c r="E13" s="74" t="str">
        <f t="shared" si="0"/>
        <v>Total table (copy)</v>
      </c>
      <c r="F13" s="97" t="s">
        <v>124</v>
      </c>
      <c r="G13" s="96" t="s">
        <v>53</v>
      </c>
      <c r="H13" s="80"/>
      <c r="I13" s="88"/>
    </row>
    <row r="14" spans="2:12" ht="15" customHeight="1" x14ac:dyDescent="0.45">
      <c r="E14" s="74" t="str">
        <f t="shared" si="0"/>
        <v>Match pairing</v>
      </c>
      <c r="F14" s="97" t="s">
        <v>127</v>
      </c>
      <c r="G14" s="96" t="s">
        <v>1</v>
      </c>
      <c r="H14" s="80"/>
      <c r="I14" s="88"/>
    </row>
    <row r="15" spans="2:12" ht="15" customHeight="1" x14ac:dyDescent="0.45">
      <c r="E15" s="74" t="str">
        <f t="shared" si="0"/>
        <v>Result</v>
      </c>
      <c r="F15" s="97" t="s">
        <v>128</v>
      </c>
      <c r="G15" s="96" t="s">
        <v>2</v>
      </c>
      <c r="H15" s="80"/>
      <c r="I15" s="88"/>
    </row>
    <row r="16" spans="2:12" ht="15" customHeight="1" x14ac:dyDescent="0.45">
      <c r="E16" s="74" t="str">
        <f t="shared" si="0"/>
        <v>Group</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Preliminary round</v>
      </c>
      <c r="F18" s="97" t="s">
        <v>220</v>
      </c>
      <c r="G18" s="96" t="s">
        <v>218</v>
      </c>
      <c r="H18" s="80"/>
      <c r="I18" s="88"/>
    </row>
    <row r="19" spans="5:13" ht="15" customHeight="1" x14ac:dyDescent="0.45">
      <c r="E19" s="74" t="str">
        <f t="shared" si="0"/>
        <v>Final round</v>
      </c>
      <c r="F19" s="97" t="s">
        <v>221</v>
      </c>
      <c r="G19" s="96" t="s">
        <v>219</v>
      </c>
      <c r="H19" s="80"/>
      <c r="I19" s="88"/>
    </row>
    <row r="20" spans="5:13" ht="15" x14ac:dyDescent="0.25">
      <c r="E20" s="74" t="str">
        <f t="shared" si="0"/>
        <v>Addit. Pause (min)</v>
      </c>
      <c r="F20" s="100" t="s">
        <v>235</v>
      </c>
      <c r="G20" s="99" t="s">
        <v>234</v>
      </c>
      <c r="H20" s="80"/>
      <c r="I20" s="89"/>
      <c r="J20" s="89"/>
      <c r="K20" s="89"/>
      <c r="L20" s="89"/>
      <c r="M20" s="89"/>
    </row>
    <row r="21" spans="5:13" ht="15" x14ac:dyDescent="0.25">
      <c r="E21" s="74" t="str">
        <f t="shared" si="0"/>
        <v>Pld</v>
      </c>
      <c r="F21" s="100" t="s">
        <v>105</v>
      </c>
      <c r="G21" s="99" t="s">
        <v>129</v>
      </c>
      <c r="H21" s="80"/>
      <c r="I21" s="89"/>
      <c r="J21" s="89"/>
      <c r="K21" s="89"/>
      <c r="L21" s="89"/>
      <c r="M21" s="89"/>
    </row>
    <row r="22" spans="5:13" ht="15" x14ac:dyDescent="0.25">
      <c r="E22" s="74" t="str">
        <f t="shared" si="0"/>
        <v>W</v>
      </c>
      <c r="F22" s="100" t="s">
        <v>106</v>
      </c>
      <c r="G22" s="99" t="s">
        <v>130</v>
      </c>
      <c r="H22" s="80"/>
      <c r="I22" s="89"/>
      <c r="J22" s="89"/>
      <c r="K22" s="89"/>
      <c r="L22" s="89"/>
      <c r="M22" s="89"/>
    </row>
    <row r="23" spans="5:13" ht="15" x14ac:dyDescent="0.25">
      <c r="E23" s="74" t="str">
        <f t="shared" si="0"/>
        <v>D</v>
      </c>
      <c r="F23" s="100" t="s">
        <v>107</v>
      </c>
      <c r="G23" s="99" t="s">
        <v>131</v>
      </c>
      <c r="H23" s="80"/>
      <c r="I23" s="89"/>
      <c r="J23" s="89"/>
      <c r="K23" s="89"/>
      <c r="L23" s="89"/>
      <c r="M23" s="89"/>
    </row>
    <row r="24" spans="5:13" ht="15" x14ac:dyDescent="0.25">
      <c r="E24" s="74" t="str">
        <f t="shared" si="0"/>
        <v>L</v>
      </c>
      <c r="F24" s="100" t="s">
        <v>108</v>
      </c>
      <c r="G24" s="99" t="s">
        <v>132</v>
      </c>
      <c r="H24" s="80"/>
      <c r="I24" s="89"/>
      <c r="J24" s="89"/>
      <c r="K24" s="89"/>
      <c r="L24" s="89"/>
      <c r="M24" s="89"/>
    </row>
    <row r="25" spans="5:13" ht="15" x14ac:dyDescent="0.25">
      <c r="E25" s="74" t="str">
        <f t="shared" si="0"/>
        <v>Goals</v>
      </c>
      <c r="F25" s="100" t="s">
        <v>96</v>
      </c>
      <c r="G25" s="99" t="s">
        <v>3</v>
      </c>
      <c r="H25" s="80"/>
      <c r="I25" s="89"/>
      <c r="J25" s="89"/>
      <c r="K25" s="89"/>
      <c r="L25" s="89"/>
      <c r="M25" s="89"/>
    </row>
    <row r="26" spans="5:13" ht="15" x14ac:dyDescent="0.25">
      <c r="E26" s="74" t="str">
        <f t="shared" si="0"/>
        <v>GD</v>
      </c>
      <c r="F26" s="100" t="s">
        <v>111</v>
      </c>
      <c r="G26" s="99" t="s">
        <v>4</v>
      </c>
      <c r="H26" s="80"/>
      <c r="I26" s="89"/>
      <c r="J26" s="89"/>
      <c r="K26" s="89"/>
      <c r="L26" s="89"/>
      <c r="M26" s="89"/>
    </row>
    <row r="27" spans="5:13" ht="15" x14ac:dyDescent="0.25">
      <c r="E27" s="74" t="str">
        <f t="shared" si="0"/>
        <v>Pts</v>
      </c>
      <c r="F27" s="100" t="s">
        <v>112</v>
      </c>
      <c r="G27" s="99" t="s">
        <v>133</v>
      </c>
      <c r="H27" s="80"/>
      <c r="I27" s="89"/>
      <c r="J27" s="89"/>
      <c r="K27" s="89"/>
      <c r="L27" s="89"/>
      <c r="M27" s="89"/>
    </row>
    <row r="28" spans="5:13" ht="15" x14ac:dyDescent="0.25">
      <c r="E28" s="74" t="str">
        <f t="shared" si="0"/>
        <v>GF</v>
      </c>
      <c r="F28" s="100" t="s">
        <v>109</v>
      </c>
      <c r="G28" s="99" t="s">
        <v>156</v>
      </c>
      <c r="H28" s="80"/>
      <c r="I28" s="89"/>
      <c r="J28" s="89"/>
      <c r="K28" s="89"/>
      <c r="L28" s="89"/>
      <c r="M28" s="89"/>
    </row>
    <row r="29" spans="5:13" x14ac:dyDescent="0.2">
      <c r="E29" s="74" t="str">
        <f t="shared" si="0"/>
        <v>Tournament end:</v>
      </c>
      <c r="F29" s="100" t="s">
        <v>237</v>
      </c>
      <c r="G29" s="99" t="s">
        <v>236</v>
      </c>
      <c r="H29" s="80"/>
    </row>
    <row r="30" spans="5:13" x14ac:dyDescent="0.2">
      <c r="E30" s="74" t="str">
        <f t="shared" si="0"/>
        <v>Participants and schedule</v>
      </c>
      <c r="F30" s="100" t="s">
        <v>134</v>
      </c>
      <c r="G30" s="99" t="s">
        <v>20</v>
      </c>
      <c r="H30" s="80"/>
    </row>
    <row r="31" spans="5:13" x14ac:dyDescent="0.2">
      <c r="E31" s="74" t="str">
        <f t="shared" si="0"/>
        <v>Participants</v>
      </c>
      <c r="F31" s="101" t="s">
        <v>135</v>
      </c>
      <c r="G31" s="99" t="s">
        <v>21</v>
      </c>
      <c r="H31" s="80"/>
    </row>
    <row r="32" spans="5:13" x14ac:dyDescent="0.2">
      <c r="E32" s="74" t="str">
        <f t="shared" si="0"/>
        <v>Schedule</v>
      </c>
      <c r="F32" s="101" t="s">
        <v>136</v>
      </c>
      <c r="G32" s="99" t="s">
        <v>24</v>
      </c>
      <c r="H32" s="80"/>
    </row>
    <row r="33" spans="5:8" x14ac:dyDescent="0.2">
      <c r="E33" s="74" t="str">
        <f t="shared" si="0"/>
        <v>Game no.</v>
      </c>
      <c r="F33" s="101" t="s">
        <v>137</v>
      </c>
      <c r="G33" s="99" t="s">
        <v>52</v>
      </c>
      <c r="H33" s="80"/>
    </row>
    <row r="34" spans="5:8" x14ac:dyDescent="0.2">
      <c r="E34" s="74" t="str">
        <f t="shared" si="0"/>
        <v>Pairings</v>
      </c>
      <c r="F34" s="101" t="s">
        <v>140</v>
      </c>
      <c r="G34" s="99" t="s">
        <v>54</v>
      </c>
      <c r="H34" s="80"/>
    </row>
    <row r="35" spans="5:8" x14ac:dyDescent="0.2">
      <c r="E35" s="74" t="str">
        <f t="shared" si="0"/>
        <v>Choose language</v>
      </c>
      <c r="F35" s="100" t="s">
        <v>114</v>
      </c>
      <c r="G35" s="99" t="s">
        <v>145</v>
      </c>
      <c r="H35" s="80"/>
    </row>
    <row r="36" spans="5:8" x14ac:dyDescent="0.2">
      <c r="E36" s="74" t="str">
        <f t="shared" si="0"/>
        <v>Captions</v>
      </c>
      <c r="F36" s="100" t="s">
        <v>118</v>
      </c>
      <c r="G36" s="99" t="s">
        <v>142</v>
      </c>
      <c r="H36" s="80"/>
    </row>
    <row r="37" spans="5:8" x14ac:dyDescent="0.2">
      <c r="E37" s="74" t="str">
        <f t="shared" si="0"/>
        <v>Messages</v>
      </c>
      <c r="F37" s="100" t="s">
        <v>143</v>
      </c>
      <c r="G37" s="99" t="s">
        <v>144</v>
      </c>
      <c r="H37" s="80"/>
    </row>
    <row r="38" spans="5:8" x14ac:dyDescent="0.2">
      <c r="E38" s="74" t="str">
        <f t="shared" si="0"/>
        <v>Your captions</v>
      </c>
      <c r="F38" s="100" t="s">
        <v>150</v>
      </c>
      <c r="G38" s="99" t="s">
        <v>149</v>
      </c>
      <c r="H38" s="80"/>
    </row>
    <row r="39" spans="5:8" x14ac:dyDescent="0.2">
      <c r="E39" s="74" t="str">
        <f t="shared" si="0"/>
        <v>Start</v>
      </c>
      <c r="F39" s="100" t="s">
        <v>308</v>
      </c>
      <c r="G39" s="99" t="s">
        <v>309</v>
      </c>
      <c r="H39" s="80"/>
    </row>
    <row r="40" spans="5:8" x14ac:dyDescent="0.2">
      <c r="E40" s="74" t="str">
        <f t="shared" si="0"/>
        <v>End of preliminary round:</v>
      </c>
      <c r="F40" s="100" t="s">
        <v>240</v>
      </c>
      <c r="G40" s="99" t="s">
        <v>241</v>
      </c>
      <c r="H40" s="80"/>
    </row>
    <row r="41" spans="5:8" x14ac:dyDescent="0.2">
      <c r="E41" s="74" t="str">
        <f t="shared" si="0"/>
        <v>Playing times</v>
      </c>
      <c r="F41" s="100" t="s">
        <v>175</v>
      </c>
      <c r="G41" s="99" t="s">
        <v>174</v>
      </c>
      <c r="H41" s="80"/>
    </row>
    <row r="42" spans="5:8" x14ac:dyDescent="0.2">
      <c r="E42" s="74" t="str">
        <f t="shared" si="0"/>
        <v>Playing time per match:</v>
      </c>
      <c r="F42" s="100" t="s">
        <v>242</v>
      </c>
      <c r="G42" s="99" t="s">
        <v>243</v>
      </c>
      <c r="H42" s="80"/>
    </row>
    <row r="43" spans="5:8" x14ac:dyDescent="0.2">
      <c r="E43" s="74" t="str">
        <f t="shared" si="0"/>
        <v>Change time:</v>
      </c>
      <c r="F43" s="100" t="s">
        <v>244</v>
      </c>
      <c r="G43" s="99" t="s">
        <v>245</v>
      </c>
      <c r="H43" s="80"/>
    </row>
    <row r="44" spans="5:8" x14ac:dyDescent="0.2">
      <c r="E44" s="74" t="str">
        <f t="shared" si="0"/>
        <v>Number of fields:</v>
      </c>
      <c r="F44" s="100" t="s">
        <v>306</v>
      </c>
      <c r="G44" s="99" t="s">
        <v>305</v>
      </c>
      <c r="H44" s="80"/>
    </row>
    <row r="45" spans="5:8" x14ac:dyDescent="0.2">
      <c r="E45" s="74" t="str">
        <f t="shared" si="0"/>
        <v xml:space="preserve"> </v>
      </c>
      <c r="F45" s="100" t="s">
        <v>167</v>
      </c>
      <c r="G45" s="99" t="s">
        <v>166</v>
      </c>
      <c r="H45" s="80"/>
    </row>
    <row r="46" spans="5:8" x14ac:dyDescent="0.2">
      <c r="E46" s="74" t="str">
        <f t="shared" si="0"/>
        <v>Match against</v>
      </c>
      <c r="F46" s="100" t="s">
        <v>171</v>
      </c>
      <c r="G46" s="99" t="s">
        <v>170</v>
      </c>
      <c r="H46" s="80"/>
    </row>
    <row r="47" spans="5:8" x14ac:dyDescent="0.2">
      <c r="E47" s="74" t="str">
        <f t="shared" si="0"/>
        <v>Note</v>
      </c>
      <c r="F47" s="100" t="s">
        <v>172</v>
      </c>
      <c r="G47" s="99" t="s">
        <v>173</v>
      </c>
      <c r="H47" s="80"/>
    </row>
    <row r="48" spans="5:8" x14ac:dyDescent="0.2">
      <c r="E48" s="74" t="str">
        <f t="shared" si="0"/>
        <v>Field</v>
      </c>
      <c r="F48" s="100" t="s">
        <v>246</v>
      </c>
      <c r="G48" s="99" t="s">
        <v>307</v>
      </c>
      <c r="H48" s="80"/>
    </row>
    <row r="49" spans="5:8" x14ac:dyDescent="0.2">
      <c r="E49" s="74" t="str">
        <f t="shared" si="0"/>
        <v>bonus</v>
      </c>
      <c r="F49" s="81" t="s">
        <v>119</v>
      </c>
      <c r="G49" s="79" t="s">
        <v>59</v>
      </c>
      <c r="H49" s="80"/>
    </row>
    <row r="50" spans="5:8" x14ac:dyDescent="0.2">
      <c r="E50" s="74" t="str">
        <f t="shared" si="0"/>
        <v>Matchups</v>
      </c>
      <c r="F50" s="97" t="s">
        <v>181</v>
      </c>
      <c r="G50" s="96" t="s">
        <v>182</v>
      </c>
      <c r="H50" s="236"/>
    </row>
    <row r="51" spans="5:8" x14ac:dyDescent="0.2">
      <c r="E51" s="74" t="str">
        <f t="shared" si="0"/>
        <v>Settings</v>
      </c>
      <c r="F51" s="97" t="s">
        <v>184</v>
      </c>
      <c r="G51" s="96" t="s">
        <v>183</v>
      </c>
      <c r="H51" s="236"/>
    </row>
    <row r="52" spans="5:8" x14ac:dyDescent="0.2">
      <c r="E52" s="74" t="str">
        <f t="shared" si="0"/>
        <v>Number of points for a win:</v>
      </c>
      <c r="F52" s="97" t="s">
        <v>186</v>
      </c>
      <c r="G52" s="96" t="s">
        <v>185</v>
      </c>
      <c r="H52" s="236"/>
    </row>
    <row r="53" spans="5:8" x14ac:dyDescent="0.2">
      <c r="E53" s="74" t="str">
        <f t="shared" si="0"/>
        <v>Semifinal places 1 - 4</v>
      </c>
      <c r="F53" s="97" t="s">
        <v>375</v>
      </c>
      <c r="G53" s="96" t="s">
        <v>376</v>
      </c>
      <c r="H53" s="236"/>
    </row>
    <row r="54" spans="5:8" x14ac:dyDescent="0.2">
      <c r="E54" s="74" t="str">
        <f t="shared" si="0"/>
        <v>Semifinal places 5 - 8</v>
      </c>
      <c r="F54" s="97" t="s">
        <v>377</v>
      </c>
      <c r="G54" s="96" t="s">
        <v>378</v>
      </c>
      <c r="H54" s="236"/>
    </row>
    <row r="55" spans="5:8" x14ac:dyDescent="0.2">
      <c r="E55" s="74" t="str">
        <f t="shared" si="0"/>
        <v>Finals places 1 - 4</v>
      </c>
      <c r="F55" s="97" t="s">
        <v>379</v>
      </c>
      <c r="G55" s="96" t="s">
        <v>380</v>
      </c>
      <c r="H55" s="236"/>
    </row>
    <row r="56" spans="5:8" x14ac:dyDescent="0.2">
      <c r="E56" s="74" t="str">
        <f t="shared" si="0"/>
        <v>Finals places 5 - 8</v>
      </c>
      <c r="F56" s="97" t="s">
        <v>381</v>
      </c>
      <c r="G56" s="96" t="s">
        <v>382</v>
      </c>
      <c r="H56" s="236"/>
    </row>
    <row r="57" spans="5:8" x14ac:dyDescent="0.2">
      <c r="E57" s="74" t="str">
        <f t="shared" si="0"/>
        <v>5th place</v>
      </c>
      <c r="F57" s="262" t="s">
        <v>387</v>
      </c>
      <c r="G57" s="263" t="s">
        <v>385</v>
      </c>
      <c r="H57" s="236"/>
    </row>
    <row r="58" spans="5:8" x14ac:dyDescent="0.2">
      <c r="E58" s="74" t="str">
        <f t="shared" si="0"/>
        <v>7th place</v>
      </c>
      <c r="F58" s="262" t="s">
        <v>388</v>
      </c>
      <c r="G58" s="263" t="s">
        <v>386</v>
      </c>
      <c r="H58" s="236"/>
    </row>
    <row r="59" spans="5:8" x14ac:dyDescent="0.2">
      <c r="E59" s="74">
        <f t="shared" si="0"/>
        <v>0</v>
      </c>
      <c r="F59" s="97"/>
      <c r="G59" s="96"/>
      <c r="H59" s="236"/>
    </row>
    <row r="60" spans="5:8" x14ac:dyDescent="0.2">
      <c r="E60" s="74" t="str">
        <f t="shared" si="0"/>
        <v>Semi-finals</v>
      </c>
      <c r="F60" s="97" t="s">
        <v>260</v>
      </c>
      <c r="G60" s="96" t="s">
        <v>257</v>
      </c>
      <c r="H60" s="236"/>
    </row>
    <row r="61" spans="5:8" x14ac:dyDescent="0.2">
      <c r="E61" s="74" t="str">
        <f t="shared" si="0"/>
        <v>Finals</v>
      </c>
      <c r="F61" s="97" t="s">
        <v>259</v>
      </c>
      <c r="G61" s="96" t="s">
        <v>258</v>
      </c>
      <c r="H61" s="236"/>
    </row>
    <row r="62" spans="5:8" x14ac:dyDescent="0.2">
      <c r="E62" s="74" t="str">
        <f t="shared" si="0"/>
        <v xml:space="preserve">Games for places </v>
      </c>
      <c r="F62" s="97" t="s">
        <v>262</v>
      </c>
      <c r="G62" s="96" t="s">
        <v>261</v>
      </c>
      <c r="H62" s="236"/>
    </row>
    <row r="63" spans="5:8" x14ac:dyDescent="0.2">
      <c r="E63" s="74" t="str">
        <f t="shared" si="0"/>
        <v>Preliminary round group</v>
      </c>
      <c r="F63" s="97" t="s">
        <v>264</v>
      </c>
      <c r="G63" s="96" t="s">
        <v>263</v>
      </c>
      <c r="H63" s="236"/>
    </row>
    <row r="64" spans="5:8" x14ac:dyDescent="0.2">
      <c r="E64" s="74" t="str">
        <f t="shared" si="0"/>
        <v>First and second placed</v>
      </c>
      <c r="F64" s="97" t="s">
        <v>351</v>
      </c>
      <c r="G64" s="96" t="s">
        <v>315</v>
      </c>
      <c r="H64" s="236"/>
    </row>
    <row r="65" spans="5:8" x14ac:dyDescent="0.2">
      <c r="E65" s="74" t="str">
        <f t="shared" si="0"/>
        <v>Third and fourth placed</v>
      </c>
      <c r="F65" s="97" t="s">
        <v>352</v>
      </c>
      <c r="G65" s="96" t="s">
        <v>316</v>
      </c>
      <c r="H65" s="236"/>
    </row>
    <row r="66" spans="5:8" x14ac:dyDescent="0.2">
      <c r="E66" s="74" t="str">
        <f t="shared" si="0"/>
        <v>Fifth and sixth placed</v>
      </c>
      <c r="F66" s="97" t="s">
        <v>350</v>
      </c>
      <c r="G66" s="96" t="s">
        <v>317</v>
      </c>
      <c r="H66" s="236"/>
    </row>
    <row r="67" spans="5:8" x14ac:dyDescent="0.2">
      <c r="E67" s="74" t="str">
        <f t="shared" si="0"/>
        <v>Seventh and eighth placed</v>
      </c>
      <c r="F67" s="97" t="s">
        <v>348</v>
      </c>
      <c r="G67" s="96" t="s">
        <v>346</v>
      </c>
      <c r="H67" s="236"/>
    </row>
    <row r="68" spans="5:8" x14ac:dyDescent="0.2">
      <c r="E68" s="74" t="str">
        <f t="shared" si="0"/>
        <v>Ninth placed</v>
      </c>
      <c r="F68" s="97" t="s">
        <v>349</v>
      </c>
      <c r="G68" s="96" t="s">
        <v>347</v>
      </c>
      <c r="H68" s="236"/>
    </row>
    <row r="69" spans="5:8" x14ac:dyDescent="0.2">
      <c r="E69" s="74" t="str">
        <f t="shared" si="0"/>
        <v>Match No.</v>
      </c>
      <c r="F69" s="97" t="s">
        <v>368</v>
      </c>
      <c r="G69" s="96" t="s">
        <v>369</v>
      </c>
      <c r="H69" s="236"/>
    </row>
    <row r="70" spans="5:8" x14ac:dyDescent="0.2">
      <c r="E70" s="74" t="str">
        <f t="shared" si="0"/>
        <v>Penalty</v>
      </c>
      <c r="F70" s="81" t="s">
        <v>239</v>
      </c>
      <c r="G70" s="79" t="s">
        <v>238</v>
      </c>
      <c r="H70" s="236"/>
    </row>
    <row r="71" spans="5:8" ht="28.5" x14ac:dyDescent="0.45">
      <c r="E71" s="74"/>
      <c r="F71" s="85" t="str">
        <f>$E$37</f>
        <v>Messages</v>
      </c>
      <c r="G71" s="86"/>
      <c r="H71" s="87"/>
    </row>
    <row r="72" spans="5:8" ht="79.5" customHeight="1" x14ac:dyDescent="0.2">
      <c r="E72" s="74" t="str">
        <f t="shared" si="0"/>
        <v>If two or more teams cannot be distinguished and a decision is made, for example, through a penalty shootout or drawing lots, it is sufficient to enter a bonus point for the preferred team.</v>
      </c>
      <c r="F72" s="91" t="s">
        <v>250</v>
      </c>
      <c r="G72" s="92" t="s">
        <v>249</v>
      </c>
      <c r="H72" s="93"/>
    </row>
    <row r="73" spans="5:8" ht="51.75" customHeight="1" x14ac:dyDescent="0.2">
      <c r="E73" s="74" t="str">
        <f t="shared" si="0"/>
        <v>Double match pairings and matches against oneself
lead to incorrect values in the overall table!</v>
      </c>
      <c r="F73" s="98" t="s">
        <v>159</v>
      </c>
      <c r="G73" s="141" t="s">
        <v>56</v>
      </c>
      <c r="H73" s="93"/>
    </row>
    <row r="74" spans="5:8" ht="51.75" customHeight="1" x14ac:dyDescent="0.2">
      <c r="E74" s="74" t="str">
        <f t="shared" si="0"/>
        <v>Change of the fixtures only on the sheet 'Planning'! Just enter the results here!</v>
      </c>
      <c r="F74" s="98" t="s">
        <v>126</v>
      </c>
      <c r="G74" s="92" t="s">
        <v>125</v>
      </c>
      <c r="H74" s="93"/>
    </row>
    <row r="75" spans="5:8" ht="16.5" customHeight="1" x14ac:dyDescent="0.2">
      <c r="E75" s="74" t="str">
        <f t="shared" si="0"/>
        <v>Hint may be deleted   →</v>
      </c>
      <c r="F75" s="104" t="s">
        <v>151</v>
      </c>
      <c r="G75" s="103" t="s">
        <v>148</v>
      </c>
      <c r="H75" s="94"/>
    </row>
    <row r="76" spans="5:8" ht="20.25" customHeight="1" x14ac:dyDescent="0.2">
      <c r="E76" s="74" t="str">
        <f t="shared" si="0"/>
        <v>Click here and choose language</v>
      </c>
      <c r="F76" s="110" t="s">
        <v>154</v>
      </c>
      <c r="G76" s="108" t="s">
        <v>153</v>
      </c>
      <c r="H76" s="95"/>
    </row>
    <row r="77" spans="5:8" ht="32.25" customHeight="1" x14ac:dyDescent="0.2">
      <c r="E77" s="74" t="str">
        <f t="shared" si="0"/>
        <v>Duplicate names lead to
incorrect table values</v>
      </c>
      <c r="F77" s="163" t="s">
        <v>164</v>
      </c>
      <c r="G77" s="162" t="s">
        <v>55</v>
      </c>
      <c r="H77" s="95"/>
    </row>
    <row r="78" spans="5:8" ht="51.75" customHeight="1" x14ac:dyDescent="0.2">
      <c r="E78" s="74" t="str">
        <f t="shared" si="0"/>
        <v>Red font means that the ranking is not clear even with the direct comparison. Fair play or lot has to decide here.</v>
      </c>
      <c r="F78" s="249" t="s">
        <v>158</v>
      </c>
      <c r="G78" s="250" t="s">
        <v>157</v>
      </c>
      <c r="H78" s="94"/>
    </row>
    <row r="79" spans="5:8" ht="17.25" customHeight="1" x14ac:dyDescent="0.2">
      <c r="E79" s="74" t="str">
        <f t="shared" si="0"/>
        <v>Time conflict</v>
      </c>
      <c r="F79" s="251" t="s">
        <v>169</v>
      </c>
      <c r="G79" s="252" t="s">
        <v>168</v>
      </c>
      <c r="H79" s="253"/>
    </row>
    <row r="80" spans="5:8" ht="16.5" customHeight="1" x14ac:dyDescent="0.2">
      <c r="E80" s="74" t="str">
        <f t="shared" si="0"/>
        <v>-</v>
      </c>
      <c r="F80" s="254" t="s">
        <v>5</v>
      </c>
      <c r="G80" s="271" t="s">
        <v>233</v>
      </c>
      <c r="H80" s="253"/>
    </row>
    <row r="81" spans="5:8" ht="33" customHeight="1" x14ac:dyDescent="0.2">
      <c r="E81" s="74" t="str">
        <f t="shared" si="0"/>
        <v>Direct comparisons in case of a tie in points, goal difference and goals scored (FIFA mode)</v>
      </c>
      <c r="F81" s="259" t="s">
        <v>194</v>
      </c>
      <c r="G81" s="260" t="s">
        <v>191</v>
      </c>
      <c r="H81" s="256"/>
    </row>
    <row r="82" spans="5:8" ht="32.25" customHeight="1" x14ac:dyDescent="0.2">
      <c r="E82" s="74" t="str">
        <f t="shared" si="0"/>
        <v>Direct comparisons in case of a tie in points (UEFA mode)</v>
      </c>
      <c r="F82" s="259" t="s">
        <v>192</v>
      </c>
      <c r="G82" s="260" t="s">
        <v>193</v>
      </c>
      <c r="H82" s="256"/>
    </row>
    <row r="83" spans="5:8" ht="18" customHeight="1" x14ac:dyDescent="0.2">
      <c r="E83" s="74" t="str">
        <f t="shared" si="0"/>
        <v>Direct comparison mode:</v>
      </c>
      <c r="F83" s="262" t="s">
        <v>196</v>
      </c>
      <c r="G83" s="263" t="s">
        <v>195</v>
      </c>
      <c r="H83" s="264"/>
    </row>
    <row r="84" spans="5:8" ht="18" customHeight="1" x14ac:dyDescent="0.2">
      <c r="E84" s="74" t="str">
        <f t="shared" si="0"/>
        <v>Mode 1</v>
      </c>
      <c r="F84" s="262" t="s">
        <v>199</v>
      </c>
      <c r="G84" s="263" t="s">
        <v>197</v>
      </c>
      <c r="H84" s="264"/>
    </row>
    <row r="85" spans="5:8" ht="20.25" customHeight="1" x14ac:dyDescent="0.2">
      <c r="E85" s="74" t="str">
        <f t="shared" si="0"/>
        <v>Mode 2</v>
      </c>
      <c r="F85" s="262" t="s">
        <v>200</v>
      </c>
      <c r="G85" s="263" t="s">
        <v>198</v>
      </c>
      <c r="H85" s="264"/>
    </row>
    <row r="86" spans="5:8" ht="18" customHeight="1" x14ac:dyDescent="0.2">
      <c r="E86" s="74" t="str">
        <f t="shared" si="0"/>
        <v>Abbreviations of the team names:</v>
      </c>
      <c r="F86" s="262" t="s">
        <v>278</v>
      </c>
      <c r="G86" s="263" t="s">
        <v>279</v>
      </c>
      <c r="H86" s="264"/>
    </row>
    <row r="87" spans="5:8" ht="17.25" customHeight="1" x14ac:dyDescent="0.2">
      <c r="E87" s="74" t="str">
        <f t="shared" si="0"/>
        <v>letters</v>
      </c>
      <c r="F87" s="262" t="s">
        <v>202</v>
      </c>
      <c r="G87" s="263" t="s">
        <v>201</v>
      </c>
      <c r="H87" s="264"/>
    </row>
    <row r="88" spans="5:8" ht="18" customHeight="1" x14ac:dyDescent="0.2">
      <c r="E88" s="74" t="str">
        <f t="shared" si="0"/>
        <v>Rank</v>
      </c>
      <c r="F88" s="262" t="s">
        <v>248</v>
      </c>
      <c r="G88" s="263" t="s">
        <v>247</v>
      </c>
      <c r="H88" s="264"/>
    </row>
    <row r="89" spans="5:8" ht="16.5" customHeight="1" x14ac:dyDescent="0.2">
      <c r="E89" s="74" t="str">
        <f t="shared" si="0"/>
        <v>3rd place</v>
      </c>
      <c r="F89" s="262" t="s">
        <v>256</v>
      </c>
      <c r="G89" s="263" t="s">
        <v>253</v>
      </c>
      <c r="H89" s="264"/>
    </row>
    <row r="90" spans="5:8" ht="17.25" customHeight="1" x14ac:dyDescent="0.2">
      <c r="E90" s="74" t="str">
        <f t="shared" si="0"/>
        <v>Final</v>
      </c>
      <c r="F90" s="262" t="s">
        <v>255</v>
      </c>
      <c r="G90" s="263" t="s">
        <v>254</v>
      </c>
      <c r="H90" s="264"/>
    </row>
    <row r="91" spans="5:8" ht="30.75" customHeight="1" x14ac:dyDescent="0.2">
      <c r="E91" s="74" t="str">
        <f t="shared" si="0"/>
        <v xml:space="preserve">Due to time conflicts, you can only play on a maximum of </v>
      </c>
      <c r="F91" s="259" t="s">
        <v>275</v>
      </c>
      <c r="G91" s="260" t="s">
        <v>276</v>
      </c>
      <c r="H91" s="264"/>
    </row>
    <row r="92" spans="5:8" ht="17.25" customHeight="1" x14ac:dyDescent="0.2">
      <c r="E92" s="74" t="str">
        <f t="shared" si="0"/>
        <v xml:space="preserve"> pitches at the same time.</v>
      </c>
      <c r="F92" s="259" t="s">
        <v>286</v>
      </c>
      <c r="G92" s="260" t="s">
        <v>277</v>
      </c>
      <c r="H92" s="264"/>
    </row>
    <row r="93" spans="5:8" ht="17.25" customHeight="1" x14ac:dyDescent="0.2">
      <c r="E93" s="74" t="str">
        <f t="shared" si="0"/>
        <v>End of tournament (final round 1):</v>
      </c>
      <c r="F93" s="262" t="s">
        <v>280</v>
      </c>
      <c r="G93" s="263" t="s">
        <v>281</v>
      </c>
      <c r="H93" s="264"/>
    </row>
    <row r="94" spans="5:8" ht="17.25" customHeight="1" x14ac:dyDescent="0.2">
      <c r="E94" s="74" t="str">
        <f t="shared" si="0"/>
        <v>End of tournament (final round 2):</v>
      </c>
      <c r="F94" s="262" t="s">
        <v>282</v>
      </c>
      <c r="G94" s="263" t="s">
        <v>283</v>
      </c>
      <c r="H94" s="264"/>
    </row>
    <row r="95" spans="5:8" ht="17.25" customHeight="1" x14ac:dyDescent="0.2">
      <c r="E95" s="74" t="str">
        <f t="shared" si="0"/>
        <v>End of tournament (final round 3):</v>
      </c>
      <c r="F95" s="262" t="s">
        <v>310</v>
      </c>
      <c r="G95" s="263" t="s">
        <v>311</v>
      </c>
      <c r="H95" s="264"/>
    </row>
    <row r="96" spans="5:8" ht="17.25" customHeight="1" x14ac:dyDescent="0.2">
      <c r="E96" s="74" t="str">
        <f t="shared" si="0"/>
        <v>End of tournament (final round 4):</v>
      </c>
      <c r="F96" s="262" t="s">
        <v>328</v>
      </c>
      <c r="G96" s="263" t="s">
        <v>329</v>
      </c>
      <c r="H96" s="264"/>
    </row>
    <row r="97" spans="5:9" ht="17.25" customHeight="1" x14ac:dyDescent="0.2">
      <c r="E97" s="74" t="str">
        <f t="shared" si="0"/>
        <v>End of tournament (final round 2a):</v>
      </c>
      <c r="F97" s="262" t="s">
        <v>384</v>
      </c>
      <c r="G97" s="263" t="s">
        <v>383</v>
      </c>
      <c r="H97" s="264"/>
    </row>
    <row r="98" spans="5:9" ht="17.25" customHeight="1" x14ac:dyDescent="0.2">
      <c r="E98" s="74" t="str">
        <f t="shared" si="0"/>
        <v xml:space="preserve">TIME CONFLICT for team </v>
      </c>
      <c r="F98" s="262" t="s">
        <v>290</v>
      </c>
      <c r="G98" s="263" t="s">
        <v>291</v>
      </c>
      <c r="H98" s="264"/>
    </row>
    <row r="99" spans="5:9" ht="17.25" customHeight="1" x14ac:dyDescent="0.2">
      <c r="E99" s="74" t="str">
        <f t="shared" si="0"/>
        <v xml:space="preserve">in matches </v>
      </c>
      <c r="F99" s="262" t="s">
        <v>292</v>
      </c>
      <c r="G99" s="263" t="s">
        <v>293</v>
      </c>
      <c r="H99" s="264"/>
    </row>
    <row r="100" spans="5:9" ht="17.25" customHeight="1" x14ac:dyDescent="0.2">
      <c r="E100" s="74" t="str">
        <f t="shared" si="0"/>
        <v xml:space="preserve"> and </v>
      </c>
      <c r="F100" s="262" t="s">
        <v>294</v>
      </c>
      <c r="G100" s="263" t="s">
        <v>295</v>
      </c>
      <c r="H100" s="264"/>
    </row>
    <row r="101" spans="5:9" ht="31.5" customHeight="1" x14ac:dyDescent="0.2">
      <c r="E101" s="74" t="str">
        <f t="shared" si="0"/>
        <v>TIME CONFLICT
Too many pitches!</v>
      </c>
      <c r="F101" s="262" t="s">
        <v>284</v>
      </c>
      <c r="G101" s="263" t="s">
        <v>285</v>
      </c>
      <c r="H101" s="264"/>
    </row>
    <row r="102" spans="5:9" ht="17.25" customHeight="1" x14ac:dyDescent="0.2">
      <c r="E102" s="74" t="str">
        <f t="shared" si="0"/>
        <v>Kick-off times finals 4</v>
      </c>
      <c r="F102" s="262" t="s">
        <v>370</v>
      </c>
      <c r="G102" s="263" t="s">
        <v>371</v>
      </c>
      <c r="H102" s="264"/>
    </row>
    <row r="103" spans="5:9" ht="18.75" customHeight="1" thickBot="1" x14ac:dyDescent="0.25">
      <c r="E103" s="74">
        <f t="shared" si="0"/>
        <v>0</v>
      </c>
      <c r="F103" s="257"/>
      <c r="G103" s="255"/>
      <c r="H103" s="258"/>
    </row>
    <row r="104" spans="5:9" ht="13.5" thickTop="1" x14ac:dyDescent="0.2"/>
    <row r="105" spans="5:9" x14ac:dyDescent="0.2"/>
    <row r="106" spans="5:9" x14ac:dyDescent="0.2"/>
    <row r="107" spans="5:9" hidden="1" x14ac:dyDescent="0.2"/>
    <row r="108" spans="5:9" hidden="1" x14ac:dyDescent="0.2">
      <c r="I108" s="105"/>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65" customWidth="1"/>
    <col min="2" max="2" width="37.140625" customWidth="1"/>
    <col min="3" max="3" width="7.28515625" customWidth="1"/>
    <col min="4" max="4" width="15" customWidth="1"/>
    <col min="5" max="5" width="11.42578125" customWidth="1"/>
    <col min="6" max="16384" width="11.42578125" hidden="1"/>
  </cols>
  <sheetData>
    <row r="1" spans="1:4" ht="26.25" x14ac:dyDescent="0.4">
      <c r="B1" s="238" t="str">
        <f>Language!$E$51</f>
        <v>Settings</v>
      </c>
    </row>
    <row r="2" spans="1:4" x14ac:dyDescent="0.2"/>
    <row r="3" spans="1:4" x14ac:dyDescent="0.2"/>
    <row r="4" spans="1:4" x14ac:dyDescent="0.2">
      <c r="A4" s="269" t="s">
        <v>7</v>
      </c>
      <c r="B4" s="267" t="str">
        <f>Language!$E$52</f>
        <v>Number of points for a win:</v>
      </c>
      <c r="C4" s="239">
        <v>3</v>
      </c>
    </row>
    <row r="5" spans="1:4" x14ac:dyDescent="0.2"/>
    <row r="6" spans="1:4" x14ac:dyDescent="0.2"/>
    <row r="7" spans="1:4" x14ac:dyDescent="0.2">
      <c r="A7" s="269" t="s">
        <v>8</v>
      </c>
      <c r="B7" s="268" t="str">
        <f>Language!E83</f>
        <v>Direct comparison mode:</v>
      </c>
      <c r="C7" s="261"/>
    </row>
    <row r="8" spans="1:4" x14ac:dyDescent="0.2">
      <c r="B8" s="261"/>
      <c r="C8" s="261"/>
    </row>
    <row r="9" spans="1:4" ht="21.75" customHeight="1" x14ac:dyDescent="0.2">
      <c r="B9" s="266" t="s">
        <v>197</v>
      </c>
      <c r="C9" s="261"/>
    </row>
    <row r="10" spans="1:4" x14ac:dyDescent="0.2"/>
    <row r="11" spans="1:4" x14ac:dyDescent="0.2">
      <c r="B11" s="270" t="str">
        <f>Language!E84</f>
        <v>Mode 1</v>
      </c>
    </row>
    <row r="12" spans="1:4" ht="27.75" customHeight="1" x14ac:dyDescent="0.2">
      <c r="B12" s="782" t="str">
        <f>Language!E81</f>
        <v>Direct comparisons in case of a tie in points, goal difference and goals scored (FIFA mode)</v>
      </c>
      <c r="C12" s="782"/>
      <c r="D12" s="782"/>
    </row>
    <row r="13" spans="1:4" x14ac:dyDescent="0.2"/>
    <row r="14" spans="1:4" x14ac:dyDescent="0.2">
      <c r="B14" s="270" t="str">
        <f>Language!E85</f>
        <v>Mode 2</v>
      </c>
    </row>
    <row r="15" spans="1:4" ht="28.5" customHeight="1" x14ac:dyDescent="0.2">
      <c r="B15" s="782" t="str">
        <f>Language!E82</f>
        <v>Direct comparisons in case of a tie in points (UEFA mode)</v>
      </c>
      <c r="C15" s="782"/>
      <c r="D15" s="782"/>
    </row>
    <row r="16" spans="1:4" x14ac:dyDescent="0.2"/>
    <row r="17" spans="1:4" x14ac:dyDescent="0.2">
      <c r="A17" s="269" t="s">
        <v>9</v>
      </c>
      <c r="B17" s="267" t="str">
        <f>Language!$E$86</f>
        <v>Abbreviations of the team names:</v>
      </c>
      <c r="C17" s="239">
        <v>7</v>
      </c>
      <c r="D17" t="str">
        <f>" "&amp;Language!$E$87</f>
        <v xml:space="preserve"> letters</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Language!$E$84:$E$85</xm:f>
          </x14:formula1>
          <xm:sqref>B9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10"/>
  <sheetViews>
    <sheetView showGridLines="0" showRowColHeaders="0"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3" x14ac:dyDescent="0.2"/>
    <row r="82" spans="2:3" x14ac:dyDescent="0.2"/>
    <row r="83" spans="2:3" x14ac:dyDescent="0.2"/>
    <row r="84" spans="2:3" x14ac:dyDescent="0.2"/>
    <row r="85" spans="2:3" x14ac:dyDescent="0.2"/>
    <row r="86" spans="2:3" x14ac:dyDescent="0.2"/>
    <row r="87" spans="2:3" x14ac:dyDescent="0.2"/>
    <row r="88" spans="2:3" x14ac:dyDescent="0.2">
      <c r="B88" s="392"/>
      <c r="C88" s="392"/>
    </row>
    <row r="89" spans="2:3" x14ac:dyDescent="0.2">
      <c r="B89" s="393"/>
      <c r="C89" s="395"/>
    </row>
    <row r="90" spans="2:3" x14ac:dyDescent="0.2">
      <c r="B90" s="393"/>
      <c r="C90" s="395"/>
    </row>
    <row r="91" spans="2:3" x14ac:dyDescent="0.2">
      <c r="B91" s="393"/>
      <c r="C91" s="395"/>
    </row>
    <row r="92" spans="2:3" x14ac:dyDescent="0.2">
      <c r="B92" s="393"/>
      <c r="C92" s="395"/>
    </row>
    <row r="93" spans="2:3" x14ac:dyDescent="0.2">
      <c r="B93" s="393"/>
      <c r="C93" s="395"/>
    </row>
    <row r="94" spans="2:3" x14ac:dyDescent="0.2">
      <c r="B94" s="393"/>
      <c r="C94" s="395"/>
    </row>
    <row r="95" spans="2:3" x14ac:dyDescent="0.2">
      <c r="B95" s="393"/>
      <c r="C95" s="395"/>
    </row>
    <row r="96" spans="2:3" x14ac:dyDescent="0.2">
      <c r="B96" s="393"/>
      <c r="C96" s="395"/>
    </row>
    <row r="97" spans="2:20" x14ac:dyDescent="0.2">
      <c r="B97" s="393"/>
      <c r="C97" s="395"/>
    </row>
    <row r="98" spans="2:20" x14ac:dyDescent="0.2">
      <c r="B98" s="394"/>
      <c r="C98" s="394"/>
    </row>
    <row r="99" spans="2:20" x14ac:dyDescent="0.2">
      <c r="B99" s="392"/>
      <c r="C99" s="392"/>
      <c r="D99" s="392"/>
      <c r="E99" s="392"/>
      <c r="F99" s="392"/>
      <c r="G99" s="392"/>
      <c r="H99" s="392"/>
    </row>
    <row r="100" spans="2:20" x14ac:dyDescent="0.2"/>
    <row r="101" spans="2:20" x14ac:dyDescent="0.2"/>
    <row r="102" spans="2:20" x14ac:dyDescent="0.2"/>
    <row r="103" spans="2:20" x14ac:dyDescent="0.2"/>
    <row r="104" spans="2:20" x14ac:dyDescent="0.2">
      <c r="D104" s="783"/>
      <c r="E104" s="784"/>
      <c r="F104" s="784"/>
      <c r="G104" s="784"/>
      <c r="H104" s="784"/>
      <c r="I104" s="785"/>
      <c r="O104" s="783"/>
      <c r="P104" s="784"/>
      <c r="Q104" s="784"/>
      <c r="R104" s="784"/>
      <c r="S104" s="784"/>
      <c r="T104" s="785"/>
    </row>
    <row r="105" spans="2:20" x14ac:dyDescent="0.2">
      <c r="D105" s="786" t="s">
        <v>141</v>
      </c>
      <c r="E105" s="787"/>
      <c r="F105" s="787"/>
      <c r="G105" s="787"/>
      <c r="H105" s="787"/>
      <c r="I105" s="788"/>
      <c r="O105" s="786" t="s">
        <v>58</v>
      </c>
      <c r="P105" s="787"/>
      <c r="Q105" s="787"/>
      <c r="R105" s="787"/>
      <c r="S105" s="787"/>
      <c r="T105" s="788"/>
    </row>
    <row r="106" spans="2:20" x14ac:dyDescent="0.2">
      <c r="D106" s="789" t="s">
        <v>57</v>
      </c>
      <c r="E106" s="790"/>
      <c r="F106" s="790"/>
      <c r="G106" s="790"/>
      <c r="H106" s="790"/>
      <c r="I106" s="791"/>
      <c r="O106" s="789" t="s">
        <v>57</v>
      </c>
      <c r="P106" s="790"/>
      <c r="Q106" s="790"/>
      <c r="R106" s="790"/>
      <c r="S106" s="790"/>
      <c r="T106" s="791"/>
    </row>
    <row r="107" spans="2:20" x14ac:dyDescent="0.2">
      <c r="D107" s="792"/>
      <c r="E107" s="793"/>
      <c r="F107" s="793"/>
      <c r="G107" s="793"/>
      <c r="H107" s="793"/>
      <c r="I107" s="794"/>
      <c r="O107" s="792"/>
      <c r="P107" s="793"/>
      <c r="Q107" s="793"/>
      <c r="R107" s="793"/>
      <c r="S107" s="793"/>
      <c r="T107" s="794"/>
    </row>
    <row r="108" spans="2:20" x14ac:dyDescent="0.2"/>
    <row r="109" spans="2:20" x14ac:dyDescent="0.2"/>
    <row r="110" spans="2:20" x14ac:dyDescent="0.2"/>
  </sheetData>
  <sheetProtection sheet="1" selectLockedCells="1"/>
  <mergeCells count="8">
    <mergeCell ref="D104:I104"/>
    <mergeCell ref="D105:I105"/>
    <mergeCell ref="D106:I106"/>
    <mergeCell ref="D107:I107"/>
    <mergeCell ref="O104:T104"/>
    <mergeCell ref="O105:T105"/>
    <mergeCell ref="O106:T106"/>
    <mergeCell ref="O107:T107"/>
  </mergeCells>
  <hyperlinks>
    <hyperlink ref="O106" r:id="rId1" xr:uid="{1894EF0F-8820-4282-9C88-BB1689CEEEE1}"/>
    <hyperlink ref="D106"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2.140625"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c r="Z1" s="1"/>
    </row>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796">
        <f ca="1">IF($O$4&lt;10,$O$4,0)</f>
        <v>0</v>
      </c>
      <c r="X3" s="797"/>
      <c r="Y3" s="797"/>
      <c r="Z3" s="797"/>
      <c r="AA3" s="797"/>
      <c r="AB3" s="796">
        <f ca="1">IF($P$4&lt;10,$P$4,0)</f>
        <v>0</v>
      </c>
      <c r="AC3" s="797"/>
      <c r="AD3" s="797"/>
      <c r="AE3" s="797"/>
      <c r="AF3" s="797"/>
      <c r="AG3" s="796">
        <f ca="1">IF($Q$4&lt;10,$Q$4,0)</f>
        <v>0</v>
      </c>
      <c r="AH3" s="797"/>
      <c r="AI3" s="797"/>
      <c r="AJ3" s="797"/>
      <c r="AK3" s="797"/>
      <c r="AL3" s="796">
        <f ca="1">IF($R$4&lt;10,$R$4,0)</f>
        <v>0</v>
      </c>
      <c r="AM3" s="797"/>
      <c r="AN3" s="797"/>
      <c r="AO3" s="797"/>
      <c r="AP3" s="797"/>
    </row>
    <row r="4" spans="1:42" s="2" customFormat="1" ht="12.75" thickTop="1" x14ac:dyDescent="0.2">
      <c r="A4" s="237"/>
      <c r="B4" s="1">
        <v>1</v>
      </c>
      <c r="C4" s="21">
        <f ca="1">RANK(D4,$D$4:$D$12,1)</f>
        <v>8</v>
      </c>
      <c r="D4" s="3">
        <f ca="1">E4+ROW()/1000+(F4="")*10</f>
        <v>8.0039999999999996</v>
      </c>
      <c r="E4" s="248">
        <f ca="1">IF($AI$15,RANK(AH17,AH$17:AH$25,1),RANK(X17,X$17:X$25,1))</f>
        <v>8</v>
      </c>
      <c r="F4" s="1" t="str">
        <f>$Q64</f>
        <v>1. FC Riedwald</v>
      </c>
      <c r="G4" s="1">
        <f t="shared" ref="G4:G12" ca="1" si="1">SUMIFS($X$64:$X$135,$V$64:$V$135,$F4)+SUMIFS($Y$64:$Y$135,$W$64:$W$135,$F4)</f>
        <v>4</v>
      </c>
      <c r="H4" s="1">
        <f t="shared" ref="H4:H12" ca="1" si="2">SUMIFS($Y$64:$Y$135,$V$64:$V$135,$F4)+SUMIFS($X$64:$X$135,$W$64:$W$135,$F4)</f>
        <v>12</v>
      </c>
      <c r="I4" s="3">
        <f t="shared" ref="I4:I12" ca="1" si="3">G4-H4</f>
        <v>-8</v>
      </c>
      <c r="J4" s="1">
        <f ca="1">SUMIF($V$64:$V$135,F4,$AE$64:$AE$135)+SUMIF($W$64:$W$135,F4,$AF$64:$AF$135)</f>
        <v>0</v>
      </c>
      <c r="K4" s="1">
        <f t="shared" ref="K4:K12" ca="1" si="4">SUMPRODUCT(($V$64:$V$135=F4)*($X$64:$X$135&lt;&gt;""))+SUMPRODUCT(($W$64:$W$135=F4)*($Y$64:$Y$135&lt;&gt;""))</f>
        <v>3</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3</v>
      </c>
      <c r="O4" s="120">
        <f ca="1">SMALL($O$3:$V$3,1)</f>
        <v>99999</v>
      </c>
      <c r="P4" s="120">
        <f ca="1">SMALL($O$3:$V$3,2)</f>
        <v>99999</v>
      </c>
      <c r="Q4" s="120">
        <f ca="1">SMALL($O$3:$V$3,3)</f>
        <v>99999</v>
      </c>
      <c r="R4" s="120">
        <f ca="1">SMALL($O$3:$V$3,4)</f>
        <v>99999</v>
      </c>
      <c r="V4" s="1"/>
      <c r="W4" s="519" t="str">
        <f ca="1">IFERROR(INDEX($O$17:$V$25,ROW(A1),$W$3),"")</f>
        <v/>
      </c>
      <c r="X4" s="520" t="str">
        <f ca="1">INDEX($W$4:$W$12,MATCH(ROW(A1),$AA$4:$AA$12,0))</f>
        <v/>
      </c>
      <c r="Y4" s="521">
        <f ca="1">IF($W4="",99999,VLOOKUP($W4,$C$17:$Z$25,24,0))</f>
        <v>99999</v>
      </c>
      <c r="Z4" s="521">
        <f ca="1">RANK(Y4,Y$4:Y$12,1)+IFERROR(INDEX($E$4:$E$12,MATCH(W4,$F$4:$F$12,0)),0)/100+ROW()/10000</f>
        <v>1.0904</v>
      </c>
      <c r="AA4" s="523">
        <f ca="1">RANK($Z4,$Z$4:$Z$12,1)</f>
        <v>1</v>
      </c>
      <c r="AB4" s="519" t="str">
        <f t="shared" ref="AB4:AB12" ca="1" si="8">IFERROR(INDEX($O$17:$V$25,ROW(A1),$AB$3),"")</f>
        <v/>
      </c>
      <c r="AC4" s="520" t="str">
        <f ca="1">INDEX($AB$4:$AB$12,MATCH(ROW(A1),$AF$4:$AF$12,0))</f>
        <v/>
      </c>
      <c r="AD4" s="544">
        <f ca="1">IF($AB4="",99999,VLOOKUP($AB4,$C$17:$Z$25,24,0))</f>
        <v>99999</v>
      </c>
      <c r="AE4" s="521">
        <f ca="1">RANK(AD4,AD$4:AD$12,1)+IFERROR(INDEX($E$4:$E$12,MATCH(AB4,$F$4:$F$12,0)),0)/100+ROW()/10000</f>
        <v>1.0904</v>
      </c>
      <c r="AF4" s="521">
        <f ca="1">RANK($AE4,$AE$4:$AE$12,1)</f>
        <v>1</v>
      </c>
      <c r="AG4" s="519" t="str">
        <f t="shared" ref="AG4:AG12" ca="1" si="9">IFERROR(INDEX($O$17:$V$25,ROW(C1),$AG$3),"")</f>
        <v/>
      </c>
      <c r="AH4" s="520" t="str">
        <f ca="1">INDEX($AG$4:$AG$12,MATCH(ROW(A1),$AK$4:$AK$12,0))</f>
        <v/>
      </c>
      <c r="AI4" s="544">
        <f ca="1">IF($AG4="",99999,VLOOKUP($AG4,$C$17:$Z$25,24,0))</f>
        <v>99999</v>
      </c>
      <c r="AJ4" s="521">
        <f ca="1">RANK(AI4,AI$4:AI$12,1)+IFERROR(INDEX($E$4:$E$12,MATCH(AG4,$F$4:$F$12,0)),0)/100+ROW()/10000</f>
        <v>1.0904</v>
      </c>
      <c r="AK4" s="523">
        <f ca="1">RANK($AJ4,$AJ$4:$AJ$12,1)</f>
        <v>1</v>
      </c>
      <c r="AL4" s="520" t="str">
        <f t="shared" ref="AL4:AL12" ca="1" si="10">IFERROR(INDEX($O$17:$V$25,ROW(E1),$AL$3),"")</f>
        <v/>
      </c>
      <c r="AM4" s="520" t="str">
        <f ca="1">INDEX($AL$4:$AL$12,MATCH(ROW(A1),$AP$4:$AP$12,0))</f>
        <v/>
      </c>
      <c r="AN4" s="544">
        <f ca="1">IF($AL4="",99999,VLOOKUP($AL4,$C$17:$Z$25,24,0))</f>
        <v>99999</v>
      </c>
      <c r="AO4" s="521">
        <f ca="1">RANK(AN4,AN$4:AN$12,1)+IFERROR(INDEX($E$4:$E$12,MATCH(AL4,$F$4:$F$12,0)),0)/100+ROW()/10000</f>
        <v>1.0904</v>
      </c>
      <c r="AP4" s="523">
        <f ca="1">RANK($AO4,$AO$4:$AO$12,1)</f>
        <v>1</v>
      </c>
    </row>
    <row r="5" spans="1:42" s="2" customFormat="1" x14ac:dyDescent="0.2">
      <c r="A5" s="237"/>
      <c r="B5" s="1">
        <v>2</v>
      </c>
      <c r="C5" s="22">
        <f t="shared" ref="C5:C12" ca="1" si="11">RANK(D5,$D$4:$D$12,1)</f>
        <v>1</v>
      </c>
      <c r="D5" s="13">
        <f t="shared" ref="D5:D12" ca="1" si="12">E5+ROW()/1000+(F5="")*10</f>
        <v>1.0049999999999999</v>
      </c>
      <c r="E5" s="248">
        <f t="shared" ref="E5:E12" ca="1" si="13">IF($AI$15,RANK(AH18,AH$17:AH$25,1),RANK(X18,X$17:X$25,1))</f>
        <v>1</v>
      </c>
      <c r="F5" s="1" t="str">
        <f t="shared" ref="F5:F12" si="14">$Q65</f>
        <v>FC Barcelona</v>
      </c>
      <c r="G5" s="1">
        <f t="shared" ca="1" si="1"/>
        <v>10</v>
      </c>
      <c r="H5" s="1">
        <f t="shared" ca="1" si="2"/>
        <v>1</v>
      </c>
      <c r="I5" s="3">
        <f t="shared" ca="1" si="3"/>
        <v>9</v>
      </c>
      <c r="J5" s="1">
        <f t="shared" ref="J5:J12" ca="1" si="15">SUMIF($V$64:$V$135,F5,$AE$64:$AE$135)+SUMIF($W$64:$W$135,F5,$AF$64:$AF$135)</f>
        <v>6</v>
      </c>
      <c r="K5" s="1">
        <f t="shared" ca="1" si="4"/>
        <v>2</v>
      </c>
      <c r="L5" s="1">
        <f t="shared" ca="1" si="5"/>
        <v>2</v>
      </c>
      <c r="M5" s="1">
        <f t="shared" ca="1" si="6"/>
        <v>0</v>
      </c>
      <c r="N5" s="1">
        <f t="shared" ca="1" si="7"/>
        <v>0</v>
      </c>
      <c r="O5" s="24"/>
      <c r="P5" s="25"/>
      <c r="V5" s="1"/>
      <c r="W5" s="524" t="str">
        <f t="shared" ref="W5:W12" ca="1" si="16">IFERROR(INDEX($O$17:$V$25,ROW(A2),$W$3),"")</f>
        <v/>
      </c>
      <c r="X5" s="525" t="str">
        <f t="shared" ref="X5:X12" ca="1" si="17">INDEX($W$4:$W$12,MATCH(ROW(A2),$AA$4:$AA$12,0))</f>
        <v/>
      </c>
      <c r="Y5" s="522">
        <f t="shared" ref="Y5:Y12" ca="1" si="18">IF($W5="",99999,VLOOKUP($W5,$C$17:$Z$25,24,0))</f>
        <v>99999</v>
      </c>
      <c r="Z5" s="522">
        <f t="shared" ref="Z5:Z12" ca="1" si="19">RANK(Y5,Y$4:Y$12,1)+IFERROR(INDEX($E$4:$E$12,MATCH(W5,$F$4:$F$12,0)),0)/100+ROW()/10000</f>
        <v>1.0905</v>
      </c>
      <c r="AA5" s="527">
        <f t="shared" ref="AA5:AA12" ca="1" si="20">RANK($Z5,$Z$4:$Z$12,1)</f>
        <v>2</v>
      </c>
      <c r="AB5" s="524" t="str">
        <f t="shared" ca="1" si="8"/>
        <v/>
      </c>
      <c r="AC5" s="525" t="str">
        <f t="shared" ref="AC5:AC12" ca="1" si="21">INDEX($AB$4:$AB$12,MATCH(ROW(A2),$AF$4:$AF$12,0))</f>
        <v/>
      </c>
      <c r="AD5" s="526">
        <f t="shared" ref="AD5:AD12" ca="1" si="22">IF($AB5="",99999,VLOOKUP($AB5,$C$17:$Z$25,24,0))</f>
        <v>99999</v>
      </c>
      <c r="AE5" s="522">
        <f t="shared" ref="AE5:AE12" ca="1" si="23">RANK(AD5,AD$4:AD$12,1)+IFERROR(INDEX($E$4:$E$12,MATCH(AB5,$F$4:$F$12,0)),0)/100+ROW()/10000</f>
        <v>1.0905</v>
      </c>
      <c r="AF5" s="522">
        <f t="shared" ref="AF5:AF12" ca="1" si="24">RANK($AE5,$AE$4:$AE$12,1)</f>
        <v>2</v>
      </c>
      <c r="AG5" s="524" t="str">
        <f t="shared" ca="1" si="9"/>
        <v/>
      </c>
      <c r="AH5" s="525" t="str">
        <f t="shared" ref="AH5:AH12" ca="1" si="25">INDEX($AG$4:$AG$12,MATCH(ROW(A2),$AK$4:$AK$12,0))</f>
        <v/>
      </c>
      <c r="AI5" s="526">
        <f t="shared" ref="AI5:AI12" ca="1" si="26">IF($AG5="",99999,VLOOKUP($AG5,$C$17:$Z$25,24,0))</f>
        <v>99999</v>
      </c>
      <c r="AJ5" s="522">
        <f t="shared" ref="AJ5:AJ12" ca="1" si="27">RANK(AI5,AI$4:AI$12,1)+IFERROR(INDEX($E$4:$E$12,MATCH(AG5,$F$4:$F$12,0)),0)/100+ROW()/10000</f>
        <v>1.0905</v>
      </c>
      <c r="AK5" s="527">
        <f t="shared" ref="AK5:AK12" ca="1" si="28">RANK($AJ5,$AJ$4:$AJ$12,1)</f>
        <v>2</v>
      </c>
      <c r="AL5" s="525" t="str">
        <f t="shared" ca="1" si="10"/>
        <v/>
      </c>
      <c r="AM5" s="525" t="str">
        <f t="shared" ref="AM5:AM12" ca="1" si="29">INDEX($AL$4:$AL$12,MATCH(ROW(A2),$AP$4:$AP$12,0))</f>
        <v/>
      </c>
      <c r="AN5" s="526">
        <f t="shared" ref="AN5:AN12" ca="1" si="30">IF($AL5="",99999,VLOOKUP($AL5,$C$17:$Z$25,24,0))</f>
        <v>99999</v>
      </c>
      <c r="AO5" s="522">
        <f t="shared" ref="AO5:AO12" ca="1" si="31">RANK(AN5,AN$4:AN$12,1)+IFERROR(INDEX($E$4:$E$12,MATCH(AL5,$F$4:$F$12,0)),0)/100+ROW()/10000</f>
        <v>1.0905</v>
      </c>
      <c r="AP5" s="527">
        <f t="shared" ref="AP5:AP12" ca="1" si="32">RANK($AO5,$AO$4:$AO$12,1)</f>
        <v>2</v>
      </c>
    </row>
    <row r="6" spans="1:42" s="2" customFormat="1" x14ac:dyDescent="0.2">
      <c r="A6" s="237"/>
      <c r="B6" s="1">
        <v>3</v>
      </c>
      <c r="C6" s="22">
        <f t="shared" ca="1" si="11"/>
        <v>2</v>
      </c>
      <c r="D6" s="13">
        <f t="shared" ca="1" si="12"/>
        <v>2.0059999999999998</v>
      </c>
      <c r="E6" s="248">
        <f t="shared" ca="1" si="13"/>
        <v>2</v>
      </c>
      <c r="F6" s="1" t="str">
        <f t="shared" si="14"/>
        <v>Eintracht Frankfurt</v>
      </c>
      <c r="G6" s="1">
        <f t="shared" ca="1" si="1"/>
        <v>7</v>
      </c>
      <c r="H6" s="1">
        <f t="shared" ca="1" si="2"/>
        <v>3</v>
      </c>
      <c r="I6" s="3">
        <f t="shared" ca="1" si="3"/>
        <v>4</v>
      </c>
      <c r="J6" s="1">
        <f t="shared" ca="1" si="15"/>
        <v>6</v>
      </c>
      <c r="K6" s="1">
        <f t="shared" ca="1" si="4"/>
        <v>2</v>
      </c>
      <c r="L6" s="1">
        <f t="shared" ca="1" si="5"/>
        <v>2</v>
      </c>
      <c r="M6" s="1">
        <f t="shared" ca="1" si="6"/>
        <v>0</v>
      </c>
      <c r="N6" s="1">
        <f t="shared" ca="1" si="7"/>
        <v>0</v>
      </c>
      <c r="O6" s="24"/>
      <c r="P6" s="25"/>
      <c r="V6" s="1"/>
      <c r="W6" s="524" t="str">
        <f t="shared" ca="1" si="16"/>
        <v/>
      </c>
      <c r="X6" s="525" t="str">
        <f t="shared" ca="1" si="17"/>
        <v/>
      </c>
      <c r="Y6" s="522">
        <f t="shared" ca="1" si="18"/>
        <v>99999</v>
      </c>
      <c r="Z6" s="522">
        <f t="shared" ca="1" si="19"/>
        <v>1.0906</v>
      </c>
      <c r="AA6" s="527">
        <f t="shared" ca="1" si="20"/>
        <v>3</v>
      </c>
      <c r="AB6" s="524" t="str">
        <f t="shared" ca="1" si="8"/>
        <v/>
      </c>
      <c r="AC6" s="525" t="str">
        <f t="shared" ca="1" si="21"/>
        <v/>
      </c>
      <c r="AD6" s="526">
        <f t="shared" ca="1" si="22"/>
        <v>99999</v>
      </c>
      <c r="AE6" s="522">
        <f t="shared" ca="1" si="23"/>
        <v>1.0906</v>
      </c>
      <c r="AF6" s="522">
        <f t="shared" ca="1" si="24"/>
        <v>3</v>
      </c>
      <c r="AG6" s="524" t="str">
        <f t="shared" ca="1" si="9"/>
        <v/>
      </c>
      <c r="AH6" s="525" t="str">
        <f t="shared" ca="1" si="25"/>
        <v/>
      </c>
      <c r="AI6" s="526">
        <f t="shared" ca="1" si="26"/>
        <v>99999</v>
      </c>
      <c r="AJ6" s="522">
        <f t="shared" ca="1" si="27"/>
        <v>1.0906</v>
      </c>
      <c r="AK6" s="527">
        <f t="shared" ca="1" si="28"/>
        <v>3</v>
      </c>
      <c r="AL6" s="525" t="str">
        <f t="shared" ca="1" si="10"/>
        <v/>
      </c>
      <c r="AM6" s="525" t="str">
        <f t="shared" ca="1" si="29"/>
        <v/>
      </c>
      <c r="AN6" s="526">
        <f t="shared" ca="1" si="30"/>
        <v>99999</v>
      </c>
      <c r="AO6" s="522">
        <f t="shared" ca="1" si="31"/>
        <v>1.0906</v>
      </c>
      <c r="AP6" s="527">
        <f t="shared" ca="1" si="32"/>
        <v>3</v>
      </c>
    </row>
    <row r="7" spans="1:42" s="2" customFormat="1" x14ac:dyDescent="0.2">
      <c r="A7" s="237"/>
      <c r="B7" s="1">
        <v>4</v>
      </c>
      <c r="C7" s="22">
        <f t="shared" ca="1" si="11"/>
        <v>6</v>
      </c>
      <c r="D7" s="13">
        <f t="shared" ca="1" si="12"/>
        <v>6.0069999999999997</v>
      </c>
      <c r="E7" s="248">
        <f t="shared" ca="1" si="13"/>
        <v>6</v>
      </c>
      <c r="F7" s="1" t="str">
        <f t="shared" si="14"/>
        <v>Maibach 1822 eV</v>
      </c>
      <c r="G7" s="1">
        <f t="shared" ca="1" si="1"/>
        <v>4</v>
      </c>
      <c r="H7" s="1">
        <f t="shared" ca="1" si="2"/>
        <v>6</v>
      </c>
      <c r="I7" s="3">
        <f t="shared" ca="1" si="3"/>
        <v>-2</v>
      </c>
      <c r="J7" s="1">
        <f t="shared" ca="1" si="15"/>
        <v>2</v>
      </c>
      <c r="K7" s="1">
        <f t="shared" ca="1" si="4"/>
        <v>3</v>
      </c>
      <c r="L7" s="1">
        <f t="shared" ca="1" si="5"/>
        <v>0</v>
      </c>
      <c r="M7" s="1">
        <f t="shared" ca="1" si="6"/>
        <v>2</v>
      </c>
      <c r="N7" s="1">
        <f t="shared" ca="1" si="7"/>
        <v>1</v>
      </c>
      <c r="O7" s="24"/>
      <c r="P7" s="25"/>
      <c r="V7" s="1"/>
      <c r="W7" s="524" t="str">
        <f t="shared" ca="1" si="16"/>
        <v/>
      </c>
      <c r="X7" s="525" t="str">
        <f t="shared" ca="1" si="17"/>
        <v/>
      </c>
      <c r="Y7" s="522">
        <f t="shared" ca="1" si="18"/>
        <v>99999</v>
      </c>
      <c r="Z7" s="522">
        <f t="shared" ca="1" si="19"/>
        <v>1.0907</v>
      </c>
      <c r="AA7" s="527">
        <f t="shared" ca="1" si="20"/>
        <v>4</v>
      </c>
      <c r="AB7" s="524" t="str">
        <f t="shared" ca="1" si="8"/>
        <v/>
      </c>
      <c r="AC7" s="525" t="str">
        <f t="shared" ca="1" si="21"/>
        <v/>
      </c>
      <c r="AD7" s="526">
        <f t="shared" ca="1" si="22"/>
        <v>99999</v>
      </c>
      <c r="AE7" s="522">
        <f t="shared" ca="1" si="23"/>
        <v>1.0907</v>
      </c>
      <c r="AF7" s="522">
        <f t="shared" ca="1" si="24"/>
        <v>4</v>
      </c>
      <c r="AG7" s="524" t="str">
        <f t="shared" ca="1" si="9"/>
        <v/>
      </c>
      <c r="AH7" s="525" t="str">
        <f t="shared" ca="1" si="25"/>
        <v/>
      </c>
      <c r="AI7" s="526">
        <f t="shared" ca="1" si="26"/>
        <v>99999</v>
      </c>
      <c r="AJ7" s="522">
        <f t="shared" ca="1" si="27"/>
        <v>1.0907</v>
      </c>
      <c r="AK7" s="527">
        <f t="shared" ca="1" si="28"/>
        <v>4</v>
      </c>
      <c r="AL7" s="525" t="str">
        <f t="shared" ca="1" si="10"/>
        <v/>
      </c>
      <c r="AM7" s="525" t="str">
        <f t="shared" ca="1" si="29"/>
        <v/>
      </c>
      <c r="AN7" s="526">
        <f t="shared" ca="1" si="30"/>
        <v>99999</v>
      </c>
      <c r="AO7" s="522">
        <f t="shared" ca="1" si="31"/>
        <v>1.0907</v>
      </c>
      <c r="AP7" s="527">
        <f t="shared" ca="1" si="32"/>
        <v>4</v>
      </c>
    </row>
    <row r="8" spans="1:42" s="2" customFormat="1" x14ac:dyDescent="0.2">
      <c r="A8" s="237"/>
      <c r="B8" s="1">
        <v>5</v>
      </c>
      <c r="C8" s="22">
        <f t="shared" ca="1" si="11"/>
        <v>7</v>
      </c>
      <c r="D8" s="13">
        <f t="shared" ca="1" si="12"/>
        <v>7.008</v>
      </c>
      <c r="E8" s="248">
        <f t="shared" ca="1" si="13"/>
        <v>7</v>
      </c>
      <c r="F8" s="1" t="str">
        <f t="shared" si="14"/>
        <v>VFB Essenheim</v>
      </c>
      <c r="G8" s="1">
        <f t="shared" ca="1" si="1"/>
        <v>2</v>
      </c>
      <c r="H8" s="1">
        <f t="shared" ca="1" si="2"/>
        <v>11</v>
      </c>
      <c r="I8" s="3">
        <f t="shared" ca="1" si="3"/>
        <v>-9</v>
      </c>
      <c r="J8" s="1">
        <f t="shared" ca="1" si="15"/>
        <v>1</v>
      </c>
      <c r="K8" s="1">
        <f t="shared" ca="1" si="4"/>
        <v>3</v>
      </c>
      <c r="L8" s="1">
        <f t="shared" ca="1" si="5"/>
        <v>0</v>
      </c>
      <c r="M8" s="1">
        <f t="shared" ca="1" si="6"/>
        <v>1</v>
      </c>
      <c r="N8" s="1">
        <f t="shared" ca="1" si="7"/>
        <v>2</v>
      </c>
      <c r="P8" s="25"/>
      <c r="W8" s="524" t="str">
        <f t="shared" ca="1" si="16"/>
        <v/>
      </c>
      <c r="X8" s="525" t="str">
        <f t="shared" ca="1" si="17"/>
        <v/>
      </c>
      <c r="Y8" s="522">
        <f t="shared" ca="1" si="18"/>
        <v>99999</v>
      </c>
      <c r="Z8" s="522">
        <f t="shared" ca="1" si="19"/>
        <v>1.0908</v>
      </c>
      <c r="AA8" s="527">
        <f t="shared" ca="1" si="20"/>
        <v>5</v>
      </c>
      <c r="AB8" s="524" t="str">
        <f t="shared" ca="1" si="8"/>
        <v/>
      </c>
      <c r="AC8" s="525" t="str">
        <f t="shared" ca="1" si="21"/>
        <v/>
      </c>
      <c r="AD8" s="526">
        <f t="shared" ca="1" si="22"/>
        <v>99999</v>
      </c>
      <c r="AE8" s="522">
        <f t="shared" ca="1" si="23"/>
        <v>1.0908</v>
      </c>
      <c r="AF8" s="522">
        <f t="shared" ca="1" si="24"/>
        <v>5</v>
      </c>
      <c r="AG8" s="524" t="str">
        <f t="shared" ca="1" si="9"/>
        <v/>
      </c>
      <c r="AH8" s="525" t="str">
        <f t="shared" ca="1" si="25"/>
        <v/>
      </c>
      <c r="AI8" s="526">
        <f t="shared" ca="1" si="26"/>
        <v>99999</v>
      </c>
      <c r="AJ8" s="522">
        <f t="shared" ca="1" si="27"/>
        <v>1.0908</v>
      </c>
      <c r="AK8" s="527">
        <f t="shared" ca="1" si="28"/>
        <v>5</v>
      </c>
      <c r="AL8" s="525" t="str">
        <f t="shared" ca="1" si="10"/>
        <v/>
      </c>
      <c r="AM8" s="525" t="str">
        <f t="shared" ca="1" si="29"/>
        <v/>
      </c>
      <c r="AN8" s="526">
        <f t="shared" ca="1" si="30"/>
        <v>99999</v>
      </c>
      <c r="AO8" s="522">
        <f t="shared" ca="1" si="31"/>
        <v>1.0908</v>
      </c>
      <c r="AP8" s="527">
        <f t="shared" ca="1" si="32"/>
        <v>5</v>
      </c>
    </row>
    <row r="9" spans="1:42" s="2" customFormat="1" x14ac:dyDescent="0.2">
      <c r="A9" s="237"/>
      <c r="B9" s="1">
        <v>6</v>
      </c>
      <c r="C9" s="22">
        <f t="shared" ca="1" si="11"/>
        <v>4</v>
      </c>
      <c r="D9" s="13">
        <f t="shared" ca="1" si="12"/>
        <v>4.0090000000000003</v>
      </c>
      <c r="E9" s="248">
        <f t="shared" ca="1" si="13"/>
        <v>4</v>
      </c>
      <c r="F9" s="1" t="str">
        <f t="shared" si="14"/>
        <v>Fun Kickers Oes</v>
      </c>
      <c r="G9" s="1">
        <f t="shared" ca="1" si="1"/>
        <v>9</v>
      </c>
      <c r="H9" s="1">
        <f t="shared" ca="1" si="2"/>
        <v>8</v>
      </c>
      <c r="I9" s="3">
        <f t="shared" ca="1" si="3"/>
        <v>1</v>
      </c>
      <c r="J9" s="1">
        <f t="shared" ca="1" si="15"/>
        <v>6</v>
      </c>
      <c r="K9" s="1">
        <f t="shared" ca="1" si="4"/>
        <v>3</v>
      </c>
      <c r="L9" s="1">
        <f t="shared" ca="1" si="5"/>
        <v>2</v>
      </c>
      <c r="M9" s="1">
        <f t="shared" ca="1" si="6"/>
        <v>0</v>
      </c>
      <c r="N9" s="1">
        <f t="shared" ca="1" si="7"/>
        <v>1</v>
      </c>
      <c r="P9" s="25"/>
      <c r="W9" s="524" t="str">
        <f t="shared" ca="1" si="16"/>
        <v/>
      </c>
      <c r="X9" s="525" t="str">
        <f t="shared" ca="1" si="17"/>
        <v/>
      </c>
      <c r="Y9" s="522">
        <f t="shared" ca="1" si="18"/>
        <v>99999</v>
      </c>
      <c r="Z9" s="522">
        <f t="shared" ca="1" si="19"/>
        <v>1.0909</v>
      </c>
      <c r="AA9" s="527">
        <f t="shared" ca="1" si="20"/>
        <v>6</v>
      </c>
      <c r="AB9" s="524" t="str">
        <f t="shared" ca="1" si="8"/>
        <v/>
      </c>
      <c r="AC9" s="525" t="str">
        <f t="shared" ca="1" si="21"/>
        <v/>
      </c>
      <c r="AD9" s="526">
        <f t="shared" ca="1" si="22"/>
        <v>99999</v>
      </c>
      <c r="AE9" s="522">
        <f t="shared" ca="1" si="23"/>
        <v>1.0909</v>
      </c>
      <c r="AF9" s="522">
        <f t="shared" ca="1" si="24"/>
        <v>6</v>
      </c>
      <c r="AG9" s="524" t="str">
        <f t="shared" ca="1" si="9"/>
        <v/>
      </c>
      <c r="AH9" s="525" t="str">
        <f t="shared" ca="1" si="25"/>
        <v/>
      </c>
      <c r="AI9" s="526">
        <f t="shared" ca="1" si="26"/>
        <v>99999</v>
      </c>
      <c r="AJ9" s="522">
        <f t="shared" ca="1" si="27"/>
        <v>1.0909</v>
      </c>
      <c r="AK9" s="527">
        <f t="shared" ca="1" si="28"/>
        <v>6</v>
      </c>
      <c r="AL9" s="525" t="str">
        <f t="shared" ca="1" si="10"/>
        <v/>
      </c>
      <c r="AM9" s="525" t="str">
        <f t="shared" ca="1" si="29"/>
        <v/>
      </c>
      <c r="AN9" s="526">
        <f t="shared" ca="1" si="30"/>
        <v>99999</v>
      </c>
      <c r="AO9" s="522">
        <f t="shared" ca="1" si="31"/>
        <v>1.0909</v>
      </c>
      <c r="AP9" s="527">
        <f t="shared" ca="1" si="32"/>
        <v>6</v>
      </c>
    </row>
    <row r="10" spans="1:42" s="2" customFormat="1" x14ac:dyDescent="0.2">
      <c r="A10" s="237"/>
      <c r="B10" s="1">
        <v>7</v>
      </c>
      <c r="C10" s="22">
        <f t="shared" ca="1" si="11"/>
        <v>3</v>
      </c>
      <c r="D10" s="13">
        <f t="shared" ca="1" si="12"/>
        <v>3.01</v>
      </c>
      <c r="E10" s="248">
        <f t="shared" ca="1" si="13"/>
        <v>3</v>
      </c>
      <c r="F10" s="1" t="str">
        <f t="shared" si="14"/>
        <v>Raslo Winners</v>
      </c>
      <c r="G10" s="1">
        <f t="shared" ca="1" si="1"/>
        <v>6</v>
      </c>
      <c r="H10" s="1">
        <f t="shared" ca="1" si="2"/>
        <v>4</v>
      </c>
      <c r="I10" s="3">
        <f t="shared" ca="1" si="3"/>
        <v>2</v>
      </c>
      <c r="J10" s="1">
        <f t="shared" ca="1" si="15"/>
        <v>6</v>
      </c>
      <c r="K10" s="1">
        <f t="shared" ca="1" si="4"/>
        <v>3</v>
      </c>
      <c r="L10" s="1">
        <f t="shared" ca="1" si="5"/>
        <v>2</v>
      </c>
      <c r="M10" s="1">
        <f t="shared" ca="1" si="6"/>
        <v>0</v>
      </c>
      <c r="N10" s="1">
        <f t="shared" ca="1" si="7"/>
        <v>1</v>
      </c>
      <c r="P10" s="25"/>
      <c r="W10" s="524" t="str">
        <f t="shared" ca="1" si="16"/>
        <v/>
      </c>
      <c r="X10" s="525" t="str">
        <f t="shared" ca="1" si="17"/>
        <v/>
      </c>
      <c r="Y10" s="522">
        <f t="shared" ca="1" si="18"/>
        <v>99999</v>
      </c>
      <c r="Z10" s="522">
        <f t="shared" ca="1" si="19"/>
        <v>1.091</v>
      </c>
      <c r="AA10" s="527">
        <f t="shared" ca="1" si="20"/>
        <v>7</v>
      </c>
      <c r="AB10" s="524" t="str">
        <f t="shared" ca="1" si="8"/>
        <v/>
      </c>
      <c r="AC10" s="525" t="str">
        <f t="shared" ca="1" si="21"/>
        <v/>
      </c>
      <c r="AD10" s="526">
        <f t="shared" ca="1" si="22"/>
        <v>99999</v>
      </c>
      <c r="AE10" s="522">
        <f t="shared" ca="1" si="23"/>
        <v>1.091</v>
      </c>
      <c r="AF10" s="522">
        <f t="shared" ca="1" si="24"/>
        <v>7</v>
      </c>
      <c r="AG10" s="524" t="str">
        <f t="shared" ca="1" si="9"/>
        <v/>
      </c>
      <c r="AH10" s="525" t="str">
        <f t="shared" ca="1" si="25"/>
        <v/>
      </c>
      <c r="AI10" s="526">
        <f t="shared" ca="1" si="26"/>
        <v>99999</v>
      </c>
      <c r="AJ10" s="522">
        <f t="shared" ca="1" si="27"/>
        <v>1.091</v>
      </c>
      <c r="AK10" s="527">
        <f t="shared" ca="1" si="28"/>
        <v>7</v>
      </c>
      <c r="AL10" s="525" t="str">
        <f t="shared" ca="1" si="10"/>
        <v/>
      </c>
      <c r="AM10" s="525" t="str">
        <f t="shared" ca="1" si="29"/>
        <v/>
      </c>
      <c r="AN10" s="526">
        <f t="shared" ca="1" si="30"/>
        <v>99999</v>
      </c>
      <c r="AO10" s="522">
        <f t="shared" ca="1" si="31"/>
        <v>1.091</v>
      </c>
      <c r="AP10" s="527">
        <f t="shared" ca="1" si="32"/>
        <v>7</v>
      </c>
    </row>
    <row r="11" spans="1:42" s="2" customFormat="1" x14ac:dyDescent="0.2">
      <c r="A11" s="237"/>
      <c r="B11" s="1">
        <v>8</v>
      </c>
      <c r="C11" s="22">
        <f t="shared" ca="1" si="11"/>
        <v>5</v>
      </c>
      <c r="D11" s="13">
        <f t="shared" ca="1" si="12"/>
        <v>5.0110000000000001</v>
      </c>
      <c r="E11" s="248">
        <f t="shared" ca="1" si="13"/>
        <v>5</v>
      </c>
      <c r="F11" s="1" t="str">
        <f t="shared" si="14"/>
        <v>Knock Out Rangers</v>
      </c>
      <c r="G11" s="1">
        <f t="shared" ca="1" si="1"/>
        <v>9</v>
      </c>
      <c r="H11" s="1">
        <f t="shared" ca="1" si="2"/>
        <v>6</v>
      </c>
      <c r="I11" s="3">
        <f t="shared" ca="1" si="3"/>
        <v>3</v>
      </c>
      <c r="J11" s="1">
        <f t="shared" ca="1" si="15"/>
        <v>4</v>
      </c>
      <c r="K11" s="1">
        <f t="shared" ca="1" si="4"/>
        <v>3</v>
      </c>
      <c r="L11" s="1">
        <f t="shared" ca="1" si="5"/>
        <v>1</v>
      </c>
      <c r="M11" s="1">
        <f t="shared" ca="1" si="6"/>
        <v>1</v>
      </c>
      <c r="N11" s="1">
        <f t="shared" ca="1" si="7"/>
        <v>1</v>
      </c>
      <c r="O11" s="13"/>
      <c r="P11" s="13"/>
      <c r="Q11" s="13"/>
      <c r="R11" s="13"/>
      <c r="S11" s="13"/>
      <c r="T11" s="13"/>
      <c r="U11" s="13"/>
      <c r="V11" s="13"/>
      <c r="W11" s="524" t="str">
        <f t="shared" ca="1" si="16"/>
        <v/>
      </c>
      <c r="X11" s="525" t="str">
        <f t="shared" ca="1" si="17"/>
        <v/>
      </c>
      <c r="Y11" s="522">
        <f t="shared" ca="1" si="18"/>
        <v>99999</v>
      </c>
      <c r="Z11" s="522">
        <f t="shared" ca="1" si="19"/>
        <v>1.0911000000000002</v>
      </c>
      <c r="AA11" s="527">
        <f t="shared" ca="1" si="20"/>
        <v>8</v>
      </c>
      <c r="AB11" s="524" t="str">
        <f t="shared" ca="1" si="8"/>
        <v/>
      </c>
      <c r="AC11" s="525" t="str">
        <f t="shared" ca="1" si="21"/>
        <v/>
      </c>
      <c r="AD11" s="526">
        <f t="shared" ca="1" si="22"/>
        <v>99999</v>
      </c>
      <c r="AE11" s="522">
        <f t="shared" ca="1" si="23"/>
        <v>1.0911000000000002</v>
      </c>
      <c r="AF11" s="522">
        <f t="shared" ca="1" si="24"/>
        <v>8</v>
      </c>
      <c r="AG11" s="524" t="str">
        <f t="shared" ca="1" si="9"/>
        <v/>
      </c>
      <c r="AH11" s="525" t="str">
        <f t="shared" ca="1" si="25"/>
        <v/>
      </c>
      <c r="AI11" s="526">
        <f t="shared" ca="1" si="26"/>
        <v>99999</v>
      </c>
      <c r="AJ11" s="522">
        <f t="shared" ca="1" si="27"/>
        <v>1.0911000000000002</v>
      </c>
      <c r="AK11" s="527">
        <f t="shared" ca="1" si="28"/>
        <v>8</v>
      </c>
      <c r="AL11" s="525" t="str">
        <f t="shared" ca="1" si="10"/>
        <v/>
      </c>
      <c r="AM11" s="525" t="str">
        <f t="shared" ca="1" si="29"/>
        <v/>
      </c>
      <c r="AN11" s="526">
        <f t="shared" ca="1" si="30"/>
        <v>99999</v>
      </c>
      <c r="AO11" s="522">
        <f t="shared" ca="1" si="31"/>
        <v>1.0911000000000002</v>
      </c>
      <c r="AP11" s="527">
        <f t="shared" ca="1" si="32"/>
        <v>8</v>
      </c>
    </row>
    <row r="12" spans="1:42" s="2" customFormat="1" ht="12.75" thickBot="1" x14ac:dyDescent="0.25">
      <c r="A12" s="237"/>
      <c r="B12" s="1">
        <v>9</v>
      </c>
      <c r="C12" s="23">
        <f t="shared" ca="1" si="11"/>
        <v>9</v>
      </c>
      <c r="D12" s="13">
        <f t="shared" ca="1" si="12"/>
        <v>19.012</v>
      </c>
      <c r="E12" s="248">
        <f t="shared" ca="1" si="13"/>
        <v>9</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528" t="str">
        <f t="shared" ca="1" si="16"/>
        <v/>
      </c>
      <c r="X12" s="529" t="str">
        <f t="shared" ca="1" si="17"/>
        <v/>
      </c>
      <c r="Y12" s="530">
        <f t="shared" ca="1" si="18"/>
        <v>99999</v>
      </c>
      <c r="Z12" s="530">
        <f t="shared" ca="1" si="19"/>
        <v>1.0912000000000002</v>
      </c>
      <c r="AA12" s="531">
        <f t="shared" ca="1" si="20"/>
        <v>9</v>
      </c>
      <c r="AB12" s="528" t="str">
        <f t="shared" ca="1" si="8"/>
        <v/>
      </c>
      <c r="AC12" s="529" t="str">
        <f t="shared" ca="1" si="21"/>
        <v/>
      </c>
      <c r="AD12" s="532">
        <f t="shared" ca="1" si="22"/>
        <v>99999</v>
      </c>
      <c r="AE12" s="530">
        <f t="shared" ca="1" si="23"/>
        <v>1.0912000000000002</v>
      </c>
      <c r="AF12" s="530">
        <f t="shared" ca="1" si="24"/>
        <v>9</v>
      </c>
      <c r="AG12" s="528" t="str">
        <f t="shared" ca="1" si="9"/>
        <v/>
      </c>
      <c r="AH12" s="529" t="str">
        <f t="shared" ca="1" si="25"/>
        <v/>
      </c>
      <c r="AI12" s="532">
        <f t="shared" ca="1" si="26"/>
        <v>99999</v>
      </c>
      <c r="AJ12" s="530">
        <f t="shared" ca="1" si="27"/>
        <v>1.0912000000000002</v>
      </c>
      <c r="AK12" s="531">
        <f t="shared" ca="1" si="28"/>
        <v>9</v>
      </c>
      <c r="AL12" s="529" t="str">
        <f t="shared" ca="1" si="10"/>
        <v/>
      </c>
      <c r="AM12" s="529" t="str">
        <f t="shared" ca="1" si="29"/>
        <v/>
      </c>
      <c r="AN12" s="532">
        <f t="shared" ca="1" si="30"/>
        <v>99999</v>
      </c>
      <c r="AO12" s="530">
        <f t="shared" ca="1" si="31"/>
        <v>1.0912000000000002</v>
      </c>
      <c r="AP12" s="531">
        <f t="shared" ca="1" si="32"/>
        <v>9</v>
      </c>
    </row>
    <row r="13" spans="1:42" s="2" customFormat="1" ht="12.75" thickTop="1" x14ac:dyDescent="0.2">
      <c r="B13" s="3">
        <f>$F$13*($F$13-1)</f>
        <v>56</v>
      </c>
      <c r="C13" s="3"/>
      <c r="D13" s="3"/>
      <c r="E13" s="3"/>
      <c r="F13" s="3">
        <f>9-COUNTBLANK($F$4:$F$12)</f>
        <v>8</v>
      </c>
      <c r="G13" s="3"/>
      <c r="H13" s="3"/>
      <c r="I13" s="3"/>
      <c r="J13" s="3"/>
      <c r="K13" s="28">
        <f ca="1">QUOTIENT(SUM(K4:K12),2)</f>
        <v>11</v>
      </c>
      <c r="L13" s="1"/>
      <c r="M13" s="1"/>
      <c r="N13" s="1"/>
      <c r="O13" s="1"/>
      <c r="P13" s="1"/>
      <c r="Q13" s="1"/>
      <c r="R13" s="1"/>
      <c r="S13" s="1"/>
      <c r="T13" s="1"/>
      <c r="U13" s="1"/>
      <c r="V13" s="1"/>
      <c r="Y13" s="1"/>
      <c r="Z13" s="1"/>
    </row>
    <row r="14" spans="1:42" s="2" customFormat="1" x14ac:dyDescent="0.2">
      <c r="B14" s="14">
        <f>MAX($B$13,Calc2!$B$13)</f>
        <v>56</v>
      </c>
      <c r="D14" s="1" t="s">
        <v>222</v>
      </c>
      <c r="F14" s="14">
        <f>MAX($F$13,Calc2!$F$13)</f>
        <v>8</v>
      </c>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$Q64</f>
        <v>1. FC Riedwald</v>
      </c>
      <c r="D17" s="1">
        <f t="shared" ref="D17:D25" ca="1" si="33">K4</f>
        <v>3</v>
      </c>
      <c r="E17" s="1">
        <f t="shared" ref="E17:E25" ca="1" si="34">L4</f>
        <v>0</v>
      </c>
      <c r="F17" s="1">
        <f t="shared" ref="F17:F25" ca="1" si="35">M4</f>
        <v>0</v>
      </c>
      <c r="G17" s="1">
        <f t="shared" ref="G17:G25" ca="1" si="36">N4</f>
        <v>3</v>
      </c>
      <c r="H17" s="1">
        <f t="shared" ref="H17:J23" ca="1" si="37">G4</f>
        <v>4</v>
      </c>
      <c r="I17" s="1">
        <f t="shared" ca="1" si="37"/>
        <v>12</v>
      </c>
      <c r="J17" s="13">
        <f t="shared" ca="1" si="37"/>
        <v>-8</v>
      </c>
      <c r="K17" s="1">
        <f t="shared" ref="K17:K25" ca="1" si="38">J4</f>
        <v>0</v>
      </c>
      <c r="L17" s="30">
        <f t="shared" ref="L17:L25" ca="1" si="39">K17*$F$64+(J17+$H$65)*$F$65+H17*$F$66</f>
        <v>492004</v>
      </c>
      <c r="M17" s="14">
        <f ca="1">IF($AI$15,COUNTIF($K$17:$K$25,K17),COUNTIF($L$17:$L$25,L17))</f>
        <v>1</v>
      </c>
      <c r="N17" s="14">
        <f t="array" aca="1" ref="N17" ca="1">IF($AI$15,SUM(($K$17:$K$25&gt;=K17)/COUNTIF($K$17:$K$25,$K$17:$K$25)),SUM(($L$17:$L$25&gt;=L17)/COUNTIF($L$17:$L$25,$L$17:$L$25)))</f>
        <v>9</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5" ca="1" si="48">AA17*$F$64+(AB17+$H$65)*$F$65+AC17*$F$66</f>
        <v>500000</v>
      </c>
      <c r="X17" s="21">
        <f ca="1">RANK($L17,$L$17:$L$25)+RANK($W17,$W$17:$W$25)/100+(9-$Y17)/10000+($C17="")*100</f>
        <v>9.0108999999999995</v>
      </c>
      <c r="Y17" s="13">
        <f>PreliminaryRound!$AL12</f>
        <v>0</v>
      </c>
      <c r="Z17" s="1">
        <f ca="1">RANK($W17,$W$17:$W$25)+(9-$Y17)/10</f>
        <v>1.9</v>
      </c>
      <c r="AA17" s="1">
        <f ca="1">SUM(E30:BP30)</f>
        <v>0</v>
      </c>
      <c r="AB17" s="1">
        <f ca="1">SUM(E41:BP41)</f>
        <v>0</v>
      </c>
      <c r="AC17" s="1">
        <f ca="1">SUM(E52:BP52)</f>
        <v>0</v>
      </c>
      <c r="AD17" s="242">
        <f ca="1">RANK($K17,$K$17:$K$25)</f>
        <v>8</v>
      </c>
      <c r="AE17" s="30">
        <f t="shared" ref="AE17:AE25" ca="1" si="49">(J17+$H$65)*$F$65+H17*$F$66</f>
        <v>492004</v>
      </c>
      <c r="AF17" s="1">
        <f ca="1">RANK($AE17,$AE$17:$AE$25)</f>
        <v>8</v>
      </c>
      <c r="AG17" s="1">
        <f ca="1">RANK($W17,$W$17:$W$25)</f>
        <v>1</v>
      </c>
      <c r="AH17" s="244">
        <f ca="1">AD17+AG17/100+AF17/10000+(10-Y17)/1000000+($C17="")*100</f>
        <v>8.0108099999999993</v>
      </c>
      <c r="AI17" s="1"/>
    </row>
    <row r="18" spans="2:80" s="2" customFormat="1" x14ac:dyDescent="0.2">
      <c r="C18" s="2" t="str">
        <f t="shared" ref="C18:C25" si="50">$Q65</f>
        <v>FC Barcelona</v>
      </c>
      <c r="D18" s="1">
        <f t="shared" ca="1" si="33"/>
        <v>2</v>
      </c>
      <c r="E18" s="1">
        <f t="shared" ca="1" si="34"/>
        <v>2</v>
      </c>
      <c r="F18" s="1">
        <f t="shared" ca="1" si="35"/>
        <v>0</v>
      </c>
      <c r="G18" s="1">
        <f t="shared" ca="1" si="36"/>
        <v>0</v>
      </c>
      <c r="H18" s="1">
        <f t="shared" ca="1" si="37"/>
        <v>10</v>
      </c>
      <c r="I18" s="1">
        <f t="shared" ca="1" si="37"/>
        <v>1</v>
      </c>
      <c r="J18" s="13">
        <f t="shared" ca="1" si="37"/>
        <v>9</v>
      </c>
      <c r="K18" s="1">
        <f t="shared" ca="1" si="38"/>
        <v>6</v>
      </c>
      <c r="L18" s="30">
        <f t="shared" ca="1" si="39"/>
        <v>6509010</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ca="1">RANK($L18,$L$17:$L$25)+RANK($W18,$W$17:$W$25)/100+(9-$Y18)/10000+($C18="")*100</f>
        <v>1.0108999999999999</v>
      </c>
      <c r="Y18" s="13">
        <f>PreliminaryRound!$AL13</f>
        <v>0</v>
      </c>
      <c r="Z18" s="1">
        <f t="shared" ref="Z18:Z25" ca="1" si="52">RANK($W18,$W$17:$W$25)+(9-$Y18)/10</f>
        <v>1.9</v>
      </c>
      <c r="AA18" s="1">
        <f t="shared" ref="AA18:AA25" ca="1" si="53">SUM(E31:BP31)</f>
        <v>0</v>
      </c>
      <c r="AB18" s="1">
        <f t="shared" ref="AB18:AB25" ca="1" si="54">SUM(E42:BP42)</f>
        <v>0</v>
      </c>
      <c r="AC18" s="1">
        <f t="shared" ref="AC18:AC25" ca="1" si="55">SUM(E53:BP53)</f>
        <v>0</v>
      </c>
      <c r="AD18" s="242">
        <f t="shared" ref="AD18:AD25" ca="1" si="56">RANK($K18,$K$17:$K$25)</f>
        <v>1</v>
      </c>
      <c r="AE18" s="30">
        <f t="shared" ca="1" si="49"/>
        <v>509010</v>
      </c>
      <c r="AF18" s="1">
        <f t="shared" ref="AF18:AF25" ca="1" si="57">RANK($AE18,$AE$17:$AE$25)</f>
        <v>1</v>
      </c>
      <c r="AG18" s="1">
        <f t="shared" ref="AG18:AG25" ca="1" si="58">RANK($W18,$W$17:$W$25)</f>
        <v>1</v>
      </c>
      <c r="AH18" s="245">
        <f ca="1">AD18+AG18/100+AF18/10000+(10-Y18)/1000000+($C18="")*100</f>
        <v>1.0101100000000001</v>
      </c>
      <c r="AI18" s="1"/>
    </row>
    <row r="19" spans="2:80" s="2" customFormat="1" x14ac:dyDescent="0.2">
      <c r="C19" s="2" t="str">
        <f t="shared" si="50"/>
        <v>Eintracht Frankfurt</v>
      </c>
      <c r="D19" s="1">
        <f t="shared" ca="1" si="33"/>
        <v>2</v>
      </c>
      <c r="E19" s="1">
        <f t="shared" ca="1" si="34"/>
        <v>2</v>
      </c>
      <c r="F19" s="1">
        <f t="shared" ca="1" si="35"/>
        <v>0</v>
      </c>
      <c r="G19" s="1">
        <f t="shared" ca="1" si="36"/>
        <v>0</v>
      </c>
      <c r="H19" s="1">
        <f t="shared" ca="1" si="37"/>
        <v>7</v>
      </c>
      <c r="I19" s="1">
        <f t="shared" ca="1" si="37"/>
        <v>3</v>
      </c>
      <c r="J19" s="13">
        <f t="shared" ca="1" si="37"/>
        <v>4</v>
      </c>
      <c r="K19" s="1">
        <f t="shared" ca="1" si="38"/>
        <v>6</v>
      </c>
      <c r="L19" s="30">
        <f t="shared" ca="1" si="39"/>
        <v>6504007</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ref="X19:X25" ca="1" si="59">RANK($L19,$L$17:$L$25)+RANK($W19,$W$17:$W$25)/100+(9-$Y19)/10000+($C19="")*100</f>
        <v>2.0108999999999999</v>
      </c>
      <c r="Y19" s="13">
        <f>PreliminaryRound!$AL14</f>
        <v>0</v>
      </c>
      <c r="Z19" s="1">
        <f t="shared" ca="1" si="52"/>
        <v>1.9</v>
      </c>
      <c r="AA19" s="1">
        <f t="shared" ca="1" si="53"/>
        <v>0</v>
      </c>
      <c r="AB19" s="1">
        <f t="shared" ca="1" si="54"/>
        <v>0</v>
      </c>
      <c r="AC19" s="1">
        <f t="shared" ca="1" si="55"/>
        <v>0</v>
      </c>
      <c r="AD19" s="242">
        <f t="shared" ca="1" si="56"/>
        <v>1</v>
      </c>
      <c r="AE19" s="30">
        <f t="shared" ca="1" si="49"/>
        <v>504007</v>
      </c>
      <c r="AF19" s="1">
        <f t="shared" ca="1" si="57"/>
        <v>2</v>
      </c>
      <c r="AG19" s="1">
        <f t="shared" ca="1" si="58"/>
        <v>1</v>
      </c>
      <c r="AH19" s="245">
        <f t="shared" ref="AH19:AH25" ca="1" si="60">AD19+AG19/100+AF19/10000+(10-Y19)/1000000+($C19="")*100</f>
        <v>1.0102100000000001</v>
      </c>
      <c r="AI19" s="1"/>
    </row>
    <row r="20" spans="2:80" s="2" customFormat="1" x14ac:dyDescent="0.2">
      <c r="C20" s="2" t="str">
        <f t="shared" si="50"/>
        <v>Maibach 1822 eV</v>
      </c>
      <c r="D20" s="1">
        <f t="shared" ca="1" si="33"/>
        <v>3</v>
      </c>
      <c r="E20" s="1">
        <f t="shared" ca="1" si="34"/>
        <v>0</v>
      </c>
      <c r="F20" s="1">
        <f t="shared" ca="1" si="35"/>
        <v>2</v>
      </c>
      <c r="G20" s="1">
        <f t="shared" ca="1" si="36"/>
        <v>1</v>
      </c>
      <c r="H20" s="1">
        <f t="shared" ca="1" si="37"/>
        <v>4</v>
      </c>
      <c r="I20" s="1">
        <f t="shared" ca="1" si="37"/>
        <v>6</v>
      </c>
      <c r="J20" s="13">
        <f t="shared" ca="1" si="37"/>
        <v>-2</v>
      </c>
      <c r="K20" s="1">
        <f t="shared" ca="1" si="38"/>
        <v>2</v>
      </c>
      <c r="L20" s="30">
        <f t="shared" ca="1" si="39"/>
        <v>2498004</v>
      </c>
      <c r="M20" s="14">
        <f t="shared" ca="1" si="51"/>
        <v>1</v>
      </c>
      <c r="N20" s="14">
        <f t="array" aca="1" ref="N20" ca="1">IF($AI$15,SUM(($K$17:$K$25&gt;=K20)/COUNTIF($K$17:$K$25,$K$17:$K$25)),SUM(($L$17:$L$25&gt;=L20)/COUNTIF($L$17:$L$25,$L$17:$L$25)))</f>
        <v>6</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9"/>
        <v>6.0108999999999995</v>
      </c>
      <c r="Y20" s="13">
        <f>PreliminaryRound!$AL15</f>
        <v>0</v>
      </c>
      <c r="Z20" s="1">
        <f t="shared" ca="1" si="52"/>
        <v>1.9</v>
      </c>
      <c r="AA20" s="1">
        <f t="shared" ca="1" si="53"/>
        <v>0</v>
      </c>
      <c r="AB20" s="1">
        <f t="shared" ca="1" si="54"/>
        <v>0</v>
      </c>
      <c r="AC20" s="1">
        <f t="shared" ca="1" si="55"/>
        <v>0</v>
      </c>
      <c r="AD20" s="242">
        <f t="shared" ca="1" si="56"/>
        <v>6</v>
      </c>
      <c r="AE20" s="30">
        <f t="shared" ca="1" si="49"/>
        <v>498004</v>
      </c>
      <c r="AF20" s="1">
        <f t="shared" ca="1" si="57"/>
        <v>7</v>
      </c>
      <c r="AG20" s="1">
        <f t="shared" ca="1" si="58"/>
        <v>1</v>
      </c>
      <c r="AH20" s="245">
        <f t="shared" ca="1" si="60"/>
        <v>6.0107099999999996</v>
      </c>
      <c r="AI20" s="1"/>
    </row>
    <row r="21" spans="2:80" s="2" customFormat="1" x14ac:dyDescent="0.2">
      <c r="C21" s="2" t="str">
        <f t="shared" si="50"/>
        <v>VFB Essenheim</v>
      </c>
      <c r="D21" s="1">
        <f t="shared" ca="1" si="33"/>
        <v>3</v>
      </c>
      <c r="E21" s="1">
        <f t="shared" ca="1" si="34"/>
        <v>0</v>
      </c>
      <c r="F21" s="1">
        <f t="shared" ca="1" si="35"/>
        <v>1</v>
      </c>
      <c r="G21" s="1">
        <f t="shared" ca="1" si="36"/>
        <v>2</v>
      </c>
      <c r="H21" s="1">
        <f t="shared" ca="1" si="37"/>
        <v>2</v>
      </c>
      <c r="I21" s="1">
        <f t="shared" ca="1" si="37"/>
        <v>11</v>
      </c>
      <c r="J21" s="13">
        <f t="shared" ca="1" si="37"/>
        <v>-9</v>
      </c>
      <c r="K21" s="1">
        <f t="shared" ca="1" si="38"/>
        <v>1</v>
      </c>
      <c r="L21" s="30">
        <f t="shared" ca="1" si="39"/>
        <v>1491002</v>
      </c>
      <c r="M21" s="14">
        <f t="shared" ca="1" si="51"/>
        <v>1</v>
      </c>
      <c r="N21" s="14">
        <f t="array" aca="1" ref="N21" ca="1">IF($AI$15,SUM(($K$17:$K$25&gt;=K21)/COUNTIF($K$17:$K$25,$K$17:$K$25)),SUM(($L$17:$L$25&gt;=L21)/COUNTIF($L$17:$L$25,$L$17:$L$25)))</f>
        <v>7</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9"/>
        <v>7.0108999999999995</v>
      </c>
      <c r="Y21" s="13">
        <f>PreliminaryRound!$AL16</f>
        <v>0</v>
      </c>
      <c r="Z21" s="1">
        <f t="shared" ca="1" si="52"/>
        <v>1.9</v>
      </c>
      <c r="AA21" s="1">
        <f t="shared" ca="1" si="53"/>
        <v>0</v>
      </c>
      <c r="AB21" s="1">
        <f t="shared" ca="1" si="54"/>
        <v>0</v>
      </c>
      <c r="AC21" s="1">
        <f t="shared" ca="1" si="55"/>
        <v>0</v>
      </c>
      <c r="AD21" s="242">
        <f t="shared" ca="1" si="56"/>
        <v>7</v>
      </c>
      <c r="AE21" s="30">
        <f t="shared" ca="1" si="49"/>
        <v>491002</v>
      </c>
      <c r="AF21" s="1">
        <f t="shared" ca="1" si="57"/>
        <v>9</v>
      </c>
      <c r="AG21" s="1">
        <f t="shared" ca="1" si="58"/>
        <v>1</v>
      </c>
      <c r="AH21" s="245">
        <f t="shared" ca="1" si="60"/>
        <v>7.0109099999999991</v>
      </c>
      <c r="AI21" s="1"/>
    </row>
    <row r="22" spans="2:80" s="2" customFormat="1" x14ac:dyDescent="0.2">
      <c r="C22" s="2" t="str">
        <f t="shared" si="50"/>
        <v>Fun Kickers Oes</v>
      </c>
      <c r="D22" s="1">
        <f t="shared" ca="1" si="33"/>
        <v>3</v>
      </c>
      <c r="E22" s="1">
        <f t="shared" ca="1" si="34"/>
        <v>2</v>
      </c>
      <c r="F22" s="1">
        <f t="shared" ca="1" si="35"/>
        <v>0</v>
      </c>
      <c r="G22" s="1">
        <f t="shared" ca="1" si="36"/>
        <v>1</v>
      </c>
      <c r="H22" s="1">
        <f t="shared" ca="1" si="37"/>
        <v>9</v>
      </c>
      <c r="I22" s="1">
        <f t="shared" ca="1" si="37"/>
        <v>8</v>
      </c>
      <c r="J22" s="13">
        <f t="shared" ca="1" si="37"/>
        <v>1</v>
      </c>
      <c r="K22" s="1">
        <f t="shared" ca="1" si="38"/>
        <v>6</v>
      </c>
      <c r="L22" s="30">
        <f t="shared" ca="1" si="39"/>
        <v>6501009</v>
      </c>
      <c r="M22" s="14">
        <f t="shared" ca="1" si="51"/>
        <v>1</v>
      </c>
      <c r="N22" s="14">
        <f t="array" aca="1" ref="N22" ca="1">IF($AI$15,SUM(($K$17:$K$25&gt;=K22)/COUNTIF($K$17:$K$25,$K$17:$K$25)),SUM(($L$17:$L$25&gt;=L22)/COUNTIF($L$17:$L$25,$L$17:$L$25)))</f>
        <v>4</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9"/>
        <v>4.0108999999999995</v>
      </c>
      <c r="Y22" s="13">
        <f>PreliminaryRound!$AL17</f>
        <v>0</v>
      </c>
      <c r="Z22" s="1">
        <f t="shared" ca="1" si="52"/>
        <v>1.9</v>
      </c>
      <c r="AA22" s="1">
        <f t="shared" ca="1" si="53"/>
        <v>0</v>
      </c>
      <c r="AB22" s="1">
        <f t="shared" ca="1" si="54"/>
        <v>0</v>
      </c>
      <c r="AC22" s="1">
        <f t="shared" ca="1" si="55"/>
        <v>0</v>
      </c>
      <c r="AD22" s="242">
        <f t="shared" ca="1" si="56"/>
        <v>1</v>
      </c>
      <c r="AE22" s="30">
        <f t="shared" ca="1" si="49"/>
        <v>501009</v>
      </c>
      <c r="AF22" s="1">
        <f t="shared" ca="1" si="57"/>
        <v>5</v>
      </c>
      <c r="AG22" s="1">
        <f t="shared" ca="1" si="58"/>
        <v>1</v>
      </c>
      <c r="AH22" s="245">
        <f t="shared" ca="1" si="60"/>
        <v>1.01051</v>
      </c>
      <c r="AI22" s="1"/>
    </row>
    <row r="23" spans="2:80" s="2" customFormat="1" x14ac:dyDescent="0.2">
      <c r="C23" s="2" t="str">
        <f t="shared" si="50"/>
        <v>Raslo Winners</v>
      </c>
      <c r="D23" s="1">
        <f t="shared" ca="1" si="33"/>
        <v>3</v>
      </c>
      <c r="E23" s="1">
        <f t="shared" ca="1" si="34"/>
        <v>2</v>
      </c>
      <c r="F23" s="1">
        <f t="shared" ca="1" si="35"/>
        <v>0</v>
      </c>
      <c r="G23" s="1">
        <f t="shared" ca="1" si="36"/>
        <v>1</v>
      </c>
      <c r="H23" s="1">
        <f t="shared" ca="1" si="37"/>
        <v>6</v>
      </c>
      <c r="I23" s="1">
        <f t="shared" ca="1" si="37"/>
        <v>4</v>
      </c>
      <c r="J23" s="13">
        <f t="shared" ca="1" si="37"/>
        <v>2</v>
      </c>
      <c r="K23" s="1">
        <f t="shared" ca="1" si="38"/>
        <v>6</v>
      </c>
      <c r="L23" s="30">
        <f t="shared" ca="1" si="39"/>
        <v>6502006</v>
      </c>
      <c r="M23" s="14">
        <f t="shared" ca="1" si="51"/>
        <v>1</v>
      </c>
      <c r="N23" s="14">
        <f t="array" aca="1" ref="N23" ca="1">IF($AI$15,SUM(($K$17:$K$25&gt;=K23)/COUNTIF($K$17:$K$25,$K$17:$K$25)),SUM(($L$17:$L$25&gt;=L23)/COUNTIF($L$17:$L$25,$L$17:$L$25)))</f>
        <v>3</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f t="shared" ca="1" si="48"/>
        <v>500000</v>
      </c>
      <c r="X23" s="22">
        <f t="shared" ca="1" si="59"/>
        <v>3.0108999999999999</v>
      </c>
      <c r="Y23" s="13">
        <f>PreliminaryRound!$AL18</f>
        <v>0</v>
      </c>
      <c r="Z23" s="1">
        <f t="shared" ca="1" si="52"/>
        <v>1.9</v>
      </c>
      <c r="AA23" s="1">
        <f t="shared" ca="1" si="53"/>
        <v>0</v>
      </c>
      <c r="AB23" s="1">
        <f t="shared" ca="1" si="54"/>
        <v>0</v>
      </c>
      <c r="AC23" s="1">
        <f t="shared" ca="1" si="55"/>
        <v>0</v>
      </c>
      <c r="AD23" s="242">
        <f t="shared" ca="1" si="56"/>
        <v>1</v>
      </c>
      <c r="AE23" s="30">
        <f t="shared" ca="1" si="49"/>
        <v>502006</v>
      </c>
      <c r="AF23" s="1">
        <f t="shared" ca="1" si="57"/>
        <v>4</v>
      </c>
      <c r="AG23" s="1">
        <f t="shared" ca="1" si="58"/>
        <v>1</v>
      </c>
      <c r="AH23" s="245">
        <f t="shared" ca="1" si="60"/>
        <v>1.01041</v>
      </c>
      <c r="AI23" s="1"/>
    </row>
    <row r="24" spans="2:80" s="2" customFormat="1" x14ac:dyDescent="0.2">
      <c r="C24" s="2" t="str">
        <f t="shared" si="50"/>
        <v>Knock Out Rangers</v>
      </c>
      <c r="D24" s="1">
        <f t="shared" ca="1" si="33"/>
        <v>3</v>
      </c>
      <c r="E24" s="1">
        <f t="shared" ca="1" si="34"/>
        <v>1</v>
      </c>
      <c r="F24" s="1">
        <f t="shared" ca="1" si="35"/>
        <v>1</v>
      </c>
      <c r="G24" s="1">
        <f t="shared" ca="1" si="36"/>
        <v>1</v>
      </c>
      <c r="H24" s="1">
        <f t="shared" ref="H24:J24" ca="1" si="61">G11</f>
        <v>9</v>
      </c>
      <c r="I24" s="1">
        <f t="shared" ca="1" si="61"/>
        <v>6</v>
      </c>
      <c r="J24" s="13">
        <f t="shared" ca="1" si="61"/>
        <v>3</v>
      </c>
      <c r="K24" s="1">
        <f t="shared" ca="1" si="38"/>
        <v>4</v>
      </c>
      <c r="L24" s="30">
        <f t="shared" ca="1" si="39"/>
        <v>4503009</v>
      </c>
      <c r="M24" s="14">
        <f t="shared" ca="1" si="51"/>
        <v>1</v>
      </c>
      <c r="N24" s="14">
        <f t="array" aca="1" ref="N24" ca="1">IF($AI$15,SUM(($K$17:$K$25&gt;=K24)/COUNTIF($K$17:$K$25,$K$17:$K$25)),SUM(($L$17:$L$25&gt;=L24)/COUNTIF($L$17:$L$25,$L$17:$L$25)))</f>
        <v>5</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f t="shared" ca="1" si="48"/>
        <v>500000</v>
      </c>
      <c r="X24" s="22">
        <f t="shared" ca="1" si="59"/>
        <v>5.0108999999999995</v>
      </c>
      <c r="Y24" s="13">
        <f>PreliminaryRound!$AL19</f>
        <v>0</v>
      </c>
      <c r="Z24" s="1">
        <f t="shared" ca="1" si="52"/>
        <v>1.9</v>
      </c>
      <c r="AA24" s="1">
        <f t="shared" ca="1" si="53"/>
        <v>0</v>
      </c>
      <c r="AB24" s="1">
        <f t="shared" ca="1" si="54"/>
        <v>0</v>
      </c>
      <c r="AC24" s="1">
        <f t="shared" ca="1" si="55"/>
        <v>0</v>
      </c>
      <c r="AD24" s="242">
        <f t="shared" ca="1" si="56"/>
        <v>5</v>
      </c>
      <c r="AE24" s="30">
        <f t="shared" ca="1" si="49"/>
        <v>503009</v>
      </c>
      <c r="AF24" s="1">
        <f t="shared" ca="1" si="57"/>
        <v>3</v>
      </c>
      <c r="AG24" s="1">
        <f t="shared" ca="1" si="58"/>
        <v>1</v>
      </c>
      <c r="AH24" s="245">
        <f t="shared" ca="1" si="60"/>
        <v>5.0103099999999996</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1</v>
      </c>
      <c r="N25" s="14">
        <f t="array" aca="1" ref="N25" ca="1">IF($AI$15,SUM(($K$17:$K$25&gt;=K25)/COUNTIF($K$17:$K$25,$K$17:$K$25)),SUM(($L$17:$L$25&gt;=L25)/COUNTIF($L$17:$L$25,$L$17:$L$25)))</f>
        <v>8</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f t="shared" ca="1" si="48"/>
        <v>500000</v>
      </c>
      <c r="X25" s="23">
        <f t="shared" ca="1" si="59"/>
        <v>108.01089999999999</v>
      </c>
      <c r="Y25" s="13">
        <f>PreliminaryRound!$AL20</f>
        <v>0</v>
      </c>
      <c r="Z25" s="1">
        <f t="shared" ca="1" si="52"/>
        <v>1.9</v>
      </c>
      <c r="AA25" s="1">
        <f t="shared" ca="1" si="53"/>
        <v>0</v>
      </c>
      <c r="AB25" s="1">
        <f t="shared" ca="1" si="54"/>
        <v>0</v>
      </c>
      <c r="AC25" s="1">
        <f t="shared" ca="1" si="55"/>
        <v>0</v>
      </c>
      <c r="AD25" s="242">
        <f t="shared" ca="1" si="56"/>
        <v>8</v>
      </c>
      <c r="AE25" s="30">
        <f t="shared" ca="1" si="49"/>
        <v>500000</v>
      </c>
      <c r="AF25" s="1">
        <f t="shared" ca="1" si="57"/>
        <v>6</v>
      </c>
      <c r="AG25" s="1">
        <f t="shared" ca="1" si="58"/>
        <v>1</v>
      </c>
      <c r="AH25" s="246">
        <f t="shared" ca="1" si="60"/>
        <v>108.01061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$F$4</f>
        <v>1. FC Riedwald</v>
      </c>
      <c r="BT29" s="2" t="str">
        <f>$F$5</f>
        <v>FC Barcelona</v>
      </c>
      <c r="BU29" s="2" t="str">
        <f>$F$6</f>
        <v>Eintracht Frankfurt</v>
      </c>
      <c r="BV29" s="2" t="str">
        <f>$F$7</f>
        <v>Maibach 1822 eV</v>
      </c>
      <c r="BW29" s="2" t="str">
        <f>$F$8</f>
        <v>VFB Essenheim</v>
      </c>
      <c r="BX29" s="2" t="str">
        <f>$F$9</f>
        <v>Fun Kickers Oes</v>
      </c>
      <c r="BY29" s="2" t="str">
        <f>$F$10</f>
        <v>Raslo Winners</v>
      </c>
      <c r="BZ29" s="2" t="str">
        <f>$F$11</f>
        <v>Knock Out Rangers</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0</v>
      </c>
      <c r="BV30" s="8">
        <f t="shared" ca="1" si="64"/>
        <v>0</v>
      </c>
      <c r="BW30" s="8">
        <f t="shared" ca="1" si="64"/>
        <v>0</v>
      </c>
      <c r="BX30" s="8">
        <f t="shared" ca="1" si="64"/>
        <v>2</v>
      </c>
      <c r="BY30" s="8">
        <f t="shared" ca="1" si="64"/>
        <v>0</v>
      </c>
      <c r="BZ30" s="8">
        <f t="shared" ca="1" si="64"/>
        <v>2</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0</v>
      </c>
      <c r="BT31" s="7"/>
      <c r="BU31" s="8">
        <f t="shared" ref="BU31:CA31" ca="1" si="67">SUMIFS($X$64:$X$135,$V$64:$V$135,$BR31,$W$64:$W$135,BU$29)+SUMIFS($Y$64:$Y$135,$W$64:$W$135,$BR31,$V$64:$V$135,BU$29)</f>
        <v>0</v>
      </c>
      <c r="BV31" s="8">
        <f t="shared" ca="1" si="67"/>
        <v>0</v>
      </c>
      <c r="BW31" s="8">
        <f t="shared" ca="1" si="67"/>
        <v>6</v>
      </c>
      <c r="BX31" s="8">
        <f t="shared" ca="1" si="67"/>
        <v>0</v>
      </c>
      <c r="BY31" s="8">
        <f t="shared" ca="1" si="67"/>
        <v>4</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0</v>
      </c>
      <c r="BT32" s="9">
        <f t="shared" ref="BT32:BT38" ca="1" si="68">SUMIFS($X$64:$X$135,$V$64:$V$135,$BR32,$W$64:$W$135,BT$29)+SUMIFS($Y$64:$Y$135,$W$64:$W$135,$BR32,$V$64:$V$135,BT$29)</f>
        <v>0</v>
      </c>
      <c r="BU32" s="7"/>
      <c r="BV32" s="8">
        <f t="shared" ref="BV32:CA32" ca="1" si="69">SUMIFS($X$64:$X$135,$V$64:$V$135,$BR32,$W$64:$W$135,BV$29)+SUMIFS($Y$64:$Y$135,$W$64:$W$135,$BR32,$V$64:$V$135,BV$29)</f>
        <v>3</v>
      </c>
      <c r="BW32" s="8">
        <f t="shared" ca="1" si="69"/>
        <v>0</v>
      </c>
      <c r="BX32" s="8">
        <f t="shared" ca="1" si="69"/>
        <v>4</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0</v>
      </c>
      <c r="BT33" s="9">
        <f t="shared" ca="1" si="68"/>
        <v>0</v>
      </c>
      <c r="BU33" s="9">
        <f t="shared" ref="BU33:BU38" ca="1" si="70">SUMIFS($X$64:$X$135,$V$64:$V$135,$BR33,$W$64:$W$135,BU$29)+SUMIFS($Y$64:$Y$135,$W$64:$W$135,$BR33,$V$64:$V$135,BU$29)</f>
        <v>1</v>
      </c>
      <c r="BV33" s="7"/>
      <c r="BW33" s="8">
        <f ca="1">SUMIFS($X$64:$X$135,$V$64:$V$135,$BR33,$W$64:$W$135,BW$29)+SUMIFS($Y$64:$Y$135,$W$64:$W$135,$BR33,$V$64:$V$135,BW$29)</f>
        <v>2</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1</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0</v>
      </c>
      <c r="BT34" s="9">
        <f t="shared" ca="1" si="68"/>
        <v>0</v>
      </c>
      <c r="BU34" s="9">
        <f t="shared" ca="1" si="7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Fun Kickers Oes</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Fun Kickers Oes</v>
      </c>
      <c r="BS35" s="9">
        <f t="shared" ca="1" si="66"/>
        <v>4</v>
      </c>
      <c r="BT35" s="9">
        <f t="shared" ca="1" si="68"/>
        <v>0</v>
      </c>
      <c r="BU35" s="9">
        <f t="shared" ca="1" si="70"/>
        <v>2</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3</v>
      </c>
      <c r="CA35" s="8">
        <f ca="1">SUMIFS($X$64:$X$135,$V$64:$V$135,$BR35,$W$64:$W$135,CA$29)+SUMIFS($Y$64:$Y$135,$W$64:$W$135,$BR35,$V$64:$V$135,CA$29)</f>
        <v>0</v>
      </c>
      <c r="CB35" s="4"/>
    </row>
    <row r="36" spans="2:80" s="2" customFormat="1" x14ac:dyDescent="0.2">
      <c r="C36" s="2" t="str">
        <f t="shared" si="65"/>
        <v>Raslo Winners</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Raslo Winners</v>
      </c>
      <c r="BS36" s="9">
        <f t="shared" ca="1" si="66"/>
        <v>2</v>
      </c>
      <c r="BT36" s="9">
        <f t="shared" ca="1" si="68"/>
        <v>1</v>
      </c>
      <c r="BU36" s="9">
        <f t="shared" ca="1" si="70"/>
        <v>0</v>
      </c>
      <c r="BV36" s="9">
        <f ca="1">SUMIFS($X$64:$X$135,$V$64:$V$135,$BR36,$W$64:$W$135,BV$29)+SUMIFS($Y$64:$Y$135,$W$64:$W$135,$BR36,$V$64:$V$135,BV$29)</f>
        <v>0</v>
      </c>
      <c r="BW36" s="9">
        <f ca="1">SUMIFS($X$64:$X$135,$V$64:$V$135,$BR36,$W$64:$W$135,BW$29)+SUMIFS($Y$64:$Y$135,$W$64:$W$135,$BR36,$V$64:$V$135,BW$29)</f>
        <v>3</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Knock Out Rangers</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Knock Out Rangers</v>
      </c>
      <c r="BS37" s="9">
        <f t="shared" ca="1" si="66"/>
        <v>6</v>
      </c>
      <c r="BT37" s="9">
        <f t="shared" ca="1" si="68"/>
        <v>0</v>
      </c>
      <c r="BU37" s="9">
        <f t="shared" ca="1" si="70"/>
        <v>0</v>
      </c>
      <c r="BV37" s="9">
        <f ca="1">SUMIFS($X$64:$X$135,$V$64:$V$135,$BR37,$W$64:$W$135,BV$29)+SUMIFS($Y$64:$Y$135,$W$64:$W$135,$BR37,$V$64:$V$135,BV$29)</f>
        <v>1</v>
      </c>
      <c r="BW37" s="9">
        <f ca="1">SUMIFS($X$64:$X$135,$V$64:$V$135,$BR37,$W$64:$W$135,BW$29)+SUMIFS($Y$64:$Y$135,$W$64:$W$135,$BR37,$V$64:$V$135,BW$29)</f>
        <v>0</v>
      </c>
      <c r="BX37" s="9">
        <f ca="1">SUMIFS($X$64:$X$135,$V$64:$V$135,$BR37,$W$64:$W$135,BX$29)+SUMIFS($Y$64:$Y$135,$W$64:$W$135,$BR37,$V$64:$V$135,BX$29)</f>
        <v>2</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Fun Kickers Oes</v>
      </c>
      <c r="BY40" s="2" t="str">
        <f>$F$10</f>
        <v>Raslo Winners</v>
      </c>
      <c r="BZ40" s="2" t="str">
        <f>$F$11</f>
        <v>Knock Out Rangers</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0</v>
      </c>
      <c r="BU41" s="8">
        <f ca="1">BU30-BS32</f>
        <v>0</v>
      </c>
      <c r="BV41" s="8">
        <f ca="1">BV30-BS33</f>
        <v>0</v>
      </c>
      <c r="BW41" s="8">
        <f ca="1">BW30-BS34</f>
        <v>0</v>
      </c>
      <c r="BX41" s="8">
        <f ca="1">BX30-BS35</f>
        <v>-2</v>
      </c>
      <c r="BY41" s="8">
        <f ca="1">BY30-BS36</f>
        <v>-2</v>
      </c>
      <c r="BZ41" s="8">
        <f ca="1">BZ30-BS37</f>
        <v>-4</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0</v>
      </c>
      <c r="BT42" s="7"/>
      <c r="BU42" s="8">
        <f ca="1">BU31-BT32</f>
        <v>0</v>
      </c>
      <c r="BV42" s="8">
        <f ca="1">BV31-BT33</f>
        <v>0</v>
      </c>
      <c r="BW42" s="8">
        <f ca="1">BW31-BT34</f>
        <v>6</v>
      </c>
      <c r="BX42" s="8">
        <f ca="1">BX31-BT35</f>
        <v>0</v>
      </c>
      <c r="BY42" s="8">
        <f ca="1">BY31-BT36</f>
        <v>3</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0</v>
      </c>
      <c r="BT43" s="9">
        <f ca="1">IF(BU42="","",-1*BU42)</f>
        <v>0</v>
      </c>
      <c r="BU43" s="7"/>
      <c r="BV43" s="8">
        <f ca="1">BV32-BU33</f>
        <v>2</v>
      </c>
      <c r="BW43" s="8">
        <f ca="1">BW32-BU34</f>
        <v>0</v>
      </c>
      <c r="BX43" s="8">
        <f ca="1">BX32-BU35</f>
        <v>2</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0</v>
      </c>
      <c r="BT44" s="9">
        <f ca="1">IF(BV42="","",-1*BV42)</f>
        <v>0</v>
      </c>
      <c r="BU44" s="9">
        <f ca="1">IF(BV43="","",-1*BV43)</f>
        <v>-2</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-6</v>
      </c>
      <c r="BU45" s="9">
        <f ca="1">IF(BW43="","",-1*BW43)</f>
        <v>0</v>
      </c>
      <c r="BV45" s="9">
        <f ca="1">IF(BW44="","",-1*BW44)</f>
        <v>0</v>
      </c>
      <c r="BW45" s="7"/>
      <c r="BX45" s="8">
        <f ca="1">BX34-BW35</f>
        <v>0</v>
      </c>
      <c r="BY45" s="8">
        <f ca="1">BY34-BW36</f>
        <v>-3</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Fun Kickers Oes</v>
      </c>
      <c r="BS46" s="9">
        <f ca="1">IF(BX41="","",-1*BX41)</f>
        <v>2</v>
      </c>
      <c r="BT46" s="9">
        <f ca="1">IF(BX42="","",-1*BX42)</f>
        <v>0</v>
      </c>
      <c r="BU46" s="9">
        <f ca="1">IF(BX43="","",-1*BX43)</f>
        <v>-2</v>
      </c>
      <c r="BV46" s="9">
        <f ca="1">IF(BX44="","",-1*BX44)</f>
        <v>0</v>
      </c>
      <c r="BW46" s="9">
        <f ca="1">IF(BX45="","",-1*BX45)</f>
        <v>0</v>
      </c>
      <c r="BX46" s="7"/>
      <c r="BY46" s="8">
        <f ca="1">BY35-BX36</f>
        <v>0</v>
      </c>
      <c r="BZ46" s="8">
        <f ca="1">BZ35-BX37</f>
        <v>1</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Raslo Winners</v>
      </c>
      <c r="BS47" s="9">
        <f ca="1">IF(BY41="","",-1*BY41)</f>
        <v>2</v>
      </c>
      <c r="BT47" s="9">
        <f ca="1">IF(BY42="","",-1*BY42)</f>
        <v>-3</v>
      </c>
      <c r="BU47" s="9">
        <f ca="1">IF(BY43="","",-1*BY43)</f>
        <v>0</v>
      </c>
      <c r="BV47" s="9">
        <f ca="1">IF(BY44="","",-1*BY44)</f>
        <v>0</v>
      </c>
      <c r="BW47" s="9">
        <f ca="1">IF(BY45="","",-1*BY45)</f>
        <v>3</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Knock Out Rangers</v>
      </c>
      <c r="BS48" s="9">
        <f ca="1">IF(BZ41="","",-1*BZ41)</f>
        <v>4</v>
      </c>
      <c r="BT48" s="9">
        <f ca="1">IF(BZ42="","",-1*BZ42)</f>
        <v>0</v>
      </c>
      <c r="BU48" s="9">
        <f ca="1">IF(BZ43="","",-1*BZ43)</f>
        <v>0</v>
      </c>
      <c r="BV48" s="9">
        <f ca="1">IF(BZ44="","",-1*BZ44)</f>
        <v>0</v>
      </c>
      <c r="BW48" s="9">
        <f ca="1">IF(BZ45="","",-1*BZ45)</f>
        <v>0</v>
      </c>
      <c r="BX48" s="9">
        <f ca="1">IF(BZ46="","",-1*BZ46)</f>
        <v>-1</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Fun Kickers Oes</v>
      </c>
      <c r="BY51" s="2" t="str">
        <f>$F$10</f>
        <v>Raslo Winners</v>
      </c>
      <c r="BZ51" s="2" t="str">
        <f>$F$11</f>
        <v>Knock Out Rangers</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0</v>
      </c>
      <c r="BW52" s="8">
        <f t="shared" ca="1" si="74"/>
        <v>0</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3</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0</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0</v>
      </c>
      <c r="BX54" s="8">
        <f ca="1">SUMIFS($AE$64:$AE$135,$V$64:$V$135,$BR54,$W$64:$W$135,BX$51)+SUMIFS($AF$64:$AF$135,$W$64:$W$135,$BR54,$V$64:$V$135,BX$51)</f>
        <v>3</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1</v>
      </c>
      <c r="BX55" s="8">
        <f ca="1">SUMIFS($AE$64:$AE$135,$V$64:$V$135,$BR55,$W$64:$W$135,BX$51)+SUMIFS($AF$64:$AF$135,$W$64:$W$135,$BR55,$V$64:$V$135,BX$51)</f>
        <v>0</v>
      </c>
      <c r="BY55" s="8">
        <f ca="1">SUMIFS($AE$64:$AE$135,$V$64:$V$135,$BR55,$W$64:$W$135,BY$51)+SUMIFS($AF$64:$AF$135,$W$64:$W$135,$BR55,$V$64:$V$135,BY$51)</f>
        <v>0</v>
      </c>
      <c r="BZ55" s="8">
        <f t="shared" ca="1" si="75"/>
        <v>1</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0</v>
      </c>
      <c r="BT56" s="9">
        <f t="shared" ca="1" si="77"/>
        <v>0</v>
      </c>
      <c r="BU56" s="9">
        <f t="shared" ca="1" si="78"/>
        <v>0</v>
      </c>
      <c r="BV56" s="9">
        <f ca="1">SUMIFS($AE$64:$AE$135,$V$64:$V$135,$BR56,$W$64:$W$135,BV$51)+SUMIFS($AF$64:$AF$135,$W$64:$W$135,$BR56,$V$64:$V$135,BV$51)</f>
        <v>1</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Fun Kickers Oes</v>
      </c>
      <c r="BS57" s="9">
        <f t="shared" ca="1" si="76"/>
        <v>3</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3</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Raslo Winners</v>
      </c>
      <c r="BS58" s="9">
        <f t="shared" ca="1" si="76"/>
        <v>3</v>
      </c>
      <c r="BT58" s="9">
        <f t="shared" ca="1" si="77"/>
        <v>0</v>
      </c>
      <c r="BU58" s="9">
        <f t="shared" ca="1" si="78"/>
        <v>0</v>
      </c>
      <c r="BV58" s="9">
        <f ca="1">SUMIFS($AE$64:$AE$135,$V$64:$V$135,$BR58,$W$64:$W$135,BV$51)+SUMIFS($AF$64:$AF$135,$W$64:$W$135,$BR58,$V$64:$V$135,BV$51)</f>
        <v>0</v>
      </c>
      <c r="BW58" s="9">
        <f ca="1">SUMIFS($AE$64:$AE$135,$V$64:$V$135,$BR58,$W$64:$W$135,BW$51)+SUMIFS($AF$64:$AF$135,$W$64:$W$135,$BR58,$V$64:$V$135,BW$51)</f>
        <v>3</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Knock Out Rangers</v>
      </c>
      <c r="BS59" s="9">
        <f t="shared" ca="1" si="76"/>
        <v>3</v>
      </c>
      <c r="BT59" s="9">
        <f t="shared" ca="1" si="77"/>
        <v>0</v>
      </c>
      <c r="BU59" s="9">
        <f t="shared" ca="1" si="78"/>
        <v>0</v>
      </c>
      <c r="BV59" s="9">
        <f ca="1">SUMIFS($AE$64:$AE$135,$V$64:$V$135,$BR59,$W$64:$W$135,BV$51)+SUMIFS($AF$64:$AF$135,$W$64:$W$135,$BR59,$V$64:$V$135,BV$51)</f>
        <v>1</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161"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IF(Planning!$C$7="","",Planning!$C$7)</f>
        <v>1. FC Riedwald</v>
      </c>
      <c r="U64" s="66" t="s">
        <v>7</v>
      </c>
      <c r="V64" s="40" t="str">
        <f ca="1">Planning!$L6</f>
        <v>1. FC Riedwald</v>
      </c>
      <c r="W64" s="33" t="str">
        <f ca="1">Planning!$N6</f>
        <v>Knock Out Rangers</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1. FC RiedwaldKnock Out Rangers</v>
      </c>
      <c r="AA64" s="33">
        <f ca="1">IF(AND(V64&lt;&gt;"",W64&lt;&gt;"",V64&lt;&gt;W64,X64&lt;&gt;"",Y64&lt;&gt;""),1,0)</f>
        <v>1</v>
      </c>
      <c r="AB64" s="142" t="str">
        <f ca="1">IF(AA64&gt;0,X64&amp;Language!$E$80&amp;Y64,"")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IF(Planning!$C$9="","",Planning!$C$9)</f>
        <v>FC Barcelona</v>
      </c>
      <c r="U65" s="67" t="s">
        <v>8</v>
      </c>
      <c r="V65" s="41" t="str">
        <f ca="1">Planning!$L7</f>
        <v>Mainz 05</v>
      </c>
      <c r="W65" s="13" t="str">
        <f ca="1">Planning!$N7</f>
        <v>Borussia Heine</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79">V65&amp;W65</f>
        <v>Mainz 05Borussia Heine</v>
      </c>
      <c r="AA65" s="13">
        <f t="shared" ref="AA65:AA93" ca="1" si="80">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IF(Planning!$C$11="","",Planning!$C$11)</f>
        <v>Eintracht Frankfurt</v>
      </c>
      <c r="U66" s="67" t="s">
        <v>9</v>
      </c>
      <c r="V66" s="41" t="str">
        <f ca="1">Planning!$L8</f>
        <v>Raslo Winners</v>
      </c>
      <c r="W66" s="13" t="str">
        <f ca="1">Planning!$N8</f>
        <v>FC Barcelona</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79"/>
        <v>Raslo WinnersFC Barcelona</v>
      </c>
      <c r="AA66" s="13">
        <f t="shared" ca="1" si="80"/>
        <v>1</v>
      </c>
      <c r="AB66" s="13" t="str">
        <f ca="1">IF(AA66&gt;0,X66&amp;Language!$E$80&amp;Y66,"")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t="s">
        <v>10</v>
      </c>
      <c r="Q67" s="62" t="str">
        <f>IF(Planning!$C$13="","",Planning!$C$13)</f>
        <v>Maibach 1822 eV</v>
      </c>
      <c r="U67" s="67" t="s">
        <v>10</v>
      </c>
      <c r="V67" s="41" t="str">
        <f ca="1">Planning!$L9</f>
        <v>VFL Ronsdorf</v>
      </c>
      <c r="W67" s="13" t="str">
        <f ca="1">Planning!$N9</f>
        <v>Inter Mailand</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79"/>
        <v>VFL RonsdorfInter Mailand</v>
      </c>
      <c r="AA67" s="13">
        <f t="shared" ca="1" si="80"/>
        <v>1</v>
      </c>
      <c r="AB67" s="13" t="str">
        <f ca="1">IF(AA67&gt;0,X67&amp;Language!$E$80&amp;Y67,"")</f>
        <v>2-5</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t="s">
        <v>11</v>
      </c>
      <c r="Q68" s="62" t="str">
        <f>IF(Planning!$C$15="","",Planning!$C$15)</f>
        <v>VFB Essenheim</v>
      </c>
      <c r="U68" s="67" t="s">
        <v>11</v>
      </c>
      <c r="V68" s="41" t="str">
        <f ca="1">Planning!$L10</f>
        <v>Eintracht Frankfurt</v>
      </c>
      <c r="W68" s="13" t="str">
        <f ca="1">Planning!$N10</f>
        <v>Fun Kickers Oes</v>
      </c>
      <c r="X68" s="13">
        <f ca="1">IF(AND(PreliminaryRound!$I16&lt;&gt;"",PreliminaryRound!$K16&lt;&gt;"",PreliminaryRound!$F16&lt;&gt;PreliminaryRound!$H16,$V68&lt;&gt;"",$W68&lt;&gt;""),PreliminaryRound!$I16,"")</f>
        <v>4</v>
      </c>
      <c r="Y68" s="36">
        <f ca="1">IF(AND(PreliminaryRound!$I16&lt;&gt;"",PreliminaryRound!$K16&lt;&gt;"",PreliminaryRound!$F16&lt;&gt;PreliminaryRound!$H16,$V68&lt;&gt;"",$W68&lt;&gt;""),PreliminaryRound!$K16,"")</f>
        <v>2</v>
      </c>
      <c r="Z68" s="35" t="str">
        <f t="shared" ca="1" si="79"/>
        <v>Eintracht FrankfurtFun Kickers Oes</v>
      </c>
      <c r="AA68" s="13">
        <f t="shared" ca="1" si="80"/>
        <v>1</v>
      </c>
      <c r="AB68" s="13" t="str">
        <f ca="1">IF(AA68&gt;0,X68&amp;Language!$E$80&amp;Y68,"")</f>
        <v>4-2</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t="s">
        <v>12</v>
      </c>
      <c r="Q69" s="62" t="str">
        <f>IF(Planning!$C$17="","",Planning!$C$17)</f>
        <v>Fun Kickers Oes</v>
      </c>
      <c r="U69" s="67" t="s">
        <v>12</v>
      </c>
      <c r="V69" s="41" t="str">
        <f ca="1">Planning!$L11</f>
        <v>SSV Wildbach</v>
      </c>
      <c r="W69" s="13" t="str">
        <f ca="1">Planning!$N11</f>
        <v>AC Roma</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79"/>
        <v>SSV WildbachAC Roma</v>
      </c>
      <c r="AA69" s="13">
        <f t="shared" ca="1" si="80"/>
        <v>1</v>
      </c>
      <c r="AB69" s="13" t="str">
        <f ca="1">IF(AA69&gt;0,X69&amp;Language!$E$80&amp;Y69,"")</f>
        <v>0-5</v>
      </c>
      <c r="AD69" s="144"/>
      <c r="AE69" s="149">
        <f ca="1">IF($AA69=0,"",IF($X69&gt;$Y69,Settings!$C$4,IF($X69=$Y69,1,0)))</f>
        <v>0</v>
      </c>
      <c r="AF69" s="144">
        <f ca="1">IF($AA69=0,"",IF($X69&lt;$Y69,Settings!$C$4,IF($X69=$Y69,1,0)))</f>
        <v>3</v>
      </c>
      <c r="AH69" s="4"/>
      <c r="AI69" s="13"/>
      <c r="AJ69" s="13"/>
      <c r="AK69" s="13"/>
      <c r="AL69" s="13"/>
      <c r="AM69" s="4"/>
      <c r="AN69" s="13"/>
      <c r="AO69" s="13"/>
      <c r="AP69" s="13"/>
      <c r="AQ69" s="13"/>
    </row>
    <row r="70" spans="2:43" s="2" customFormat="1" x14ac:dyDescent="0.2">
      <c r="P70" s="47" t="s">
        <v>17</v>
      </c>
      <c r="Q70" s="62" t="str">
        <f>IF(Planning!$C$19="","",Planning!$C$19)</f>
        <v>Raslo Winners</v>
      </c>
      <c r="U70" s="67" t="s">
        <v>17</v>
      </c>
      <c r="V70" s="41" t="str">
        <f ca="1">Planning!$L12</f>
        <v>VFB Essenheim</v>
      </c>
      <c r="W70" s="13" t="str">
        <f ca="1">Planning!$N12</f>
        <v>Maibach 1822 eV</v>
      </c>
      <c r="X70" s="13">
        <f ca="1">IF(AND(PreliminaryRound!$I18&lt;&gt;"",PreliminaryRound!$K18&lt;&gt;"",PreliminaryRound!$F18&lt;&gt;PreliminaryRound!$H18,$V70&lt;&gt;"",$W70&lt;&gt;""),PreliminaryRound!$I18,"")</f>
        <v>2</v>
      </c>
      <c r="Y70" s="36">
        <f ca="1">IF(AND(PreliminaryRound!$I18&lt;&gt;"",PreliminaryRound!$K18&lt;&gt;"",PreliminaryRound!$F18&lt;&gt;PreliminaryRound!$H18,$V70&lt;&gt;"",$W70&lt;&gt;""),PreliminaryRound!$K18,"")</f>
        <v>2</v>
      </c>
      <c r="Z70" s="35" t="str">
        <f t="shared" ca="1" si="79"/>
        <v>VFB EssenheimMaibach 1822 eV</v>
      </c>
      <c r="AA70" s="13">
        <f t="shared" ca="1" si="80"/>
        <v>1</v>
      </c>
      <c r="AB70" s="13" t="str">
        <f ca="1">IF(AA70&gt;0,X70&amp;Language!$E$80&amp;Y70,"")</f>
        <v>2-2</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t="s">
        <v>18</v>
      </c>
      <c r="Q71" s="62" t="str">
        <f>IF(Planning!$C$21="","",Planning!$C$21)</f>
        <v>Knock Out Rangers</v>
      </c>
      <c r="U71" s="67" t="s">
        <v>18</v>
      </c>
      <c r="V71" s="41" t="str">
        <f ca="1">Planning!$L13</f>
        <v>FC Grönlingen</v>
      </c>
      <c r="W71" s="13" t="str">
        <f ca="1">Planning!$N13</f>
        <v>Manchester City</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5</v>
      </c>
      <c r="Z71" s="35" t="str">
        <f t="shared" ca="1" si="79"/>
        <v>FC GrönlingenManchester City</v>
      </c>
      <c r="AA71" s="13">
        <f t="shared" ca="1" si="80"/>
        <v>1</v>
      </c>
      <c r="AB71" s="13" t="str">
        <f ca="1">IF(AA71&gt;0,X71&amp;Language!$E$80&amp;Y71,"")</f>
        <v>2-5</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t="s">
        <v>19</v>
      </c>
      <c r="Q72" s="63" t="str">
        <f>IF(Planning!$C$23="","",Planning!$C$23)</f>
        <v/>
      </c>
      <c r="U72" s="67" t="s">
        <v>19</v>
      </c>
      <c r="V72" s="41" t="str">
        <f ca="1">Planning!$L14</f>
        <v>Raslo Winners</v>
      </c>
      <c r="W72" s="13" t="str">
        <f ca="1">Planning!$N14</f>
        <v>1. FC Riedwald</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79"/>
        <v>Raslo Winners1. FC Riedwald</v>
      </c>
      <c r="AA72" s="13">
        <f t="shared" ca="1" si="80"/>
        <v>1</v>
      </c>
      <c r="AB72" s="13" t="str">
        <f ca="1">IF(AA72&gt;0,X72&amp;Language!$E$80&amp;Y72,"")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VFL Ronsdorf</v>
      </c>
      <c r="W73" s="13" t="str">
        <f ca="1">Planning!$N15</f>
        <v>Mainz 05</v>
      </c>
      <c r="X73" s="13">
        <f ca="1">IF(AND(PreliminaryRound!$I21&lt;&gt;"",PreliminaryRound!$K21&lt;&gt;"",PreliminaryRound!$F21&lt;&gt;PreliminaryRound!$H21,$V73&lt;&gt;"",$W73&lt;&gt;""),PreliminaryRound!$I21,"")</f>
        <v>2</v>
      </c>
      <c r="Y73" s="36">
        <f ca="1">IF(AND(PreliminaryRound!$I21&lt;&gt;"",PreliminaryRound!$K21&lt;&gt;"",PreliminaryRound!$F21&lt;&gt;PreliminaryRound!$H21,$V73&lt;&gt;"",$W73&lt;&gt;""),PreliminaryRound!$K21,"")</f>
        <v>6</v>
      </c>
      <c r="Z73" s="35" t="str">
        <f t="shared" ca="1" si="79"/>
        <v>VFL RonsdorfMainz 05</v>
      </c>
      <c r="AA73" s="13">
        <f t="shared" ca="1" si="80"/>
        <v>1</v>
      </c>
      <c r="AB73" s="13" t="str">
        <f ca="1">IF(AA73&gt;0,X73&amp;Language!$E$80&amp;Y73,"")</f>
        <v>2-6</v>
      </c>
      <c r="AD73" s="144"/>
      <c r="AE73" s="149">
        <f ca="1">IF($AA73=0,"",IF($X73&gt;$Y73,Settings!$C$4,IF($X73=$Y73,1,0)))</f>
        <v>0</v>
      </c>
      <c r="AF73" s="144">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Fun Kickers Oes</v>
      </c>
      <c r="W74" s="13" t="str">
        <f ca="1">Planning!$N16</f>
        <v>Knock Out Rangers</v>
      </c>
      <c r="X74" s="13">
        <f ca="1">IF(AND(PreliminaryRound!$I22&lt;&gt;"",PreliminaryRound!$K22&lt;&gt;"",PreliminaryRound!$F22&lt;&gt;PreliminaryRound!$H22,$V74&lt;&gt;"",$W74&lt;&gt;""),PreliminaryRound!$I22,"")</f>
        <v>3</v>
      </c>
      <c r="Y74" s="36">
        <f ca="1">IF(AND(PreliminaryRound!$I22&lt;&gt;"",PreliminaryRound!$K22&lt;&gt;"",PreliminaryRound!$F22&lt;&gt;PreliminaryRound!$H22,$V74&lt;&gt;"",$W74&lt;&gt;""),PreliminaryRound!$K22,"")</f>
        <v>2</v>
      </c>
      <c r="Z74" s="35" t="str">
        <f ca="1">V74&amp;W74</f>
        <v>Fun Kickers OesKnock Out Rangers</v>
      </c>
      <c r="AA74" s="13">
        <f t="shared" ca="1" si="80"/>
        <v>1</v>
      </c>
      <c r="AB74" s="13" t="str">
        <f ca="1">IF(AA74&gt;0,X74&amp;Language!$E$80&amp;Y74,"")</f>
        <v>3-2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AC Roma</v>
      </c>
      <c r="W75" s="13" t="str">
        <f ca="1">Planning!$N17</f>
        <v>Borussia Heine</v>
      </c>
      <c r="X75" s="13">
        <f ca="1">IF(AND(PreliminaryRound!$I23&lt;&gt;"",PreliminaryRound!$K23&lt;&gt;"",PreliminaryRound!$F23&lt;&gt;PreliminaryRound!$H23,$V75&lt;&gt;"",$W75&lt;&gt;""),PreliminaryRound!$I23,"")</f>
        <v>2</v>
      </c>
      <c r="Y75" s="36">
        <f ca="1">IF(AND(PreliminaryRound!$I23&lt;&gt;"",PreliminaryRound!$K23&lt;&gt;"",PreliminaryRound!$F23&lt;&gt;PreliminaryRound!$H23,$V75&lt;&gt;"",$W75&lt;&gt;""),PreliminaryRound!$K23,"")</f>
        <v>1</v>
      </c>
      <c r="Z75" s="35" t="str">
        <f t="shared" ref="Z75:Z93" ca="1" si="81">V75&amp;W75</f>
        <v>AC RomaBorussia Heine</v>
      </c>
      <c r="AA75" s="13">
        <f t="shared" ca="1" si="80"/>
        <v>1</v>
      </c>
      <c r="AB75" s="13" t="str">
        <f ca="1">IF(AA75&gt;0,X75&amp;Language!$E$80&amp;Y75,"")</f>
        <v>2-1</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VFB Essenheim</v>
      </c>
      <c r="X76" s="13">
        <f ca="1">IF(AND(PreliminaryRound!$I24&lt;&gt;"",PreliminaryRound!$K24&lt;&gt;"",PreliminaryRound!$F24&lt;&gt;PreliminaryRound!$H24,$V76&lt;&gt;"",$W76&lt;&gt;""),PreliminaryRound!$I24,"")</f>
        <v>6</v>
      </c>
      <c r="Y76" s="36">
        <f ca="1">IF(AND(PreliminaryRound!$I24&lt;&gt;"",PreliminaryRound!$K24&lt;&gt;"",PreliminaryRound!$F24&lt;&gt;PreliminaryRound!$H24,$V76&lt;&gt;"",$W76&lt;&gt;""),PreliminaryRound!$K24,"")</f>
        <v>0</v>
      </c>
      <c r="Z76" s="35" t="str">
        <f t="shared" ca="1" si="81"/>
        <v>FC BarcelonaVFB Essenheim</v>
      </c>
      <c r="AA76" s="13">
        <f t="shared" ca="1" si="80"/>
        <v>1</v>
      </c>
      <c r="AB76" s="13" t="str">
        <f ca="1">IF(AA76&gt;0,X76&amp;Language!$E$80&amp;Y76,"")</f>
        <v>6-0</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FC Grönlingen</v>
      </c>
      <c r="X77" s="13">
        <f ca="1">IF(AND(PreliminaryRound!$I25&lt;&gt;"",PreliminaryRound!$K25&lt;&gt;"",PreliminaryRound!$F25&lt;&gt;PreliminaryRound!$H25,$V77&lt;&gt;"",$W77&lt;&gt;""),PreliminaryRound!$I25,"")</f>
        <v>2</v>
      </c>
      <c r="Y77" s="36">
        <f ca="1">IF(AND(PreliminaryRound!$I25&lt;&gt;"",PreliminaryRound!$K25&lt;&gt;"",PreliminaryRound!$F25&lt;&gt;PreliminaryRound!$H25,$V77&lt;&gt;"",$W77&lt;&gt;""),PreliminaryRound!$K25,"")</f>
        <v>0</v>
      </c>
      <c r="Z77" s="35" t="str">
        <f t="shared" ca="1" si="81"/>
        <v>Inter MailandFC Grönlingen</v>
      </c>
      <c r="AA77" s="13">
        <f t="shared" ca="1" si="80"/>
        <v>1</v>
      </c>
      <c r="AB77" s="13" t="str">
        <f ca="1">IF(AA77&gt;0,X77&amp;Language!$E$80&amp;Y77,"")</f>
        <v>2-0</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Maibach 1822 eV</v>
      </c>
      <c r="W78" s="13" t="str">
        <f ca="1">Planning!$N20</f>
        <v>Eintracht Frankfurt</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3</v>
      </c>
      <c r="Z78" s="35" t="str">
        <f t="shared" ca="1" si="81"/>
        <v>Maibach 1822 eVEintracht Frankfurt</v>
      </c>
      <c r="AA78" s="13">
        <f t="shared" ca="1" si="80"/>
        <v>1</v>
      </c>
      <c r="AB78" s="13" t="str">
        <f ca="1">IF(AA78&gt;0,X78&amp;Language!$E$80&amp;Y78,"")</f>
        <v>1-3</v>
      </c>
      <c r="AD78" s="144"/>
      <c r="AE78" s="149">
        <f ca="1">IF($AA78=0,"",IF($X78&gt;$Y78,Settings!$C$4,IF($X78=$Y78,1,0)))</f>
        <v>0</v>
      </c>
      <c r="AF78" s="144">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Manchester City</v>
      </c>
      <c r="W79" s="13" t="str">
        <f ca="1">Planning!$N21</f>
        <v>SSV Wildbach</v>
      </c>
      <c r="X79" s="13">
        <f ca="1">IF(AND(PreliminaryRound!$I27&lt;&gt;"",PreliminaryRound!$K27&lt;&gt;"",PreliminaryRound!$F27&lt;&gt;PreliminaryRound!$H27,$V79&lt;&gt;"",$W79&lt;&gt;""),PreliminaryRound!$I27,"")</f>
        <v>7</v>
      </c>
      <c r="Y79" s="36">
        <f ca="1">IF(AND(PreliminaryRound!$I27&lt;&gt;"",PreliminaryRound!$K27&lt;&gt;"",PreliminaryRound!$F27&lt;&gt;PreliminaryRound!$H27,$V79&lt;&gt;"",$W79&lt;&gt;""),PreliminaryRound!$K27,"")</f>
        <v>2</v>
      </c>
      <c r="Z79" s="35" t="str">
        <f t="shared" ca="1" si="81"/>
        <v>Manchester CitySSV Wildbach</v>
      </c>
      <c r="AA79" s="13">
        <f t="shared" ca="1" si="80"/>
        <v>1</v>
      </c>
      <c r="AB79" s="13" t="str">
        <f ca="1">IF(AA79&gt;0,X79&amp;Language!$E$80&amp;Y79,"")</f>
        <v>7-2</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Fun Kickers Oes</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4</v>
      </c>
      <c r="Z80" s="35" t="str">
        <f t="shared" ca="1" si="81"/>
        <v>1. FC RiedwaldFun Kickers Oes</v>
      </c>
      <c r="AA80" s="13">
        <f t="shared" ca="1" si="80"/>
        <v>1</v>
      </c>
      <c r="AB80" s="13" t="str">
        <f ca="1">IF(AA80&gt;0,X80&amp;Language!$E$80&amp;Y80,"")</f>
        <v>2-4</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AC Roma</v>
      </c>
      <c r="X81" s="13">
        <f ca="1">IF(AND(PreliminaryRound!$I29&lt;&gt;"",PreliminaryRound!$K29&lt;&gt;"",PreliminaryRound!$F29&lt;&gt;PreliminaryRound!$H29,$V81&lt;&gt;"",$W81&lt;&gt;""),PreliminaryRound!$I29,"")</f>
        <v>1</v>
      </c>
      <c r="Y81" s="36">
        <f ca="1">IF(AND(PreliminaryRound!$I29&lt;&gt;"",PreliminaryRound!$K29&lt;&gt;"",PreliminaryRound!$F29&lt;&gt;PreliminaryRound!$H29,$V81&lt;&gt;"",$W81&lt;&gt;""),PreliminaryRound!$K29,"")</f>
        <v>5</v>
      </c>
      <c r="Z81" s="35" t="str">
        <f t="shared" ca="1" si="81"/>
        <v>Mainz 05AC Roma</v>
      </c>
      <c r="AA81" s="13">
        <f t="shared" ca="1" si="80"/>
        <v>1</v>
      </c>
      <c r="AB81" s="13" t="str">
        <f ca="1">IF(AA81&gt;0,X81&amp;Language!$E$80&amp;Y81,"")</f>
        <v>1-5</v>
      </c>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VFB Essenheim</v>
      </c>
      <c r="W82" s="13" t="str">
        <f ca="1">Planning!$N24</f>
        <v>Raslo Winners</v>
      </c>
      <c r="X82" s="13">
        <f ca="1">IF(AND(PreliminaryRound!$I30&lt;&gt;"",PreliminaryRound!$K30&lt;&gt;"",PreliminaryRound!$F30&lt;&gt;PreliminaryRound!$H30,$V82&lt;&gt;"",$W82&lt;&gt;""),PreliminaryRound!$I30,"")</f>
        <v>0</v>
      </c>
      <c r="Y82" s="36">
        <f ca="1">IF(AND(PreliminaryRound!$I30&lt;&gt;"",PreliminaryRound!$K30&lt;&gt;"",PreliminaryRound!$F30&lt;&gt;PreliminaryRound!$H30,$V82&lt;&gt;"",$W82&lt;&gt;""),PreliminaryRound!$K30,"")</f>
        <v>3</v>
      </c>
      <c r="Z82" s="35" t="str">
        <f t="shared" ca="1" si="81"/>
        <v>VFB EssenheimRaslo Winners</v>
      </c>
      <c r="AA82" s="13">
        <f t="shared" ca="1" si="80"/>
        <v>1</v>
      </c>
      <c r="AB82" s="13" t="str">
        <f ca="1">IF(AA82&gt;0,X82&amp;Language!$E$80&amp;Y82,"")</f>
        <v>0-3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Planning!$L25</f>
        <v>FC Grönlingen</v>
      </c>
      <c r="W83" s="13" t="str">
        <f ca="1">Planning!$N25</f>
        <v>VFL Ronsdorf</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1</v>
      </c>
      <c r="Z83" s="35" t="str">
        <f t="shared" ca="1" si="81"/>
        <v>FC GrönlingenVFL Ronsdorf</v>
      </c>
      <c r="AA83" s="13">
        <f t="shared" ca="1" si="80"/>
        <v>1</v>
      </c>
      <c r="AB83" s="13" t="str">
        <f ca="1">IF(AA83&gt;0,X83&amp;Language!$E$80&amp;Y83,"")</f>
        <v>1-1</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Planning!$L26</f>
        <v>Knock Out Rangers</v>
      </c>
      <c r="W84" s="13" t="str">
        <f ca="1">Planning!$N26</f>
        <v>Maibach 1822 eV</v>
      </c>
      <c r="X84" s="13">
        <f ca="1">IF(AND(PreliminaryRound!$I32&lt;&gt;"",PreliminaryRound!$K32&lt;&gt;"",PreliminaryRound!$F32&lt;&gt;PreliminaryRound!$H32,$V84&lt;&gt;"",$W84&lt;&gt;""),PreliminaryRound!$I32,"")</f>
        <v>1</v>
      </c>
      <c r="Y84" s="36">
        <f ca="1">IF(AND(PreliminaryRound!$I32&lt;&gt;"",PreliminaryRound!$K32&lt;&gt;"",PreliminaryRound!$F32&lt;&gt;PreliminaryRound!$H32,$V84&lt;&gt;"",$W84&lt;&gt;""),PreliminaryRound!$K32,"")</f>
        <v>1</v>
      </c>
      <c r="Z84" s="35" t="str">
        <f t="shared" ca="1" si="81"/>
        <v>Knock Out RangersMaibach 1822 eV</v>
      </c>
      <c r="AA84" s="13">
        <f t="shared" ca="1" si="80"/>
        <v>1</v>
      </c>
      <c r="AB84" s="13" t="str">
        <f ca="1">IF(AA84&gt;0,X84&amp;Language!$E$80&amp;Y84,"")</f>
        <v>1-1</v>
      </c>
      <c r="AD84" s="144"/>
      <c r="AE84" s="149">
        <f ca="1">IF($AA84=0,"",IF($X84&gt;$Y84,Settings!$C$4,IF($X84=$Y84,1,0)))</f>
        <v>1</v>
      </c>
      <c r="AF84" s="144">
        <f ca="1">IF($AA84=0,"",IF($X84&lt;$Y84,Settings!$C$4,IF($X84=$Y84,1,0)))</f>
        <v>1</v>
      </c>
    </row>
    <row r="85" spans="2:32" s="2" customFormat="1" x14ac:dyDescent="0.2">
      <c r="B85" s="4"/>
      <c r="C85" s="4"/>
      <c r="D85" s="4"/>
      <c r="E85" s="4"/>
      <c r="F85" s="13"/>
      <c r="G85" s="13"/>
      <c r="H85" s="13"/>
      <c r="I85" s="13"/>
      <c r="J85" s="13"/>
      <c r="K85" s="13"/>
      <c r="L85" s="13"/>
      <c r="M85" s="13"/>
      <c r="U85" s="67" t="s">
        <v>37</v>
      </c>
      <c r="V85" s="41" t="str">
        <f ca="1">Planning!$L27</f>
        <v>Borussia Heine</v>
      </c>
      <c r="W85" s="13" t="str">
        <f ca="1">Planning!$N27</f>
        <v>Manchester City</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81"/>
        <v>Borussia HeineManchester City</v>
      </c>
      <c r="AA85" s="13">
        <f t="shared" ca="1" si="80"/>
        <v>1</v>
      </c>
      <c r="AB85" s="13" t="str">
        <f ca="1">IF(AA85&gt;0,X85&amp;Language!$E$80&amp;Y85,"")</f>
        <v>1-4</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Eintracht Frankfurt</v>
      </c>
      <c r="W86" s="13" t="str">
        <f ca="1">Planning!$N28</f>
        <v>FC Barcelona</v>
      </c>
      <c r="X86" s="13" t="str">
        <f ca="1">IF(AND(PreliminaryRound!$I34&lt;&gt;"",PreliminaryRound!$K34&lt;&gt;"",PreliminaryRound!$F34&lt;&gt;PreliminaryRound!$H34,$V86&lt;&gt;"",$W86&lt;&gt;""),PreliminaryRound!$I34,"")</f>
        <v/>
      </c>
      <c r="Y86" s="36" t="str">
        <f ca="1">IF(AND(PreliminaryRound!$I34&lt;&gt;"",PreliminaryRound!$K34&lt;&gt;"",PreliminaryRound!$F34&lt;&gt;PreliminaryRound!$H34,$V86&lt;&gt;"",$W86&lt;&gt;""),PreliminaryRound!$K34,"")</f>
        <v/>
      </c>
      <c r="Z86" s="35" t="str">
        <f t="shared" ca="1" si="81"/>
        <v>Eintracht FrankfurtFC Barcelona</v>
      </c>
      <c r="AA86" s="13">
        <f t="shared" ca="1" si="80"/>
        <v>0</v>
      </c>
      <c r="AB86" s="13" t="str">
        <f ca="1">IF(AA86&gt;0,X86&amp;Language!$E$80&amp;Y86,"")</f>
        <v/>
      </c>
      <c r="AD86" s="144"/>
      <c r="AE86" s="149" t="str">
        <f ca="1">IF($AA86=0,"",IF($X86&gt;$Y86,Settings!$C$4,IF($X86=$Y86,1,0)))</f>
        <v/>
      </c>
      <c r="AF86" s="144" t="str">
        <f ca="1">IF($AA86=0,"",IF($X86&lt;$Y86,Settings!$C$4,IF($X86=$Y86,1,0)))</f>
        <v/>
      </c>
    </row>
    <row r="87" spans="2:32" s="2" customFormat="1" x14ac:dyDescent="0.2">
      <c r="B87" s="4"/>
      <c r="C87" s="4"/>
      <c r="D87" s="4"/>
      <c r="E87" s="4"/>
      <c r="F87" s="13"/>
      <c r="G87" s="13"/>
      <c r="H87" s="13"/>
      <c r="I87" s="13"/>
      <c r="J87" s="13"/>
      <c r="K87" s="13"/>
      <c r="L87" s="13"/>
      <c r="M87" s="13"/>
      <c r="U87" s="67" t="s">
        <v>39</v>
      </c>
      <c r="V87" s="41" t="str">
        <f ca="1">Planning!$L29</f>
        <v>SSV Wildbach</v>
      </c>
      <c r="W87" s="13" t="str">
        <f ca="1">Planning!$N29</f>
        <v>Inter Mailand</v>
      </c>
      <c r="X87" s="13" t="str">
        <f ca="1">IF(AND(PreliminaryRound!$I35&lt;&gt;"",PreliminaryRound!$K35&lt;&gt;"",PreliminaryRound!$F35&lt;&gt;PreliminaryRound!$H35,$V87&lt;&gt;"",$W87&lt;&gt;""),PreliminaryRound!$I35,"")</f>
        <v/>
      </c>
      <c r="Y87" s="36" t="str">
        <f ca="1">IF(AND(PreliminaryRound!$I35&lt;&gt;"",PreliminaryRound!$K35&lt;&gt;"",PreliminaryRound!$F35&lt;&gt;PreliminaryRound!$H35,$V87&lt;&gt;"",$W87&lt;&gt;""),PreliminaryRound!$K35,"")</f>
        <v/>
      </c>
      <c r="Z87" s="35" t="str">
        <f t="shared" ca="1" si="81"/>
        <v>SSV WildbachInter Mailand</v>
      </c>
      <c r="AA87" s="13">
        <f t="shared" ca="1" si="80"/>
        <v>0</v>
      </c>
      <c r="AB87" s="13" t="str">
        <f ca="1">IF(AA87&gt;0,X87&amp;Language!$E$80&amp;Y87,"")</f>
        <v/>
      </c>
      <c r="AD87" s="144"/>
      <c r="AE87" s="149" t="str">
        <f ca="1">IF($AA87=0,"",IF($X87&gt;$Y87,Settings!$C$4,IF($X87=$Y87,1,0)))</f>
        <v/>
      </c>
      <c r="AF87" s="144" t="str">
        <f ca="1">IF($AA87=0,"",IF($X87&lt;$Y87,Settings!$C$4,IF($X87=$Y87,1,0)))</f>
        <v/>
      </c>
    </row>
    <row r="88" spans="2:32" s="2" customFormat="1" x14ac:dyDescent="0.2">
      <c r="B88" s="4"/>
      <c r="C88" s="4"/>
      <c r="D88" s="4"/>
      <c r="E88" s="4"/>
      <c r="F88" s="13"/>
      <c r="G88" s="13"/>
      <c r="H88" s="13"/>
      <c r="I88" s="13"/>
      <c r="J88" s="13"/>
      <c r="K88" s="13"/>
      <c r="L88" s="13"/>
      <c r="M88" s="13"/>
      <c r="U88" s="67" t="s">
        <v>40</v>
      </c>
      <c r="V88" s="41" t="str">
        <f ca="1">Planning!$L30</f>
        <v>VFB Essenheim</v>
      </c>
      <c r="W88" s="13" t="str">
        <f ca="1">Planning!$N30</f>
        <v>1. FC Riedwald</v>
      </c>
      <c r="X88" s="13" t="str">
        <f ca="1">IF(AND(PreliminaryRound!$I36&lt;&gt;"",PreliminaryRound!$K36&lt;&gt;"",PreliminaryRound!$F36&lt;&gt;PreliminaryRound!$H36,$V88&lt;&gt;"",$W88&lt;&gt;""),PreliminaryRound!$I36,"")</f>
        <v/>
      </c>
      <c r="Y88" s="36" t="str">
        <f ca="1">IF(AND(PreliminaryRound!$I36&lt;&gt;"",PreliminaryRound!$K36&lt;&gt;"",PreliminaryRound!$F36&lt;&gt;PreliminaryRound!$H36,$V88&lt;&gt;"",$W88&lt;&gt;""),PreliminaryRound!$K36,"")</f>
        <v/>
      </c>
      <c r="Z88" s="35" t="str">
        <f t="shared" ca="1" si="81"/>
        <v>VFB Essenheim1. FC Riedwald</v>
      </c>
      <c r="AA88" s="13">
        <f t="shared" ca="1" si="80"/>
        <v>0</v>
      </c>
      <c r="AB88" s="13" t="str">
        <f ca="1">IF(AA88&gt;0,X88&amp;Language!$E$80&amp;Y88,"")</f>
        <v/>
      </c>
      <c r="AD88" s="144"/>
      <c r="AE88" s="149" t="str">
        <f ca="1">IF($AA88=0,"",IF($X88&gt;$Y88,Settings!$C$4,IF($X88=$Y88,1,0)))</f>
        <v/>
      </c>
      <c r="AF88" s="144" t="str">
        <f ca="1">IF($AA88=0,"",IF($X88&lt;$Y88,Settings!$C$4,IF($X88=$Y88,1,0)))</f>
        <v/>
      </c>
    </row>
    <row r="89" spans="2:32" s="2" customFormat="1" x14ac:dyDescent="0.2">
      <c r="B89" s="4"/>
      <c r="C89" s="4"/>
      <c r="D89" s="4"/>
      <c r="E89" s="4"/>
      <c r="F89" s="13"/>
      <c r="G89" s="13"/>
      <c r="H89" s="13"/>
      <c r="I89" s="13"/>
      <c r="J89" s="13"/>
      <c r="K89" s="13"/>
      <c r="L89" s="13"/>
      <c r="M89" s="13"/>
      <c r="U89" s="67" t="s">
        <v>41</v>
      </c>
      <c r="V89" s="41" t="str">
        <f ca="1">Planning!$L31</f>
        <v>FC Grönlingen</v>
      </c>
      <c r="W89" s="13" t="str">
        <f ca="1">Planning!$N31</f>
        <v>Mainz 05</v>
      </c>
      <c r="X89" s="13" t="str">
        <f ca="1">IF(AND(PreliminaryRound!$I37&lt;&gt;"",PreliminaryRound!$K37&lt;&gt;"",PreliminaryRound!$F37&lt;&gt;PreliminaryRound!$H37,$V89&lt;&gt;"",$W89&lt;&gt;""),PreliminaryRound!$I37,"")</f>
        <v/>
      </c>
      <c r="Y89" s="36" t="str">
        <f ca="1">IF(AND(PreliminaryRound!$I37&lt;&gt;"",PreliminaryRound!$K37&lt;&gt;"",PreliminaryRound!$F37&lt;&gt;PreliminaryRound!$H37,$V89&lt;&gt;"",$W89&lt;&gt;""),PreliminaryRound!$K37,"")</f>
        <v/>
      </c>
      <c r="Z89" s="35" t="str">
        <f t="shared" ca="1" si="81"/>
        <v>FC GrönlingenMainz 05</v>
      </c>
      <c r="AA89" s="13">
        <f t="shared" ca="1" si="80"/>
        <v>0</v>
      </c>
      <c r="AB89" s="13" t="str">
        <f ca="1">IF(AA89&gt;0,X89&amp;Language!$E$80&amp;Y89,"")</f>
        <v/>
      </c>
      <c r="AD89" s="144"/>
      <c r="AE89" s="149" t="str">
        <f ca="1">IF($AA89=0,"",IF($X89&gt;$Y89,Settings!$C$4,IF($X89=$Y89,1,0)))</f>
        <v/>
      </c>
      <c r="AF89" s="144" t="str">
        <f ca="1">IF($AA89=0,"",IF($X89&lt;$Y89,Settings!$C$4,IF($X89=$Y89,1,0)))</f>
        <v/>
      </c>
    </row>
    <row r="90" spans="2:32" s="2" customFormat="1" x14ac:dyDescent="0.2">
      <c r="B90" s="4"/>
      <c r="C90" s="4"/>
      <c r="D90" s="4"/>
      <c r="E90" s="4"/>
      <c r="F90" s="13"/>
      <c r="G90" s="13"/>
      <c r="H90" s="13"/>
      <c r="I90" s="13"/>
      <c r="J90" s="13"/>
      <c r="K90" s="13"/>
      <c r="L90" s="13"/>
      <c r="M90" s="13"/>
      <c r="U90" s="67" t="s">
        <v>42</v>
      </c>
      <c r="V90" s="41" t="str">
        <f ca="1">Planning!$L32</f>
        <v>Maibach 1822 eV</v>
      </c>
      <c r="W90" s="13" t="str">
        <f ca="1">Planning!$N32</f>
        <v>Fun Kickers Oes</v>
      </c>
      <c r="X90" s="13" t="str">
        <f ca="1">IF(AND(PreliminaryRound!$I38&lt;&gt;"",PreliminaryRound!$K38&lt;&gt;"",PreliminaryRound!$F38&lt;&gt;PreliminaryRound!$H38,$V90&lt;&gt;"",$W90&lt;&gt;""),PreliminaryRound!$I38,"")</f>
        <v/>
      </c>
      <c r="Y90" s="36" t="str">
        <f ca="1">IF(AND(PreliminaryRound!$I38&lt;&gt;"",PreliminaryRound!$K38&lt;&gt;"",PreliminaryRound!$F38&lt;&gt;PreliminaryRound!$H38,$V90&lt;&gt;"",$W90&lt;&gt;""),PreliminaryRound!$K38,"")</f>
        <v/>
      </c>
      <c r="Z90" s="35" t="str">
        <f t="shared" ca="1" si="81"/>
        <v>Maibach 1822 eVFun Kickers Oes</v>
      </c>
      <c r="AA90" s="13">
        <f t="shared" ca="1" si="80"/>
        <v>0</v>
      </c>
      <c r="AB90" s="13" t="str">
        <f ca="1">IF(AA90&gt;0,X90&amp;Language!$E$80&amp;Y90,"")</f>
        <v/>
      </c>
      <c r="AD90" s="144"/>
      <c r="AE90" s="149" t="str">
        <f ca="1">IF($AA90=0,"",IF($X90&gt;$Y90,Settings!$C$4,IF($X90=$Y90,1,0)))</f>
        <v/>
      </c>
      <c r="AF90" s="144" t="str">
        <f ca="1">IF($AA90=0,"",IF($X90&lt;$Y90,Settings!$C$4,IF($X90=$Y90,1,0)))</f>
        <v/>
      </c>
    </row>
    <row r="91" spans="2:32" s="2" customFormat="1" x14ac:dyDescent="0.2">
      <c r="B91" s="4"/>
      <c r="C91" s="4"/>
      <c r="D91" s="4"/>
      <c r="E91" s="4"/>
      <c r="F91" s="13"/>
      <c r="G91" s="13"/>
      <c r="H91" s="13"/>
      <c r="I91" s="13"/>
      <c r="J91" s="13"/>
      <c r="K91" s="13"/>
      <c r="L91" s="13"/>
      <c r="M91" s="13"/>
      <c r="U91" s="67" t="s">
        <v>43</v>
      </c>
      <c r="V91" s="41" t="str">
        <f ca="1">Planning!$L33</f>
        <v>Manchester City</v>
      </c>
      <c r="W91" s="13" t="str">
        <f ca="1">Planning!$N33</f>
        <v>AC Roma</v>
      </c>
      <c r="X91" s="13" t="str">
        <f ca="1">IF(AND(PreliminaryRound!$I39&lt;&gt;"",PreliminaryRound!$K39&lt;&gt;"",PreliminaryRound!$F39&lt;&gt;PreliminaryRound!$H39,$V91&lt;&gt;"",$W91&lt;&gt;""),PreliminaryRound!$I39,"")</f>
        <v/>
      </c>
      <c r="Y91" s="36" t="str">
        <f ca="1">IF(AND(PreliminaryRound!$I39&lt;&gt;"",PreliminaryRound!$K39&lt;&gt;"",PreliminaryRound!$F39&lt;&gt;PreliminaryRound!$H39,$V91&lt;&gt;"",$W91&lt;&gt;""),PreliminaryRound!$K39,"")</f>
        <v/>
      </c>
      <c r="Z91" s="35" t="str">
        <f t="shared" ca="1" si="81"/>
        <v>Manchester CityAC Roma</v>
      </c>
      <c r="AA91" s="13">
        <f t="shared" ca="1" si="80"/>
        <v>0</v>
      </c>
      <c r="AB91" s="13" t="str">
        <f ca="1">IF(AA91&gt;0,X91&amp;Language!$E$80&amp;Y91,"")</f>
        <v/>
      </c>
      <c r="AD91" s="144"/>
      <c r="AE91" s="149" t="str">
        <f ca="1">IF($AA91=0,"",IF($X91&gt;$Y91,Settings!$C$4,IF($X91=$Y91,1,0)))</f>
        <v/>
      </c>
      <c r="AF91" s="144" t="str">
        <f ca="1">IF($AA91=0,"",IF($X91&lt;$Y91,Settings!$C$4,IF($X91=$Y91,1,0)))</f>
        <v/>
      </c>
    </row>
    <row r="92" spans="2:32" s="2" customFormat="1" x14ac:dyDescent="0.2">
      <c r="B92" s="4"/>
      <c r="C92" s="4"/>
      <c r="D92" s="4"/>
      <c r="E92" s="4"/>
      <c r="F92" s="13"/>
      <c r="G92" s="13"/>
      <c r="H92" s="13"/>
      <c r="I92" s="13"/>
      <c r="J92" s="13"/>
      <c r="K92" s="13"/>
      <c r="L92" s="13"/>
      <c r="M92" s="13"/>
      <c r="U92" s="67" t="s">
        <v>44</v>
      </c>
      <c r="V92" s="41" t="str">
        <f ca="1">Planning!$L34</f>
        <v>Raslo Winners</v>
      </c>
      <c r="W92" s="13" t="str">
        <f ca="1">Planning!$N34</f>
        <v>Eintracht Frankfurt</v>
      </c>
      <c r="X92" s="13" t="str">
        <f ca="1">IF(AND(PreliminaryRound!$I40&lt;&gt;"",PreliminaryRound!$K40&lt;&gt;"",PreliminaryRound!$F40&lt;&gt;PreliminaryRound!$H40,$V92&lt;&gt;"",$W92&lt;&gt;""),PreliminaryRound!$I40,"")</f>
        <v/>
      </c>
      <c r="Y92" s="36" t="str">
        <f ca="1">IF(AND(PreliminaryRound!$I40&lt;&gt;"",PreliminaryRound!$K40&lt;&gt;"",PreliminaryRound!$F40&lt;&gt;PreliminaryRound!$H40,$V92&lt;&gt;"",$W92&lt;&gt;""),PreliminaryRound!$K40,"")</f>
        <v/>
      </c>
      <c r="Z92" s="35" t="str">
        <f t="shared" ca="1" si="81"/>
        <v>Raslo WinnersEintracht Frankfurt</v>
      </c>
      <c r="AA92" s="13">
        <f t="shared" ca="1" si="80"/>
        <v>0</v>
      </c>
      <c r="AB92" s="13" t="str">
        <f ca="1">IF(AA92&gt;0,X92&amp;Language!$E$80&amp;Y92,"")</f>
        <v/>
      </c>
      <c r="AD92" s="144"/>
      <c r="AE92" s="149" t="str">
        <f ca="1">IF($AA92=0,"",IF($X92&gt;$Y92,Settings!$C$4,IF($X92=$Y92,1,0)))</f>
        <v/>
      </c>
      <c r="AF92" s="144" t="str">
        <f ca="1">IF($AA92=0,"",IF($X92&lt;$Y92,Settings!$C$4,IF($X92=$Y92,1,0)))</f>
        <v/>
      </c>
    </row>
    <row r="93" spans="2:32" s="2" customFormat="1" x14ac:dyDescent="0.2">
      <c r="B93" s="4"/>
      <c r="C93" s="4"/>
      <c r="D93" s="4"/>
      <c r="E93" s="4"/>
      <c r="F93" s="13"/>
      <c r="G93" s="13"/>
      <c r="H93" s="13"/>
      <c r="I93" s="13"/>
      <c r="J93" s="13"/>
      <c r="K93" s="13"/>
      <c r="L93" s="13"/>
      <c r="M93" s="13"/>
      <c r="U93" s="67" t="s">
        <v>45</v>
      </c>
      <c r="V93" s="41" t="str">
        <f ca="1">Planning!$L35</f>
        <v>VFL Ronsdorf</v>
      </c>
      <c r="W93" s="13" t="str">
        <f ca="1">Planning!$N35</f>
        <v>SSV Wildbach</v>
      </c>
      <c r="X93" s="13" t="str">
        <f ca="1">IF(AND(PreliminaryRound!$I41&lt;&gt;"",PreliminaryRound!$K41&lt;&gt;"",PreliminaryRound!$F41&lt;&gt;PreliminaryRound!$H41,$V93&lt;&gt;"",$W93&lt;&gt;""),PreliminaryRound!$I41,"")</f>
        <v/>
      </c>
      <c r="Y93" s="36" t="str">
        <f ca="1">IF(AND(PreliminaryRound!$I41&lt;&gt;"",PreliminaryRound!$K41&lt;&gt;"",PreliminaryRound!$F41&lt;&gt;PreliminaryRound!$H41,$V93&lt;&gt;"",$W93&lt;&gt;""),PreliminaryRound!$K41,"")</f>
        <v/>
      </c>
      <c r="Z93" s="35" t="str">
        <f t="shared" ca="1" si="81"/>
        <v>VFL RonsdorfSSV Wildbach</v>
      </c>
      <c r="AA93" s="13">
        <f t="shared" ca="1" si="80"/>
        <v>0</v>
      </c>
      <c r="AB93" s="13" t="str">
        <f ca="1">IF(AA93&gt;0,X93&amp;Language!$E$80&amp;Y93,"")</f>
        <v/>
      </c>
      <c r="AC93" s="4"/>
      <c r="AD93" s="144"/>
      <c r="AE93" s="149" t="str">
        <f ca="1">IF($AA93=0,"",IF($X93&gt;$Y93,Settings!$C$4,IF($X93=$Y93,1,0)))</f>
        <v/>
      </c>
      <c r="AF93" s="144" t="str">
        <f ca="1">IF($AA93=0,"",IF($X93&lt;$Y93,Settings!$C$4,IF($X93=$Y93,1,0)))</f>
        <v/>
      </c>
    </row>
    <row r="94" spans="2:32" s="2" customFormat="1" x14ac:dyDescent="0.2">
      <c r="B94" s="4"/>
      <c r="C94" s="4"/>
      <c r="D94" s="4"/>
      <c r="E94" s="4"/>
      <c r="F94" s="13"/>
      <c r="G94" s="13"/>
      <c r="H94" s="13"/>
      <c r="I94" s="13"/>
      <c r="J94" s="13"/>
      <c r="K94" s="13"/>
      <c r="L94" s="13"/>
      <c r="M94" s="13"/>
      <c r="U94" s="67" t="s">
        <v>46</v>
      </c>
      <c r="V94" s="41" t="str">
        <f ca="1">Planning!$L36</f>
        <v>FC Barcelona</v>
      </c>
      <c r="W94" s="13" t="str">
        <f ca="1">Planning!$N36</f>
        <v>Knock Out Rangers</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ref="Z94:Z135" ca="1" si="82">V94&amp;W94</f>
        <v>FC BarcelonaKnock Out Rangers</v>
      </c>
      <c r="AA94" s="13">
        <f t="shared" ref="AA94:AA135" ca="1" si="83">IF(AND(V94&lt;&gt;"",W94&lt;&gt;"",V94&lt;&gt;W94,X94&lt;&gt;"",Y94&lt;&gt;""),1,0)</f>
        <v>0</v>
      </c>
      <c r="AB94" s="13" t="str">
        <f ca="1">IF(AA94&gt;0,X94&amp;Language!$E$80&amp;Y94,"")</f>
        <v/>
      </c>
      <c r="AC94" s="4"/>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Inter Mailand</v>
      </c>
      <c r="W95" s="13" t="str">
        <f ca="1">Planning!$N37</f>
        <v>Borussia Heine</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82"/>
        <v>Inter MailandBorussia Heine</v>
      </c>
      <c r="AA95" s="13">
        <f t="shared" ca="1" si="83"/>
        <v>0</v>
      </c>
      <c r="AB95" s="13" t="str">
        <f ca="1">IF(AA95&gt;0,X95&amp;Language!$E$80&amp;Y95,"")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1. FC Riedwald</v>
      </c>
      <c r="W96" s="13" t="str">
        <f ca="1">Planning!$N38</f>
        <v>Maibach 1822 eV</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82"/>
        <v>1. FC RiedwaldMaibach 1822 eV</v>
      </c>
      <c r="AA96" s="13">
        <f t="shared" ca="1" si="83"/>
        <v>0</v>
      </c>
      <c r="AB96" s="13" t="str">
        <f ca="1">IF(AA96&gt;0,X96&amp;Language!$E$80&amp;Y96,"")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Mainz 05</v>
      </c>
      <c r="W97" s="13" t="str">
        <f ca="1">Planning!$N39</f>
        <v>Manchester City</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82"/>
        <v>Mainz 05Manchester City</v>
      </c>
      <c r="AA97" s="13">
        <f t="shared" ca="1" si="83"/>
        <v>0</v>
      </c>
      <c r="AB97" s="13" t="str">
        <f ca="1">IF(AA97&gt;0,X97&amp;Language!$E$80&amp;Y97,"")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Eintracht Frankfurt</v>
      </c>
      <c r="W98" s="13" t="str">
        <f ca="1">Planning!$N40</f>
        <v>VFB Essenheim</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82"/>
        <v>Eintracht FrankfurtVFB Essenheim</v>
      </c>
      <c r="AA98" s="13">
        <f t="shared" ca="1" si="83"/>
        <v>0</v>
      </c>
      <c r="AB98" s="13" t="str">
        <f ca="1">IF(AA98&gt;0,X98&amp;Language!$E$80&amp;Y98,"")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SSV Wildbach</v>
      </c>
      <c r="W99" s="13" t="str">
        <f ca="1">Planning!$N41</f>
        <v>FC Grönlingen</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82"/>
        <v>SSV WildbachFC Grönlingen</v>
      </c>
      <c r="AA99" s="13">
        <f t="shared" ca="1" si="83"/>
        <v>0</v>
      </c>
      <c r="AB99" s="13" t="str">
        <f ca="1">IF(AA99&gt;0,X99&amp;Language!$E$80&amp;Y99,"")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Fun Kickers Oes</v>
      </c>
      <c r="W100" s="13" t="str">
        <f ca="1">Planning!$N42</f>
        <v>FC Barcelona</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82"/>
        <v>Fun Kickers OesFC Barcelona</v>
      </c>
      <c r="AA100" s="13">
        <f t="shared" ca="1" si="83"/>
        <v>0</v>
      </c>
      <c r="AB100" s="13" t="str">
        <f ca="1">IF(AA100&gt;0,X100&amp;Language!$E$80&amp;Y100,"")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AC Roma</v>
      </c>
      <c r="W101" s="13" t="str">
        <f ca="1">Planning!$N43</f>
        <v>Inter Mailand</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82"/>
        <v>AC RomaInter Mailand</v>
      </c>
      <c r="AA101" s="13">
        <f t="shared" ca="1" si="83"/>
        <v>0</v>
      </c>
      <c r="AB101" s="13" t="str">
        <f ca="1">IF(AA101&gt;0,X101&amp;Language!$E$80&amp;Y101,"")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Knock Out Rangers</v>
      </c>
      <c r="W102" s="13" t="str">
        <f ca="1">Planning!$N44</f>
        <v>Raslo Winners</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82"/>
        <v>Knock Out RangersRaslo Winners</v>
      </c>
      <c r="AA102" s="13">
        <f t="shared" ca="1" si="83"/>
        <v>0</v>
      </c>
      <c r="AB102" s="13" t="str">
        <f ca="1">IF(AA102&gt;0,X102&amp;Language!$E$80&amp;Y102,"")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Borussia Heine</v>
      </c>
      <c r="W103" s="13" t="str">
        <f ca="1">Planning!$N45</f>
        <v>VFL Ronsdorf</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82"/>
        <v>Borussia HeineVFL Ronsdorf</v>
      </c>
      <c r="AA103" s="13">
        <f t="shared" ca="1" si="83"/>
        <v>0</v>
      </c>
      <c r="AB103" s="13" t="str">
        <f ca="1">IF(AA103&gt;0,X103&amp;Language!$E$80&amp;Y103,"")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Eintracht Frankfurt</v>
      </c>
      <c r="W104" s="13" t="str">
        <f ca="1">Planning!$N46</f>
        <v>1. FC Riedwald</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82"/>
        <v>Eintracht Frankfurt1. FC Riedwald</v>
      </c>
      <c r="AA104" s="13">
        <f t="shared" ca="1" si="83"/>
        <v>0</v>
      </c>
      <c r="AB104" s="13" t="str">
        <f ca="1">IF(AA104&gt;0,X104&amp;Language!$E$80&amp;Y104,"")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SSV Wildbach</v>
      </c>
      <c r="W105" s="13" t="str">
        <f ca="1">Planning!$N47</f>
        <v>Mainz 05</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82"/>
        <v>SSV WildbachMainz 05</v>
      </c>
      <c r="AA105" s="13">
        <f t="shared" ca="1" si="83"/>
        <v>0</v>
      </c>
      <c r="AB105" s="13" t="str">
        <f ca="1">IF(AA105&gt;0,X105&amp;Language!$E$80&amp;Y105,"")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FC Barcelona</v>
      </c>
      <c r="W106" s="13" t="str">
        <f ca="1">Planning!$N48</f>
        <v>Maibach 1822 eV</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82"/>
        <v>FC BarcelonaMaibach 1822 eV</v>
      </c>
      <c r="AA106" s="13">
        <f t="shared" ca="1" si="83"/>
        <v>0</v>
      </c>
      <c r="AB106" s="13" t="str">
        <f ca="1">IF(AA106&gt;0,X106&amp;Language!$E$80&amp;Y106,"")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Inter Mailand</v>
      </c>
      <c r="W107" s="13" t="str">
        <f ca="1">Planning!$N49</f>
        <v>Manchester City</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82"/>
        <v>Inter MailandManchester City</v>
      </c>
      <c r="AA107" s="13">
        <f t="shared" ca="1" si="83"/>
        <v>0</v>
      </c>
      <c r="AB107" s="13" t="str">
        <f ca="1">IF(AA107&gt;0,X107&amp;Language!$E$80&amp;Y107,"")</f>
        <v/>
      </c>
      <c r="AD107" s="144"/>
      <c r="AE107" s="149" t="str">
        <f ca="1">IF($AA107=0,"",IF($X107&gt;$Y107,Settings!$C$4,IF($X107=$Y107,1,0)))</f>
        <v/>
      </c>
      <c r="AF107" s="144"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VFB Essenheim</v>
      </c>
      <c r="W108" s="13" t="str">
        <f ca="1">Planning!$N50</f>
        <v>Knock Out Rangers</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82"/>
        <v>VFB EssenheimKnock Out Rangers</v>
      </c>
      <c r="AA108" s="13">
        <f t="shared" ca="1" si="83"/>
        <v>0</v>
      </c>
      <c r="AB108" s="13" t="str">
        <f ca="1">IF(AA108&gt;0,X108&amp;Language!$E$80&amp;Y108,"")</f>
        <v/>
      </c>
      <c r="AD108" s="144"/>
      <c r="AE108" s="149" t="str">
        <f ca="1">IF($AA108=0,"",IF($X108&gt;$Y108,Settings!$C$4,IF($X108=$Y108,1,0)))</f>
        <v/>
      </c>
      <c r="AF108" s="144"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FC Grönlingen</v>
      </c>
      <c r="W109" s="13" t="str">
        <f ca="1">Planning!$N51</f>
        <v>Borussia Heine</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82"/>
        <v>FC GrönlingenBorussia Heine</v>
      </c>
      <c r="AA109" s="13">
        <f t="shared" ca="1" si="83"/>
        <v>0</v>
      </c>
      <c r="AB109" s="13" t="str">
        <f ca="1">IF(AA109&gt;0,X109&amp;Language!$E$80&amp;Y109,"")</f>
        <v/>
      </c>
      <c r="AD109" s="144"/>
      <c r="AE109" s="149" t="str">
        <f ca="1">IF($AA109=0,"",IF($X109&gt;$Y109,Settings!$C$4,IF($X109=$Y109,1,0)))</f>
        <v/>
      </c>
      <c r="AF109" s="144"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Raslo Winners</v>
      </c>
      <c r="W110" s="13" t="str">
        <f ca="1">Planning!$N52</f>
        <v>Fun Kickers Oes</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82"/>
        <v>Raslo WinnersFun Kickers Oes</v>
      </c>
      <c r="AA110" s="13">
        <f t="shared" ca="1" si="83"/>
        <v>0</v>
      </c>
      <c r="AB110" s="13" t="str">
        <f ca="1">IF(AA110&gt;0,X110&amp;Language!$E$80&amp;Y110,"")</f>
        <v/>
      </c>
      <c r="AD110" s="144"/>
      <c r="AE110" s="149" t="str">
        <f ca="1">IF($AA110=0,"",IF($X110&gt;$Y110,Settings!$C$4,IF($X110=$Y110,1,0)))</f>
        <v/>
      </c>
      <c r="AF110" s="144"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VFL Ronsdorf</v>
      </c>
      <c r="W111" s="13" t="str">
        <f ca="1">Planning!$N53</f>
        <v>AC Roma</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82"/>
        <v>VFL RonsdorfAC Roma</v>
      </c>
      <c r="AA111" s="13">
        <f t="shared" ca="1" si="83"/>
        <v>0</v>
      </c>
      <c r="AB111" s="13" t="str">
        <f ca="1">IF(AA111&gt;0,X111&amp;Language!$E$80&amp;Y111,"")</f>
        <v/>
      </c>
      <c r="AD111" s="144"/>
      <c r="AE111" s="149" t="str">
        <f ca="1">IF($AA111=0,"",IF($X111&gt;$Y111,Settings!$C$4,IF($X111=$Y111,1,0)))</f>
        <v/>
      </c>
      <c r="AF111" s="144"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1. FC Riedwald</v>
      </c>
      <c r="W112" s="13" t="str">
        <f ca="1">Planning!$N54</f>
        <v>FC Barcelona</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82"/>
        <v>1. FC RiedwaldFC Barcelona</v>
      </c>
      <c r="AA112" s="13">
        <f t="shared" ca="1" si="83"/>
        <v>0</v>
      </c>
      <c r="AB112" s="13" t="str">
        <f ca="1">IF(AA112&gt;0,X112&amp;Language!$E$80&amp;Y112,"")</f>
        <v/>
      </c>
      <c r="AD112" s="144"/>
      <c r="AE112" s="149" t="str">
        <f ca="1">IF($AA112=0,"",IF($X112&gt;$Y112,Settings!$C$4,IF($X112=$Y112,1,0)))</f>
        <v/>
      </c>
      <c r="AF112" s="144"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Mainz 05</v>
      </c>
      <c r="W113" s="13" t="str">
        <f ca="1">Planning!$N55</f>
        <v>Inter Mailand</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82"/>
        <v>Mainz 05Inter Mailand</v>
      </c>
      <c r="AA113" s="13">
        <f t="shared" ca="1" si="83"/>
        <v>0</v>
      </c>
      <c r="AB113" s="13" t="str">
        <f ca="1">IF(AA113&gt;0,X113&amp;Language!$E$80&amp;Y113,"")</f>
        <v/>
      </c>
      <c r="AD113" s="144"/>
      <c r="AE113" s="149" t="str">
        <f ca="1">IF($AA113=0,"",IF($X113&gt;$Y113,Settings!$C$4,IF($X113=$Y113,1,0)))</f>
        <v/>
      </c>
      <c r="AF113" s="144"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Knock Out Rangers</v>
      </c>
      <c r="W114" s="13" t="str">
        <f ca="1">Planning!$N56</f>
        <v>Eintracht Frankfurt</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82"/>
        <v>Knock Out RangersEintracht Frankfurt</v>
      </c>
      <c r="AA114" s="13">
        <f t="shared" ca="1" si="83"/>
        <v>0</v>
      </c>
      <c r="AB114" s="13" t="str">
        <f ca="1">IF(AA114&gt;0,X114&amp;Language!$E$80&amp;Y114,"")</f>
        <v/>
      </c>
      <c r="AD114" s="144"/>
      <c r="AE114" s="149" t="str">
        <f ca="1">IF($AA114=0,"",IF($X114&gt;$Y114,Settings!$C$4,IF($X114=$Y114,1,0)))</f>
        <v/>
      </c>
      <c r="AF114" s="144"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Borussia Heine</v>
      </c>
      <c r="W115" s="13" t="str">
        <f ca="1">Planning!$N57</f>
        <v>SSV Wildbach</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82"/>
        <v>Borussia HeineSSV Wildbach</v>
      </c>
      <c r="AA115" s="13">
        <f t="shared" ca="1" si="83"/>
        <v>0</v>
      </c>
      <c r="AB115" s="13" t="str">
        <f ca="1">IF(AA115&gt;0,X115&amp;Language!$E$80&amp;Y115,"")</f>
        <v/>
      </c>
      <c r="AD115" s="144"/>
      <c r="AE115" s="149" t="str">
        <f ca="1">IF($AA115=0,"",IF($X115&gt;$Y115,Settings!$C$4,IF($X115=$Y115,1,0)))</f>
        <v/>
      </c>
      <c r="AF115" s="144"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Maibach 1822 eV</v>
      </c>
      <c r="W116" s="13" t="str">
        <f ca="1">Planning!$N58</f>
        <v>Raslo Winners</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82"/>
        <v>Maibach 1822 eVRaslo Winners</v>
      </c>
      <c r="AA116" s="13">
        <f t="shared" ca="1" si="83"/>
        <v>0</v>
      </c>
      <c r="AB116" s="13" t="str">
        <f ca="1">IF(AA116&gt;0,X116&amp;Language!$E$80&amp;Y116,"")</f>
        <v/>
      </c>
      <c r="AD116" s="144"/>
      <c r="AE116" s="149" t="str">
        <f ca="1">IF($AA116=0,"",IF($X116&gt;$Y116,Settings!$C$4,IF($X116=$Y116,1,0)))</f>
        <v/>
      </c>
      <c r="AF116" s="144"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Manchester City</v>
      </c>
      <c r="W117" s="13" t="str">
        <f ca="1">Planning!$N59</f>
        <v>VFL Ronsdorf</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82"/>
        <v>Manchester CityVFL Ronsdorf</v>
      </c>
      <c r="AA117" s="13">
        <f t="shared" ca="1" si="83"/>
        <v>0</v>
      </c>
      <c r="AB117" s="13" t="str">
        <f ca="1">IF(AA117&gt;0,X117&amp;Language!$E$80&amp;Y117,"")</f>
        <v/>
      </c>
      <c r="AD117" s="144"/>
      <c r="AE117" s="149" t="str">
        <f ca="1">IF($AA117=0,"",IF($X117&gt;$Y117,Settings!$C$4,IF($X117=$Y117,1,0)))</f>
        <v/>
      </c>
      <c r="AF117" s="144"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Fun Kickers Oes</v>
      </c>
      <c r="W118" s="13" t="str">
        <f ca="1">Planning!$N60</f>
        <v>VFB Essenheim</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82"/>
        <v>Fun Kickers OesVFB Essenheim</v>
      </c>
      <c r="AA118" s="13">
        <f t="shared" ca="1" si="83"/>
        <v>0</v>
      </c>
      <c r="AB118" s="13" t="str">
        <f ca="1">IF(AA118&gt;0,X118&amp;Language!$E$80&amp;Y118,"")</f>
        <v/>
      </c>
      <c r="AD118" s="144"/>
      <c r="AE118" s="149" t="str">
        <f ca="1">IF($AA118=0,"",IF($X118&gt;$Y118,Settings!$C$4,IF($X118=$Y118,1,0)))</f>
        <v/>
      </c>
      <c r="AF118" s="144"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AC Roma</v>
      </c>
      <c r="W119" s="13" t="str">
        <f ca="1">Planning!$N61</f>
        <v>FC Grönlingen</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82"/>
        <v>AC RomaFC Grönlingen</v>
      </c>
      <c r="AA119" s="13">
        <f t="shared" ca="1" si="83"/>
        <v>0</v>
      </c>
      <c r="AB119" s="13" t="str">
        <f ca="1">IF(AA119&gt;0,X119&amp;Language!$E$80&amp;Y119,"")</f>
        <v/>
      </c>
      <c r="AD119" s="144"/>
      <c r="AE119" s="149" t="str">
        <f ca="1">IF($AA119=0,"",IF($X119&gt;$Y119,Settings!$C$4,IF($X119=$Y119,1,0)))</f>
        <v/>
      </c>
      <c r="AF119" s="144"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82"/>
        <v/>
      </c>
      <c r="AA120" s="13">
        <f t="shared" ca="1" si="83"/>
        <v>0</v>
      </c>
      <c r="AB120" s="13" t="str">
        <f ca="1">IF(AA120&gt;0,X120&amp;Language!$E$80&amp;Y120,"")</f>
        <v/>
      </c>
      <c r="AD120" s="144"/>
      <c r="AE120" s="149" t="str">
        <f ca="1">IF($AA120=0,"",IF($X120&gt;$Y120,Settings!$C$4,IF($X120=$Y120,1,0)))</f>
        <v/>
      </c>
      <c r="AF120" s="144"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82"/>
        <v/>
      </c>
      <c r="AA121" s="13">
        <f t="shared" ca="1" si="83"/>
        <v>0</v>
      </c>
      <c r="AB121" s="13" t="str">
        <f ca="1">IF(AA121&gt;0,X121&amp;Language!$E$80&amp;Y121,"")</f>
        <v/>
      </c>
      <c r="AD121" s="144"/>
      <c r="AE121" s="149" t="str">
        <f ca="1">IF($AA121=0,"",IF($X121&gt;$Y121,Settings!$C$4,IF($X121=$Y121,1,0)))</f>
        <v/>
      </c>
      <c r="AF121" s="144"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82"/>
        <v/>
      </c>
      <c r="AA122" s="13">
        <f t="shared" ca="1" si="83"/>
        <v>0</v>
      </c>
      <c r="AB122" s="13" t="str">
        <f ca="1">IF(AA122&gt;0,X122&amp;Language!$E$80&amp;Y122,"")</f>
        <v/>
      </c>
      <c r="AD122" s="144"/>
      <c r="AE122" s="149" t="str">
        <f ca="1">IF($AA122=0,"",IF($X122&gt;$Y122,Settings!$C$4,IF($X122=$Y122,1,0)))</f>
        <v/>
      </c>
      <c r="AF122" s="144" t="str">
        <f ca="1">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82"/>
        <v/>
      </c>
      <c r="AA123" s="13">
        <f t="shared" ca="1" si="83"/>
        <v>0</v>
      </c>
      <c r="AB123" s="13" t="str">
        <f ca="1">IF(AA123&gt;0,X123&amp;Language!$E$80&amp;Y123,"")</f>
        <v/>
      </c>
      <c r="AD123" s="144"/>
      <c r="AE123" s="149" t="str">
        <f ca="1">IF($AA123=0,"",IF($X123&gt;$Y123,Settings!$C$4,IF($X123=$Y123,1,0)))</f>
        <v/>
      </c>
      <c r="AF123" s="144" t="str">
        <f ca="1">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 ca="1">Planning!$L66</f>
        <v/>
      </c>
      <c r="W124" s="13" t="str">
        <f ca="1">Planning!$N66</f>
        <v/>
      </c>
      <c r="X124" s="13" t="str">
        <f ca="1">IF(AND(PreliminaryRound!$I72&lt;&gt;"",PreliminaryRound!$K72&lt;&gt;"",PreliminaryRound!$F72&lt;&gt;PreliminaryRound!$H72,$V124&lt;&gt;"",$W124&lt;&gt;""),PreliminaryRound!$I72,"")</f>
        <v/>
      </c>
      <c r="Y124" s="36" t="str">
        <f ca="1">IF(AND(PreliminaryRound!$I72&lt;&gt;"",PreliminaryRound!$K72&lt;&gt;"",PreliminaryRound!$F72&lt;&gt;PreliminaryRound!$H72,$V124&lt;&gt;"",$W124&lt;&gt;""),PreliminaryRound!$K72,"")</f>
        <v/>
      </c>
      <c r="Z124" s="35" t="str">
        <f t="shared" ca="1" si="82"/>
        <v/>
      </c>
      <c r="AA124" s="13">
        <f t="shared" ca="1" si="83"/>
        <v>0</v>
      </c>
      <c r="AB124" s="13" t="str">
        <f ca="1">IF(AA124&gt;0,X124&amp;Language!$E$80&amp;Y124,"")</f>
        <v/>
      </c>
      <c r="AD124" s="144"/>
      <c r="AE124" s="149" t="str">
        <f ca="1">IF($AA124=0,"",IF($X124&gt;$Y124,Settings!$C$4,IF($X124=$Y124,1,0)))</f>
        <v/>
      </c>
      <c r="AF124" s="144" t="str">
        <f ca="1">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 ca="1">Planning!$L67</f>
        <v/>
      </c>
      <c r="W125" s="13" t="str">
        <f ca="1">Planning!$N67</f>
        <v/>
      </c>
      <c r="X125" s="13" t="str">
        <f ca="1">IF(AND(PreliminaryRound!$I73&lt;&gt;"",PreliminaryRound!$K73&lt;&gt;"",PreliminaryRound!$F73&lt;&gt;PreliminaryRound!$H73,$V125&lt;&gt;"",$W125&lt;&gt;""),PreliminaryRound!$I73,"")</f>
        <v/>
      </c>
      <c r="Y125" s="36" t="str">
        <f ca="1">IF(AND(PreliminaryRound!$I73&lt;&gt;"",PreliminaryRound!$K73&lt;&gt;"",PreliminaryRound!$F73&lt;&gt;PreliminaryRound!$H73,$V125&lt;&gt;"",$W125&lt;&gt;""),PreliminaryRound!$K73,"")</f>
        <v/>
      </c>
      <c r="Z125" s="35" t="str">
        <f t="shared" ca="1" si="82"/>
        <v/>
      </c>
      <c r="AA125" s="13">
        <f t="shared" ca="1" si="83"/>
        <v>0</v>
      </c>
      <c r="AB125" s="13" t="str">
        <f ca="1">IF(AA125&gt;0,X125&amp;Language!$E$80&amp;Y125,"")</f>
        <v/>
      </c>
      <c r="AD125" s="144"/>
      <c r="AE125" s="149" t="str">
        <f ca="1">IF($AA125=0,"",IF($X125&gt;$Y125,Settings!$C$4,IF($X125=$Y125,1,0)))</f>
        <v/>
      </c>
      <c r="AF125" s="144" t="str">
        <f ca="1">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 ca="1">Planning!$L68</f>
        <v/>
      </c>
      <c r="W126" s="13" t="str">
        <f ca="1">Planning!$N68</f>
        <v/>
      </c>
      <c r="X126" s="13" t="str">
        <f ca="1">IF(AND(PreliminaryRound!$I74&lt;&gt;"",PreliminaryRound!$K74&lt;&gt;"",PreliminaryRound!$F74&lt;&gt;PreliminaryRound!$H74,$V126&lt;&gt;"",$W126&lt;&gt;""),PreliminaryRound!$I74,"")</f>
        <v/>
      </c>
      <c r="Y126" s="36" t="str">
        <f ca="1">IF(AND(PreliminaryRound!$I74&lt;&gt;"",PreliminaryRound!$K74&lt;&gt;"",PreliminaryRound!$F74&lt;&gt;PreliminaryRound!$H74,$V126&lt;&gt;"",$W126&lt;&gt;""),PreliminaryRound!$K74,"")</f>
        <v/>
      </c>
      <c r="Z126" s="35" t="str">
        <f t="shared" ca="1" si="82"/>
        <v/>
      </c>
      <c r="AA126" s="13">
        <f t="shared" ca="1" si="83"/>
        <v>0</v>
      </c>
      <c r="AB126" s="13" t="str">
        <f ca="1">IF(AA126&gt;0,X126&amp;Language!$E$80&amp;Y126,"")</f>
        <v/>
      </c>
      <c r="AD126" s="144"/>
      <c r="AE126" s="149" t="str">
        <f ca="1">IF($AA126=0,"",IF($X126&gt;$Y126,Settings!$C$4,IF($X126=$Y126,1,0)))</f>
        <v/>
      </c>
      <c r="AF126" s="144" t="str">
        <f ca="1">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 ca="1">Planning!$L69</f>
        <v/>
      </c>
      <c r="W127" s="13" t="str">
        <f ca="1">Planning!$N69</f>
        <v/>
      </c>
      <c r="X127" s="13" t="str">
        <f ca="1">IF(AND(PreliminaryRound!$I75&lt;&gt;"",PreliminaryRound!$K75&lt;&gt;"",PreliminaryRound!$F75&lt;&gt;PreliminaryRound!$H75,$V127&lt;&gt;"",$W127&lt;&gt;""),PreliminaryRound!$I75,"")</f>
        <v/>
      </c>
      <c r="Y127" s="36" t="str">
        <f ca="1">IF(AND(PreliminaryRound!$I75&lt;&gt;"",PreliminaryRound!$K75&lt;&gt;"",PreliminaryRound!$F75&lt;&gt;PreliminaryRound!$H75,$V127&lt;&gt;"",$W127&lt;&gt;""),PreliminaryRound!$K75,"")</f>
        <v/>
      </c>
      <c r="Z127" s="35" t="str">
        <f t="shared" ca="1" si="82"/>
        <v/>
      </c>
      <c r="AA127" s="13">
        <f t="shared" ca="1" si="83"/>
        <v>0</v>
      </c>
      <c r="AB127" s="13" t="str">
        <f ca="1">IF(AA127&gt;0,X127&amp;Language!$E$80&amp;Y127,"")</f>
        <v/>
      </c>
      <c r="AD127" s="144"/>
      <c r="AE127" s="149" t="str">
        <f ca="1">IF($AA127=0,"",IF($X127&gt;$Y127,Settings!$C$4,IF($X127=$Y127,1,0)))</f>
        <v/>
      </c>
      <c r="AF127" s="144" t="str">
        <f ca="1">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 ca="1">Planning!$L70</f>
        <v/>
      </c>
      <c r="W128" s="13" t="str">
        <f ca="1">Planning!$N70</f>
        <v/>
      </c>
      <c r="X128" s="13" t="str">
        <f ca="1">IF(AND(PreliminaryRound!$I76&lt;&gt;"",PreliminaryRound!$K76&lt;&gt;"",PreliminaryRound!$F76&lt;&gt;PreliminaryRound!$H76,$V128&lt;&gt;"",$W128&lt;&gt;""),PreliminaryRound!$I76,"")</f>
        <v/>
      </c>
      <c r="Y128" s="36" t="str">
        <f ca="1">IF(AND(PreliminaryRound!$I76&lt;&gt;"",PreliminaryRound!$K76&lt;&gt;"",PreliminaryRound!$F76&lt;&gt;PreliminaryRound!$H76,$V128&lt;&gt;"",$W128&lt;&gt;""),PreliminaryRound!$K76,"")</f>
        <v/>
      </c>
      <c r="Z128" s="35" t="str">
        <f t="shared" ca="1" si="82"/>
        <v/>
      </c>
      <c r="AA128" s="13">
        <f t="shared" ca="1" si="83"/>
        <v>0</v>
      </c>
      <c r="AB128" s="13" t="str">
        <f ca="1">IF(AA128&gt;0,X128&amp;Language!$E$80&amp;Y128,"")</f>
        <v/>
      </c>
      <c r="AD128" s="144"/>
      <c r="AE128" s="149" t="str">
        <f ca="1">IF($AA128=0,"",IF($X128&gt;$Y128,Settings!$C$4,IF($X128=$Y128,1,0)))</f>
        <v/>
      </c>
      <c r="AF128" s="144" t="str">
        <f ca="1">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 ca="1">Planning!$L71</f>
        <v/>
      </c>
      <c r="W129" s="13" t="str">
        <f ca="1">Planning!$N71</f>
        <v/>
      </c>
      <c r="X129" s="13" t="str">
        <f ca="1">IF(AND(PreliminaryRound!$I77&lt;&gt;"",PreliminaryRound!$K77&lt;&gt;"",PreliminaryRound!$F77&lt;&gt;PreliminaryRound!$H77,$V129&lt;&gt;"",$W129&lt;&gt;""),PreliminaryRound!$I77,"")</f>
        <v/>
      </c>
      <c r="Y129" s="36" t="str">
        <f ca="1">IF(AND(PreliminaryRound!$I77&lt;&gt;"",PreliminaryRound!$K77&lt;&gt;"",PreliminaryRound!$F77&lt;&gt;PreliminaryRound!$H77,$V129&lt;&gt;"",$W129&lt;&gt;""),PreliminaryRound!$K77,"")</f>
        <v/>
      </c>
      <c r="Z129" s="35" t="str">
        <f t="shared" ca="1" si="82"/>
        <v/>
      </c>
      <c r="AA129" s="13">
        <f t="shared" ca="1" si="83"/>
        <v>0</v>
      </c>
      <c r="AB129" s="13" t="str">
        <f ca="1">IF(AA129&gt;0,X129&amp;Language!$E$80&amp;Y129,"")</f>
        <v/>
      </c>
      <c r="AC129" s="4"/>
      <c r="AD129" s="144"/>
      <c r="AE129" s="149" t="str">
        <f ca="1">IF($AA129=0,"",IF($X129&gt;$Y129,Settings!$C$4,IF($X129=$Y129,1,0)))</f>
        <v/>
      </c>
      <c r="AF129" s="144" t="str">
        <f ca="1">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 ca="1">Planning!$L72</f>
        <v/>
      </c>
      <c r="W130" s="13" t="str">
        <f ca="1">Planning!$N72</f>
        <v/>
      </c>
      <c r="X130" s="13" t="str">
        <f ca="1">IF(AND(PreliminaryRound!$I78&lt;&gt;"",PreliminaryRound!$K78&lt;&gt;"",PreliminaryRound!$F78&lt;&gt;PreliminaryRound!$H78,$V130&lt;&gt;"",$W130&lt;&gt;""),PreliminaryRound!$I78,"")</f>
        <v/>
      </c>
      <c r="Y130" s="36" t="str">
        <f ca="1">IF(AND(PreliminaryRound!$I78&lt;&gt;"",PreliminaryRound!$K78&lt;&gt;"",PreliminaryRound!$F78&lt;&gt;PreliminaryRound!$H78,$V130&lt;&gt;"",$W130&lt;&gt;""),PreliminaryRound!$K78,"")</f>
        <v/>
      </c>
      <c r="Z130" s="35" t="str">
        <f t="shared" ca="1" si="82"/>
        <v/>
      </c>
      <c r="AA130" s="13">
        <f t="shared" ca="1" si="83"/>
        <v>0</v>
      </c>
      <c r="AB130" s="13" t="str">
        <f ca="1">IF(AA130&gt;0,X130&amp;Language!$E$80&amp;Y130,"")</f>
        <v/>
      </c>
      <c r="AC130" s="4"/>
      <c r="AD130" s="144"/>
      <c r="AE130" s="149" t="str">
        <f ca="1">IF($AA130=0,"",IF($X130&gt;$Y130,Settings!$C$4,IF($X130=$Y130,1,0)))</f>
        <v/>
      </c>
      <c r="AF130" s="144" t="str">
        <f ca="1">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 ca="1">Planning!$L73</f>
        <v/>
      </c>
      <c r="W131" s="13" t="str">
        <f ca="1">Planning!$N73</f>
        <v/>
      </c>
      <c r="X131" s="13" t="str">
        <f ca="1">IF(AND(PreliminaryRound!$I79&lt;&gt;"",PreliminaryRound!$K79&lt;&gt;"",PreliminaryRound!$F79&lt;&gt;PreliminaryRound!$H79,$V131&lt;&gt;"",$W131&lt;&gt;""),PreliminaryRound!$I79,"")</f>
        <v/>
      </c>
      <c r="Y131" s="36" t="str">
        <f ca="1">IF(AND(PreliminaryRound!$I79&lt;&gt;"",PreliminaryRound!$K79&lt;&gt;"",PreliminaryRound!$F79&lt;&gt;PreliminaryRound!$H79,$V131&lt;&gt;"",$W131&lt;&gt;""),PreliminaryRound!$K79,"")</f>
        <v/>
      </c>
      <c r="Z131" s="35" t="str">
        <f t="shared" ca="1" si="82"/>
        <v/>
      </c>
      <c r="AA131" s="13">
        <f t="shared" ca="1" si="83"/>
        <v>0</v>
      </c>
      <c r="AB131" s="13" t="str">
        <f ca="1">IF(AA131&gt;0,X131&amp;Language!$E$80&amp;Y131,"")</f>
        <v/>
      </c>
      <c r="AC131" s="4"/>
      <c r="AD131" s="144"/>
      <c r="AE131" s="149" t="str">
        <f ca="1">IF($AA131=0,"",IF($X131&gt;$Y131,Settings!$C$4,IF($X131=$Y131,1,0)))</f>
        <v/>
      </c>
      <c r="AF131" s="144" t="str">
        <f ca="1">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 ca="1">Planning!$L74</f>
        <v/>
      </c>
      <c r="W132" s="13" t="str">
        <f ca="1">Planning!$N74</f>
        <v/>
      </c>
      <c r="X132" s="13" t="str">
        <f ca="1">IF(AND(PreliminaryRound!$I80&lt;&gt;"",PreliminaryRound!$K80&lt;&gt;"",PreliminaryRound!$F80&lt;&gt;PreliminaryRound!$H80,$V132&lt;&gt;"",$W132&lt;&gt;""),PreliminaryRound!$I80,"")</f>
        <v/>
      </c>
      <c r="Y132" s="36" t="str">
        <f ca="1">IF(AND(PreliminaryRound!$I80&lt;&gt;"",PreliminaryRound!$K80&lt;&gt;"",PreliminaryRound!$F80&lt;&gt;PreliminaryRound!$H80,$V132&lt;&gt;"",$W132&lt;&gt;""),PreliminaryRound!$K80,"")</f>
        <v/>
      </c>
      <c r="Z132" s="35" t="str">
        <f t="shared" ca="1" si="82"/>
        <v/>
      </c>
      <c r="AA132" s="13">
        <f t="shared" ca="1" si="83"/>
        <v>0</v>
      </c>
      <c r="AB132" s="13" t="str">
        <f ca="1">IF(AA132&gt;0,X132&amp;Language!$E$80&amp;Y132,"")</f>
        <v/>
      </c>
      <c r="AC132" s="4"/>
      <c r="AD132" s="144"/>
      <c r="AE132" s="149" t="str">
        <f ca="1">IF($AA132=0,"",IF($X132&gt;$Y132,Settings!$C$4,IF($X132=$Y132,1,0)))</f>
        <v/>
      </c>
      <c r="AF132" s="144" t="str">
        <f ca="1">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 ca="1">Planning!$L75</f>
        <v/>
      </c>
      <c r="W133" s="13" t="str">
        <f ca="1">Planning!$N75</f>
        <v/>
      </c>
      <c r="X133" s="13" t="str">
        <f ca="1">IF(AND(PreliminaryRound!$I81&lt;&gt;"",PreliminaryRound!$K81&lt;&gt;"",PreliminaryRound!$F81&lt;&gt;PreliminaryRound!$H81,$V133&lt;&gt;"",$W133&lt;&gt;""),PreliminaryRound!$I81,"")</f>
        <v/>
      </c>
      <c r="Y133" s="36" t="str">
        <f ca="1">IF(AND(PreliminaryRound!$I81&lt;&gt;"",PreliminaryRound!$K81&lt;&gt;"",PreliminaryRound!$F81&lt;&gt;PreliminaryRound!$H81,$V133&lt;&gt;"",$W133&lt;&gt;""),PreliminaryRound!$K81,"")</f>
        <v/>
      </c>
      <c r="Z133" s="35" t="str">
        <f t="shared" ca="1" si="82"/>
        <v/>
      </c>
      <c r="AA133" s="13">
        <f t="shared" ca="1" si="83"/>
        <v>0</v>
      </c>
      <c r="AB133" s="13" t="str">
        <f ca="1">IF(AA133&gt;0,X133&amp;Language!$E$80&amp;Y133,"")</f>
        <v/>
      </c>
      <c r="AC133" s="4"/>
      <c r="AD133" s="144"/>
      <c r="AE133" s="149" t="str">
        <f ca="1">IF($AA133=0,"",IF($X133&gt;$Y133,Settings!$C$4,IF($X133=$Y133,1,0)))</f>
        <v/>
      </c>
      <c r="AF133" s="144" t="str">
        <f ca="1">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 ca="1">Planning!$L76</f>
        <v/>
      </c>
      <c r="W134" s="13" t="str">
        <f ca="1">Planning!$N76</f>
        <v/>
      </c>
      <c r="X134" s="13" t="str">
        <f ca="1">IF(AND(PreliminaryRound!$I82&lt;&gt;"",PreliminaryRound!$K82&lt;&gt;"",PreliminaryRound!$F82&lt;&gt;PreliminaryRound!$H82,$V134&lt;&gt;"",$W134&lt;&gt;""),PreliminaryRound!$I82,"")</f>
        <v/>
      </c>
      <c r="Y134" s="36" t="str">
        <f ca="1">IF(AND(PreliminaryRound!$I82&lt;&gt;"",PreliminaryRound!$K82&lt;&gt;"",PreliminaryRound!$F82&lt;&gt;PreliminaryRound!$H82,$V134&lt;&gt;"",$W134&lt;&gt;""),PreliminaryRound!$K82,"")</f>
        <v/>
      </c>
      <c r="Z134" s="35" t="str">
        <f t="shared" ca="1" si="82"/>
        <v/>
      </c>
      <c r="AA134" s="13">
        <f t="shared" ca="1" si="83"/>
        <v>0</v>
      </c>
      <c r="AB134" s="13" t="str">
        <f ca="1">IF(AA134&gt;0,X134&amp;Language!$E$80&amp;Y134,"")</f>
        <v/>
      </c>
      <c r="AC134" s="4"/>
      <c r="AD134" s="144"/>
      <c r="AE134" s="149" t="str">
        <f ca="1">IF($AA134=0,"",IF($X134&gt;$Y134,Settings!$C$4,IF($X134=$Y134,1,0)))</f>
        <v/>
      </c>
      <c r="AF134" s="144" t="str">
        <f ca="1">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 ca="1">Planning!$L77</f>
        <v/>
      </c>
      <c r="W135" s="38" t="str">
        <f ca="1">Planning!$N77</f>
        <v/>
      </c>
      <c r="X135" s="38" t="str">
        <f ca="1">IF(AND(PreliminaryRound!$I83&lt;&gt;"",PreliminaryRound!$K83&lt;&gt;"",PreliminaryRound!$F83&lt;&gt;PreliminaryRound!$H83,$V135&lt;&gt;"",$W135&lt;&gt;""),PreliminaryRound!$I83,"")</f>
        <v/>
      </c>
      <c r="Y135" s="39" t="str">
        <f ca="1">IF(AND(PreliminaryRound!$I83&lt;&gt;"",PreliminaryRound!$K83&lt;&gt;"",PreliminaryRound!$F83&lt;&gt;PreliminaryRound!$H83,$V135&lt;&gt;"",$W135&lt;&gt;""),PreliminaryRound!$K83,"")</f>
        <v/>
      </c>
      <c r="Z135" s="37" t="str">
        <f t="shared" ca="1" si="82"/>
        <v/>
      </c>
      <c r="AA135" s="38">
        <f t="shared" ca="1" si="83"/>
        <v>0</v>
      </c>
      <c r="AB135" s="38" t="str">
        <f ca="1">IF(AA135&gt;0,X135&amp;Language!$E$80&amp;Y135,"")</f>
        <v/>
      </c>
      <c r="AC135" s="542"/>
      <c r="AD135" s="543"/>
      <c r="AE135" s="150" t="str">
        <f ca="1">IF($AA135=0,"",IF($X135&gt;$Y135,Settings!$C$4,IF($X135=$Y135,1,0)))</f>
        <v/>
      </c>
      <c r="AF135" s="146" t="str">
        <f ca="1">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5" t="str">
        <f ca="1">W64&amp;V64</f>
        <v>Knock Out Rangers1. FC Riedwald</v>
      </c>
      <c r="AA136" s="13">
        <f ca="1">AA64</f>
        <v>1</v>
      </c>
      <c r="AB136" s="13" t="str">
        <f ca="1">IF(AA136&gt;0,Y64&amp;Language!$E$80&amp;X64,"")</f>
        <v>6-2</v>
      </c>
      <c r="AD136" s="144"/>
    </row>
    <row r="137" spans="2:32" x14ac:dyDescent="0.2">
      <c r="Y137" s="67" t="s">
        <v>8</v>
      </c>
      <c r="Z137" s="35" t="str">
        <f ca="1">W65&amp;V65</f>
        <v>Borussia HeineMainz 05</v>
      </c>
      <c r="AA137" s="13">
        <f t="shared" ref="AA137:AA200" ca="1" si="84">AA65</f>
        <v>1</v>
      </c>
      <c r="AB137" s="13" t="str">
        <f ca="1">IF(AA137&gt;0,Y65&amp;Language!$E$80&amp;X65,"")</f>
        <v>4-2</v>
      </c>
      <c r="AC137" s="2"/>
      <c r="AD137" s="144"/>
    </row>
    <row r="138" spans="2:32" x14ac:dyDescent="0.2">
      <c r="Y138" s="67" t="s">
        <v>9</v>
      </c>
      <c r="Z138" s="35" t="str">
        <f t="shared" ref="Z138:Z201" ca="1" si="85">W66&amp;V66</f>
        <v>FC BarcelonaRaslo Winners</v>
      </c>
      <c r="AA138" s="13">
        <f t="shared" ca="1" si="84"/>
        <v>1</v>
      </c>
      <c r="AB138" s="13" t="str">
        <f ca="1">IF(AA138&gt;0,Y66&amp;Language!$E$80&amp;X66,"")</f>
        <v>4-1</v>
      </c>
      <c r="AC138" s="2"/>
      <c r="AD138" s="144"/>
    </row>
    <row r="139" spans="2:32" x14ac:dyDescent="0.2">
      <c r="Y139" s="67" t="s">
        <v>10</v>
      </c>
      <c r="Z139" s="35" t="str">
        <f t="shared" ca="1" si="85"/>
        <v>Inter MailandVFL Ronsdorf</v>
      </c>
      <c r="AA139" s="13">
        <f t="shared" ca="1" si="84"/>
        <v>1</v>
      </c>
      <c r="AB139" s="13" t="str">
        <f ca="1">IF(AA139&gt;0,Y67&amp;Language!$E$80&amp;X67,"")</f>
        <v>5-2</v>
      </c>
      <c r="AC139" s="2"/>
      <c r="AD139" s="144"/>
    </row>
    <row r="140" spans="2:32" x14ac:dyDescent="0.2">
      <c r="Y140" s="67" t="s">
        <v>11</v>
      </c>
      <c r="Z140" s="35" t="str">
        <f t="shared" ca="1" si="85"/>
        <v>Fun Kickers OesEintracht Frankfurt</v>
      </c>
      <c r="AA140" s="13">
        <f t="shared" ca="1" si="84"/>
        <v>1</v>
      </c>
      <c r="AB140" s="13" t="str">
        <f ca="1">IF(AA140&gt;0,Y68&amp;Language!$E$80&amp;X68,"")</f>
        <v>2-4</v>
      </c>
      <c r="AC140" s="2"/>
      <c r="AD140" s="144"/>
    </row>
    <row r="141" spans="2:32" x14ac:dyDescent="0.2">
      <c r="Y141" s="67" t="s">
        <v>12</v>
      </c>
      <c r="Z141" s="35" t="str">
        <f t="shared" ca="1" si="85"/>
        <v>AC RomaSSV Wildbach</v>
      </c>
      <c r="AA141" s="13">
        <f t="shared" ca="1" si="84"/>
        <v>1</v>
      </c>
      <c r="AB141" s="13" t="str">
        <f ca="1">IF(AA141&gt;0,Y69&amp;Language!$E$80&amp;X69,"")</f>
        <v>5-0</v>
      </c>
      <c r="AC141" s="2"/>
      <c r="AD141" s="144"/>
    </row>
    <row r="142" spans="2:32" x14ac:dyDescent="0.2">
      <c r="Y142" s="67" t="s">
        <v>17</v>
      </c>
      <c r="Z142" s="35" t="str">
        <f t="shared" ca="1" si="85"/>
        <v>Maibach 1822 eVVFB Essenheim</v>
      </c>
      <c r="AA142" s="13">
        <f t="shared" ca="1" si="84"/>
        <v>1</v>
      </c>
      <c r="AB142" s="13" t="str">
        <f ca="1">IF(AA142&gt;0,Y70&amp;Language!$E$80&amp;X70,"")</f>
        <v>2-2</v>
      </c>
      <c r="AC142" s="2"/>
      <c r="AD142" s="144"/>
    </row>
    <row r="143" spans="2:32" x14ac:dyDescent="0.2">
      <c r="Y143" s="67" t="s">
        <v>18</v>
      </c>
      <c r="Z143" s="35" t="str">
        <f t="shared" ca="1" si="85"/>
        <v>Manchester CityFC Grönlingen</v>
      </c>
      <c r="AA143" s="13">
        <f t="shared" ca="1" si="84"/>
        <v>1</v>
      </c>
      <c r="AB143" s="13" t="str">
        <f ca="1">IF(AA143&gt;0,Y71&amp;Language!$E$80&amp;X71,"")</f>
        <v>5-2</v>
      </c>
      <c r="AC143" s="2"/>
      <c r="AD143" s="144"/>
    </row>
    <row r="144" spans="2:32" x14ac:dyDescent="0.2">
      <c r="Y144" s="67" t="s">
        <v>19</v>
      </c>
      <c r="Z144" s="35" t="str">
        <f t="shared" ca="1" si="85"/>
        <v>1. FC RiedwaldRaslo Winners</v>
      </c>
      <c r="AA144" s="13">
        <f t="shared" ca="1" si="84"/>
        <v>1</v>
      </c>
      <c r="AB144" s="13" t="str">
        <f ca="1">IF(AA144&gt;0,Y72&amp;Language!$E$80&amp;X72,"")</f>
        <v>0-2</v>
      </c>
      <c r="AC144" s="2"/>
      <c r="AD144" s="144"/>
    </row>
    <row r="145" spans="25:30" x14ac:dyDescent="0.2">
      <c r="Y145" s="67" t="s">
        <v>25</v>
      </c>
      <c r="Z145" s="35" t="str">
        <f t="shared" ca="1" si="85"/>
        <v>Mainz 05VFL Ronsdorf</v>
      </c>
      <c r="AA145" s="13">
        <f t="shared" ca="1" si="84"/>
        <v>1</v>
      </c>
      <c r="AB145" s="13" t="str">
        <f ca="1">IF(AA145&gt;0,Y73&amp;Language!$E$80&amp;X73,"")</f>
        <v>6-2</v>
      </c>
      <c r="AC145" s="2"/>
      <c r="AD145" s="144"/>
    </row>
    <row r="146" spans="25:30" x14ac:dyDescent="0.2">
      <c r="Y146" s="67" t="s">
        <v>26</v>
      </c>
      <c r="Z146" s="35" t="str">
        <f t="shared" ca="1" si="85"/>
        <v>Knock Out RangersFun Kickers Oes</v>
      </c>
      <c r="AA146" s="13">
        <f t="shared" ca="1" si="84"/>
        <v>1</v>
      </c>
      <c r="AB146" s="13" t="str">
        <f ca="1">IF(AA146&gt;0,Y74&amp;Language!$E$80&amp;X74,"")</f>
        <v>2-3</v>
      </c>
      <c r="AC146" s="2"/>
      <c r="AD146" s="144"/>
    </row>
    <row r="147" spans="25:30" x14ac:dyDescent="0.2">
      <c r="Y147" s="67" t="s">
        <v>27</v>
      </c>
      <c r="Z147" s="35" t="str">
        <f t="shared" ca="1" si="85"/>
        <v>Borussia HeineAC Roma</v>
      </c>
      <c r="AA147" s="13">
        <f t="shared" ca="1" si="84"/>
        <v>1</v>
      </c>
      <c r="AB147" s="13" t="str">
        <f ca="1">IF(AA147&gt;0,Y75&amp;Language!$E$80&amp;X75,"")</f>
        <v>1-2</v>
      </c>
      <c r="AC147" s="2"/>
      <c r="AD147" s="144"/>
    </row>
    <row r="148" spans="25:30" x14ac:dyDescent="0.2">
      <c r="Y148" s="67" t="s">
        <v>28</v>
      </c>
      <c r="Z148" s="35" t="str">
        <f t="shared" ca="1" si="85"/>
        <v>VFB EssenheimFC Barcelona</v>
      </c>
      <c r="AA148" s="13">
        <f t="shared" ca="1" si="84"/>
        <v>1</v>
      </c>
      <c r="AB148" s="13" t="str">
        <f ca="1">IF(AA148&gt;0,Y76&amp;Language!$E$80&amp;X76,"")</f>
        <v>0-6</v>
      </c>
      <c r="AC148" s="2"/>
      <c r="AD148" s="144"/>
    </row>
    <row r="149" spans="25:30" x14ac:dyDescent="0.2">
      <c r="Y149" s="67" t="s">
        <v>29</v>
      </c>
      <c r="Z149" s="35" t="str">
        <f t="shared" ca="1" si="85"/>
        <v>FC GrönlingenInter Mailand</v>
      </c>
      <c r="AA149" s="13">
        <f t="shared" ca="1" si="84"/>
        <v>1</v>
      </c>
      <c r="AB149" s="13" t="str">
        <f ca="1">IF(AA149&gt;0,Y77&amp;Language!$E$80&amp;X77,"")</f>
        <v>0-2</v>
      </c>
      <c r="AC149" s="2"/>
      <c r="AD149" s="144"/>
    </row>
    <row r="150" spans="25:30" x14ac:dyDescent="0.2">
      <c r="Y150" s="67" t="s">
        <v>30</v>
      </c>
      <c r="Z150" s="35" t="str">
        <f t="shared" ca="1" si="85"/>
        <v>Eintracht FrankfurtMaibach 1822 eV</v>
      </c>
      <c r="AA150" s="13">
        <f t="shared" ca="1" si="84"/>
        <v>1</v>
      </c>
      <c r="AB150" s="13" t="str">
        <f ca="1">IF(AA150&gt;0,Y78&amp;Language!$E$80&amp;X78,"")</f>
        <v>3-1</v>
      </c>
      <c r="AC150" s="2"/>
      <c r="AD150" s="144"/>
    </row>
    <row r="151" spans="25:30" x14ac:dyDescent="0.2">
      <c r="Y151" s="67" t="s">
        <v>31</v>
      </c>
      <c r="Z151" s="35" t="str">
        <f t="shared" ca="1" si="85"/>
        <v>SSV WildbachManchester City</v>
      </c>
      <c r="AA151" s="13">
        <f t="shared" ca="1" si="84"/>
        <v>1</v>
      </c>
      <c r="AB151" s="13" t="str">
        <f ca="1">IF(AA151&gt;0,Y79&amp;Language!$E$80&amp;X79,"")</f>
        <v>2-7</v>
      </c>
      <c r="AC151" s="2"/>
      <c r="AD151" s="144"/>
    </row>
    <row r="152" spans="25:30" x14ac:dyDescent="0.2">
      <c r="Y152" s="67" t="s">
        <v>32</v>
      </c>
      <c r="Z152" s="35" t="str">
        <f t="shared" ca="1" si="85"/>
        <v>Fun Kickers Oes1. FC Riedwald</v>
      </c>
      <c r="AA152" s="13">
        <f t="shared" ca="1" si="84"/>
        <v>1</v>
      </c>
      <c r="AB152" s="13" t="str">
        <f ca="1">IF(AA152&gt;0,Y80&amp;Language!$E$80&amp;X80,"")</f>
        <v>4-2</v>
      </c>
      <c r="AC152" s="2"/>
      <c r="AD152" s="144"/>
    </row>
    <row r="153" spans="25:30" x14ac:dyDescent="0.2">
      <c r="Y153" s="67" t="s">
        <v>33</v>
      </c>
      <c r="Z153" s="35" t="str">
        <f t="shared" ca="1" si="85"/>
        <v>AC RomaMainz 05</v>
      </c>
      <c r="AA153" s="13">
        <f t="shared" ca="1" si="84"/>
        <v>1</v>
      </c>
      <c r="AB153" s="13" t="str">
        <f ca="1">IF(AA153&gt;0,Y81&amp;Language!$E$80&amp;X81,"")</f>
        <v>5-1</v>
      </c>
      <c r="AC153" s="2"/>
      <c r="AD153" s="144"/>
    </row>
    <row r="154" spans="25:30" x14ac:dyDescent="0.2">
      <c r="Y154" s="67" t="s">
        <v>34</v>
      </c>
      <c r="Z154" s="35" t="str">
        <f t="shared" ca="1" si="85"/>
        <v>Raslo WinnersVFB Essenheim</v>
      </c>
      <c r="AA154" s="13">
        <f t="shared" ca="1" si="84"/>
        <v>1</v>
      </c>
      <c r="AB154" s="13" t="str">
        <f ca="1">IF(AA154&gt;0,Y82&amp;Language!$E$80&amp;X82,"")</f>
        <v>3-0</v>
      </c>
      <c r="AC154" s="2"/>
      <c r="AD154" s="144"/>
    </row>
    <row r="155" spans="25:30" x14ac:dyDescent="0.2">
      <c r="Y155" s="67" t="s">
        <v>35</v>
      </c>
      <c r="Z155" s="35" t="str">
        <f t="shared" ca="1" si="85"/>
        <v>VFL RonsdorfFC Grönlingen</v>
      </c>
      <c r="AA155" s="13">
        <f t="shared" ca="1" si="84"/>
        <v>1</v>
      </c>
      <c r="AB155" s="13" t="str">
        <f ca="1">IF(AA155&gt;0,Y83&amp;Language!$E$80&amp;X83,"")</f>
        <v>1-1</v>
      </c>
      <c r="AC155" s="2"/>
      <c r="AD155" s="144"/>
    </row>
    <row r="156" spans="25:30" x14ac:dyDescent="0.2">
      <c r="Y156" s="67" t="s">
        <v>36</v>
      </c>
      <c r="Z156" s="35" t="str">
        <f t="shared" ca="1" si="85"/>
        <v>Maibach 1822 eVKnock Out Rangers</v>
      </c>
      <c r="AA156" s="13">
        <f t="shared" ca="1" si="84"/>
        <v>1</v>
      </c>
      <c r="AB156" s="13" t="str">
        <f ca="1">IF(AA156&gt;0,Y84&amp;Language!$E$80&amp;X84,"")</f>
        <v>1-1</v>
      </c>
      <c r="AC156" s="2"/>
      <c r="AD156" s="144"/>
    </row>
    <row r="157" spans="25:30" x14ac:dyDescent="0.2">
      <c r="Y157" s="67" t="s">
        <v>37</v>
      </c>
      <c r="Z157" s="35" t="str">
        <f t="shared" ca="1" si="85"/>
        <v>Manchester CityBorussia Heine</v>
      </c>
      <c r="AA157" s="13">
        <f t="shared" ca="1" si="84"/>
        <v>1</v>
      </c>
      <c r="AB157" s="13" t="str">
        <f ca="1">IF(AA157&gt;0,Y85&amp;Language!$E$80&amp;X85,"")</f>
        <v>4-1</v>
      </c>
      <c r="AC157" s="2"/>
      <c r="AD157" s="144"/>
    </row>
    <row r="158" spans="25:30" x14ac:dyDescent="0.2">
      <c r="Y158" s="67" t="s">
        <v>38</v>
      </c>
      <c r="Z158" s="35" t="str">
        <f t="shared" ca="1" si="85"/>
        <v>FC BarcelonaEintracht Frankfurt</v>
      </c>
      <c r="AA158" s="13">
        <f t="shared" ca="1" si="84"/>
        <v>0</v>
      </c>
      <c r="AB158" s="13" t="str">
        <f ca="1">IF(AA158&gt;0,Y86&amp;Language!$E$80&amp;X86,"")</f>
        <v/>
      </c>
      <c r="AC158" s="2"/>
      <c r="AD158" s="144"/>
    </row>
    <row r="159" spans="25:30" x14ac:dyDescent="0.2">
      <c r="Y159" s="67" t="s">
        <v>39</v>
      </c>
      <c r="Z159" s="35" t="str">
        <f t="shared" ca="1" si="85"/>
        <v>Inter MailandSSV Wildbach</v>
      </c>
      <c r="AA159" s="13">
        <f t="shared" ca="1" si="84"/>
        <v>0</v>
      </c>
      <c r="AB159" s="13" t="str">
        <f ca="1">IF(AA159&gt;0,Y87&amp;Language!$E$80&amp;X87,"")</f>
        <v/>
      </c>
      <c r="AC159" s="2"/>
      <c r="AD159" s="144"/>
    </row>
    <row r="160" spans="25:30" x14ac:dyDescent="0.2">
      <c r="Y160" s="67" t="s">
        <v>40</v>
      </c>
      <c r="Z160" s="35" t="str">
        <f t="shared" ca="1" si="85"/>
        <v>1. FC RiedwaldVFB Essenheim</v>
      </c>
      <c r="AA160" s="13">
        <f t="shared" ca="1" si="84"/>
        <v>0</v>
      </c>
      <c r="AB160" s="13" t="str">
        <f ca="1">IF(AA160&gt;0,Y88&amp;Language!$E$80&amp;X88,"")</f>
        <v/>
      </c>
      <c r="AC160" s="2"/>
      <c r="AD160" s="144"/>
    </row>
    <row r="161" spans="25:30" x14ac:dyDescent="0.2">
      <c r="Y161" s="67" t="s">
        <v>41</v>
      </c>
      <c r="Z161" s="35" t="str">
        <f t="shared" ca="1" si="85"/>
        <v>Mainz 05FC Grönlingen</v>
      </c>
      <c r="AA161" s="13">
        <f t="shared" ca="1" si="84"/>
        <v>0</v>
      </c>
      <c r="AB161" s="13" t="str">
        <f ca="1">IF(AA161&gt;0,Y89&amp;Language!$E$80&amp;X89,"")</f>
        <v/>
      </c>
      <c r="AC161" s="2"/>
      <c r="AD161" s="144"/>
    </row>
    <row r="162" spans="25:30" x14ac:dyDescent="0.2">
      <c r="Y162" s="67" t="s">
        <v>42</v>
      </c>
      <c r="Z162" s="35" t="str">
        <f t="shared" ca="1" si="85"/>
        <v>Fun Kickers OesMaibach 1822 eV</v>
      </c>
      <c r="AA162" s="13">
        <f t="shared" ca="1" si="84"/>
        <v>0</v>
      </c>
      <c r="AB162" s="13" t="str">
        <f ca="1">IF(AA162&gt;0,Y90&amp;Language!$E$80&amp;X90,"")</f>
        <v/>
      </c>
      <c r="AC162" s="2"/>
      <c r="AD162" s="144"/>
    </row>
    <row r="163" spans="25:30" x14ac:dyDescent="0.2">
      <c r="Y163" s="67" t="s">
        <v>43</v>
      </c>
      <c r="Z163" s="35" t="str">
        <f t="shared" ca="1" si="85"/>
        <v>AC RomaManchester City</v>
      </c>
      <c r="AA163" s="13">
        <f t="shared" ca="1" si="84"/>
        <v>0</v>
      </c>
      <c r="AB163" s="13" t="str">
        <f ca="1">IF(AA163&gt;0,Y91&amp;Language!$E$80&amp;X91,"")</f>
        <v/>
      </c>
      <c r="AC163" s="2"/>
      <c r="AD163" s="144"/>
    </row>
    <row r="164" spans="25:30" x14ac:dyDescent="0.2">
      <c r="Y164" s="67" t="s">
        <v>44</v>
      </c>
      <c r="Z164" s="35" t="str">
        <f t="shared" ca="1" si="85"/>
        <v>Eintracht FrankfurtRaslo Winners</v>
      </c>
      <c r="AA164" s="13">
        <f t="shared" ca="1" si="84"/>
        <v>0</v>
      </c>
      <c r="AB164" s="13" t="str">
        <f ca="1">IF(AA164&gt;0,Y92&amp;Language!$E$80&amp;X92,"")</f>
        <v/>
      </c>
      <c r="AC164" s="2"/>
      <c r="AD164" s="144"/>
    </row>
    <row r="165" spans="25:30" x14ac:dyDescent="0.2">
      <c r="Y165" s="67" t="s">
        <v>45</v>
      </c>
      <c r="Z165" s="35" t="str">
        <f t="shared" ca="1" si="85"/>
        <v>SSV WildbachVFL Ronsdorf</v>
      </c>
      <c r="AA165" s="13">
        <f t="shared" ca="1" si="84"/>
        <v>0</v>
      </c>
      <c r="AB165" s="13" t="str">
        <f ca="1">IF(AA165&gt;0,Y93&amp;Language!$E$80&amp;X93,"")</f>
        <v/>
      </c>
      <c r="AC165" s="2"/>
      <c r="AD165" s="144"/>
    </row>
    <row r="166" spans="25:30" x14ac:dyDescent="0.2">
      <c r="Y166" s="67" t="s">
        <v>46</v>
      </c>
      <c r="Z166" s="35" t="str">
        <f t="shared" ca="1" si="85"/>
        <v>Knock Out RangersFC Barcelona</v>
      </c>
      <c r="AA166" s="13">
        <f t="shared" ca="1" si="84"/>
        <v>0</v>
      </c>
      <c r="AB166" s="13" t="str">
        <f ca="1">IF(AA166&gt;0,Y94&amp;Language!$E$80&amp;X94,"")</f>
        <v/>
      </c>
      <c r="AC166" s="2"/>
      <c r="AD166" s="144"/>
    </row>
    <row r="167" spans="25:30" x14ac:dyDescent="0.2">
      <c r="Y167" s="67" t="s">
        <v>47</v>
      </c>
      <c r="Z167" s="35" t="str">
        <f t="shared" ca="1" si="85"/>
        <v>Borussia HeineInter Mailand</v>
      </c>
      <c r="AA167" s="13">
        <f t="shared" ca="1" si="84"/>
        <v>0</v>
      </c>
      <c r="AB167" s="13" t="str">
        <f ca="1">IF(AA167&gt;0,Y95&amp;Language!$E$80&amp;X95,"")</f>
        <v/>
      </c>
      <c r="AC167" s="2"/>
      <c r="AD167" s="144"/>
    </row>
    <row r="168" spans="25:30" x14ac:dyDescent="0.2">
      <c r="Y168" s="67" t="s">
        <v>48</v>
      </c>
      <c r="Z168" s="35" t="str">
        <f t="shared" ca="1" si="85"/>
        <v>Maibach 1822 eV1. FC Riedwald</v>
      </c>
      <c r="AA168" s="13">
        <f t="shared" ca="1" si="84"/>
        <v>0</v>
      </c>
      <c r="AB168" s="13" t="str">
        <f ca="1">IF(AA168&gt;0,Y96&amp;Language!$E$80&amp;X96,"")</f>
        <v/>
      </c>
      <c r="AC168" s="2"/>
      <c r="AD168" s="144"/>
    </row>
    <row r="169" spans="25:30" x14ac:dyDescent="0.2">
      <c r="Y169" s="67" t="s">
        <v>49</v>
      </c>
      <c r="Z169" s="35" t="str">
        <f t="shared" ca="1" si="85"/>
        <v>Manchester CityMainz 05</v>
      </c>
      <c r="AA169" s="13">
        <f t="shared" ca="1" si="84"/>
        <v>0</v>
      </c>
      <c r="AB169" s="13" t="str">
        <f ca="1">IF(AA169&gt;0,Y97&amp;Language!$E$80&amp;X97,"")</f>
        <v/>
      </c>
      <c r="AC169" s="2"/>
      <c r="AD169" s="144"/>
    </row>
    <row r="170" spans="25:30" x14ac:dyDescent="0.2">
      <c r="Y170" s="67" t="s">
        <v>50</v>
      </c>
      <c r="Z170" s="35" t="str">
        <f t="shared" ca="1" si="85"/>
        <v>VFB EssenheimEintracht Frankfurt</v>
      </c>
      <c r="AA170" s="13">
        <f t="shared" ca="1" si="84"/>
        <v>0</v>
      </c>
      <c r="AB170" s="13" t="str">
        <f ca="1">IF(AA170&gt;0,Y98&amp;Language!$E$80&amp;X98,"")</f>
        <v/>
      </c>
      <c r="AC170" s="2"/>
      <c r="AD170" s="144"/>
    </row>
    <row r="171" spans="25:30" x14ac:dyDescent="0.2">
      <c r="Y171" s="67" t="s">
        <v>51</v>
      </c>
      <c r="Z171" s="35" t="str">
        <f t="shared" ca="1" si="85"/>
        <v>FC GrönlingenSSV Wildbach</v>
      </c>
      <c r="AA171" s="13">
        <f t="shared" ca="1" si="84"/>
        <v>0</v>
      </c>
      <c r="AB171" s="13" t="str">
        <f ca="1">IF(AA171&gt;0,Y99&amp;Language!$E$80&amp;X99,"")</f>
        <v/>
      </c>
      <c r="AC171" s="2"/>
      <c r="AD171" s="144"/>
    </row>
    <row r="172" spans="25:30" x14ac:dyDescent="0.2">
      <c r="Y172" s="67" t="s">
        <v>60</v>
      </c>
      <c r="Z172" s="35" t="str">
        <f t="shared" ca="1" si="85"/>
        <v>FC BarcelonaFun Kickers Oes</v>
      </c>
      <c r="AA172" s="13">
        <f t="shared" ca="1" si="84"/>
        <v>0</v>
      </c>
      <c r="AB172" s="13" t="str">
        <f ca="1">IF(AA172&gt;0,Y100&amp;Language!$E$80&amp;X100,"")</f>
        <v/>
      </c>
      <c r="AC172" s="2"/>
      <c r="AD172" s="144"/>
    </row>
    <row r="173" spans="25:30" x14ac:dyDescent="0.2">
      <c r="Y173" s="67" t="s">
        <v>61</v>
      </c>
      <c r="Z173" s="35" t="str">
        <f t="shared" ca="1" si="85"/>
        <v>Inter MailandAC Roma</v>
      </c>
      <c r="AA173" s="13">
        <f t="shared" ca="1" si="84"/>
        <v>0</v>
      </c>
      <c r="AB173" s="13" t="str">
        <f ca="1">IF(AA173&gt;0,Y101&amp;Language!$E$80&amp;X101,"")</f>
        <v/>
      </c>
      <c r="AC173" s="2"/>
      <c r="AD173" s="144"/>
    </row>
    <row r="174" spans="25:30" x14ac:dyDescent="0.2">
      <c r="Y174" s="67" t="s">
        <v>62</v>
      </c>
      <c r="Z174" s="35" t="str">
        <f t="shared" ca="1" si="85"/>
        <v>Raslo WinnersKnock Out Rangers</v>
      </c>
      <c r="AA174" s="13">
        <f t="shared" ca="1" si="84"/>
        <v>0</v>
      </c>
      <c r="AB174" s="13" t="str">
        <f ca="1">IF(AA174&gt;0,Y102&amp;Language!$E$80&amp;X102,"")</f>
        <v/>
      </c>
      <c r="AC174" s="2"/>
      <c r="AD174" s="144"/>
    </row>
    <row r="175" spans="25:30" x14ac:dyDescent="0.2">
      <c r="Y175" s="67" t="s">
        <v>63</v>
      </c>
      <c r="Z175" s="35" t="str">
        <f t="shared" ca="1" si="85"/>
        <v>VFL RonsdorfBorussia Heine</v>
      </c>
      <c r="AA175" s="13">
        <f t="shared" ca="1" si="84"/>
        <v>0</v>
      </c>
      <c r="AB175" s="13" t="str">
        <f ca="1">IF(AA175&gt;0,Y103&amp;Language!$E$80&amp;X103,"")</f>
        <v/>
      </c>
      <c r="AC175" s="2"/>
      <c r="AD175" s="144"/>
    </row>
    <row r="176" spans="25:30" x14ac:dyDescent="0.2">
      <c r="Y176" s="67" t="s">
        <v>64</v>
      </c>
      <c r="Z176" s="35" t="str">
        <f t="shared" ca="1" si="85"/>
        <v>1. FC RiedwaldEintracht Frankfurt</v>
      </c>
      <c r="AA176" s="13">
        <f t="shared" ca="1" si="84"/>
        <v>0</v>
      </c>
      <c r="AB176" s="13" t="str">
        <f ca="1">IF(AA176&gt;0,Y104&amp;Language!$E$80&amp;X104,"")</f>
        <v/>
      </c>
      <c r="AC176" s="2"/>
      <c r="AD176" s="144"/>
    </row>
    <row r="177" spans="25:30" x14ac:dyDescent="0.2">
      <c r="Y177" s="67" t="s">
        <v>65</v>
      </c>
      <c r="Z177" s="35" t="str">
        <f t="shared" ca="1" si="85"/>
        <v>Mainz 05SSV Wildbach</v>
      </c>
      <c r="AA177" s="13">
        <f t="shared" ca="1" si="84"/>
        <v>0</v>
      </c>
      <c r="AB177" s="13" t="str">
        <f ca="1">IF(AA177&gt;0,Y105&amp;Language!$E$80&amp;X105,"")</f>
        <v/>
      </c>
      <c r="AC177" s="2"/>
      <c r="AD177" s="144"/>
    </row>
    <row r="178" spans="25:30" x14ac:dyDescent="0.2">
      <c r="Y178" s="67" t="s">
        <v>66</v>
      </c>
      <c r="Z178" s="35" t="str">
        <f t="shared" ca="1" si="85"/>
        <v>Maibach 1822 eVFC Barcelona</v>
      </c>
      <c r="AA178" s="13">
        <f t="shared" ca="1" si="84"/>
        <v>0</v>
      </c>
      <c r="AB178" s="13" t="str">
        <f ca="1">IF(AA178&gt;0,Y106&amp;Language!$E$80&amp;X106,"")</f>
        <v/>
      </c>
      <c r="AC178" s="2"/>
      <c r="AD178" s="144"/>
    </row>
    <row r="179" spans="25:30" x14ac:dyDescent="0.2">
      <c r="Y179" s="67" t="s">
        <v>67</v>
      </c>
      <c r="Z179" s="35" t="str">
        <f t="shared" ca="1" si="85"/>
        <v>Manchester CityInter Mailand</v>
      </c>
      <c r="AA179" s="13">
        <f t="shared" ca="1" si="84"/>
        <v>0</v>
      </c>
      <c r="AB179" s="13" t="str">
        <f ca="1">IF(AA179&gt;0,Y107&amp;Language!$E$80&amp;X107,"")</f>
        <v/>
      </c>
      <c r="AC179" s="2"/>
      <c r="AD179" s="144"/>
    </row>
    <row r="180" spans="25:30" x14ac:dyDescent="0.2">
      <c r="Y180" s="67" t="s">
        <v>68</v>
      </c>
      <c r="Z180" s="35" t="str">
        <f t="shared" ca="1" si="85"/>
        <v>Knock Out RangersVFB Essenheim</v>
      </c>
      <c r="AA180" s="13">
        <f t="shared" ca="1" si="84"/>
        <v>0</v>
      </c>
      <c r="AB180" s="13" t="str">
        <f ca="1">IF(AA180&gt;0,Y108&amp;Language!$E$80&amp;X108,"")</f>
        <v/>
      </c>
      <c r="AC180" s="2"/>
      <c r="AD180" s="144"/>
    </row>
    <row r="181" spans="25:30" x14ac:dyDescent="0.2">
      <c r="Y181" s="67" t="s">
        <v>69</v>
      </c>
      <c r="Z181" s="35" t="str">
        <f t="shared" ca="1" si="85"/>
        <v>Borussia HeineFC Grönlingen</v>
      </c>
      <c r="AA181" s="13">
        <f t="shared" ca="1" si="84"/>
        <v>0</v>
      </c>
      <c r="AB181" s="13" t="str">
        <f ca="1">IF(AA181&gt;0,Y109&amp;Language!$E$80&amp;X109,"")</f>
        <v/>
      </c>
      <c r="AC181" s="2"/>
      <c r="AD181" s="144"/>
    </row>
    <row r="182" spans="25:30" x14ac:dyDescent="0.2">
      <c r="Y182" s="67" t="s">
        <v>70</v>
      </c>
      <c r="Z182" s="35" t="str">
        <f t="shared" ca="1" si="85"/>
        <v>Fun Kickers OesRaslo Winners</v>
      </c>
      <c r="AA182" s="13">
        <f t="shared" ca="1" si="84"/>
        <v>0</v>
      </c>
      <c r="AB182" s="13" t="str">
        <f ca="1">IF(AA182&gt;0,Y110&amp;Language!$E$80&amp;X110,"")</f>
        <v/>
      </c>
      <c r="AC182" s="2"/>
      <c r="AD182" s="144"/>
    </row>
    <row r="183" spans="25:30" x14ac:dyDescent="0.2">
      <c r="Y183" s="67" t="s">
        <v>71</v>
      </c>
      <c r="Z183" s="35" t="str">
        <f t="shared" ca="1" si="85"/>
        <v>AC RomaVFL Ronsdorf</v>
      </c>
      <c r="AA183" s="13">
        <f t="shared" ca="1" si="84"/>
        <v>0</v>
      </c>
      <c r="AB183" s="13" t="str">
        <f ca="1">IF(AA183&gt;0,Y111&amp;Language!$E$80&amp;X111,"")</f>
        <v/>
      </c>
      <c r="AC183" s="2"/>
      <c r="AD183" s="144"/>
    </row>
    <row r="184" spans="25:30" x14ac:dyDescent="0.2">
      <c r="Y184" s="67" t="s">
        <v>72</v>
      </c>
      <c r="Z184" s="35" t="str">
        <f t="shared" ca="1" si="85"/>
        <v>FC Barcelona1. FC Riedwald</v>
      </c>
      <c r="AA184" s="13">
        <f t="shared" ca="1" si="84"/>
        <v>0</v>
      </c>
      <c r="AB184" s="13" t="str">
        <f ca="1">IF(AA184&gt;0,Y112&amp;Language!$E$80&amp;X112,"")</f>
        <v/>
      </c>
      <c r="AC184" s="2"/>
      <c r="AD184" s="144"/>
    </row>
    <row r="185" spans="25:30" x14ac:dyDescent="0.2">
      <c r="Y185" s="67" t="s">
        <v>73</v>
      </c>
      <c r="Z185" s="35" t="str">
        <f t="shared" ca="1" si="85"/>
        <v>Inter MailandMainz 05</v>
      </c>
      <c r="AA185" s="13">
        <f t="shared" ca="1" si="84"/>
        <v>0</v>
      </c>
      <c r="AB185" s="13" t="str">
        <f ca="1">IF(AA185&gt;0,Y113&amp;Language!$E$80&amp;X113,"")</f>
        <v/>
      </c>
      <c r="AC185" s="2"/>
      <c r="AD185" s="144"/>
    </row>
    <row r="186" spans="25:30" x14ac:dyDescent="0.2">
      <c r="Y186" s="67" t="s">
        <v>74</v>
      </c>
      <c r="Z186" s="35" t="str">
        <f t="shared" ca="1" si="85"/>
        <v>Eintracht FrankfurtKnock Out Rangers</v>
      </c>
      <c r="AA186" s="13">
        <f t="shared" ca="1" si="84"/>
        <v>0</v>
      </c>
      <c r="AB186" s="13" t="str">
        <f ca="1">IF(AA186&gt;0,Y114&amp;Language!$E$80&amp;X114,"")</f>
        <v/>
      </c>
      <c r="AC186" s="2"/>
      <c r="AD186" s="144"/>
    </row>
    <row r="187" spans="25:30" x14ac:dyDescent="0.2">
      <c r="Y187" s="67" t="s">
        <v>75</v>
      </c>
      <c r="Z187" s="35" t="str">
        <f t="shared" ca="1" si="85"/>
        <v>SSV WildbachBorussia Heine</v>
      </c>
      <c r="AA187" s="13">
        <f t="shared" ca="1" si="84"/>
        <v>0</v>
      </c>
      <c r="AB187" s="13" t="str">
        <f ca="1">IF(AA187&gt;0,Y115&amp;Language!$E$80&amp;X115,"")</f>
        <v/>
      </c>
      <c r="AC187" s="2"/>
      <c r="AD187" s="144"/>
    </row>
    <row r="188" spans="25:30" x14ac:dyDescent="0.2">
      <c r="Y188" s="67" t="s">
        <v>76</v>
      </c>
      <c r="Z188" s="35" t="str">
        <f t="shared" ca="1" si="85"/>
        <v>Raslo WinnersMaibach 1822 eV</v>
      </c>
      <c r="AA188" s="13">
        <f t="shared" ca="1" si="84"/>
        <v>0</v>
      </c>
      <c r="AB188" s="13" t="str">
        <f ca="1">IF(AA188&gt;0,Y116&amp;Language!$E$80&amp;X116,"")</f>
        <v/>
      </c>
      <c r="AC188" s="2"/>
      <c r="AD188" s="144"/>
    </row>
    <row r="189" spans="25:30" x14ac:dyDescent="0.2">
      <c r="Y189" s="67" t="s">
        <v>77</v>
      </c>
      <c r="Z189" s="35" t="str">
        <f t="shared" ca="1" si="85"/>
        <v>VFL RonsdorfManchester City</v>
      </c>
      <c r="AA189" s="13">
        <f t="shared" ca="1" si="84"/>
        <v>0</v>
      </c>
      <c r="AB189" s="13" t="str">
        <f ca="1">IF(AA189&gt;0,Y117&amp;Language!$E$80&amp;X117,"")</f>
        <v/>
      </c>
      <c r="AC189" s="2"/>
      <c r="AD189" s="144"/>
    </row>
    <row r="190" spans="25:30" x14ac:dyDescent="0.2">
      <c r="Y190" s="67" t="s">
        <v>78</v>
      </c>
      <c r="Z190" s="35" t="str">
        <f t="shared" ca="1" si="85"/>
        <v>VFB EssenheimFun Kickers Oes</v>
      </c>
      <c r="AA190" s="13">
        <f t="shared" ca="1" si="84"/>
        <v>0</v>
      </c>
      <c r="AB190" s="13" t="str">
        <f ca="1">IF(AA190&gt;0,Y118&amp;Language!$E$80&amp;X118,"")</f>
        <v/>
      </c>
      <c r="AC190" s="2"/>
      <c r="AD190" s="144"/>
    </row>
    <row r="191" spans="25:30" x14ac:dyDescent="0.2">
      <c r="Y191" s="67" t="s">
        <v>79</v>
      </c>
      <c r="Z191" s="35" t="str">
        <f t="shared" ca="1" si="85"/>
        <v>FC GrönlingenAC Roma</v>
      </c>
      <c r="AA191" s="13">
        <f t="shared" ca="1" si="84"/>
        <v>0</v>
      </c>
      <c r="AB191" s="13" t="str">
        <f ca="1">IF(AA191&gt;0,Y119&amp;Language!$E$80&amp;X119,"")</f>
        <v/>
      </c>
      <c r="AC191" s="2"/>
      <c r="AD191" s="144"/>
    </row>
    <row r="192" spans="25:30" x14ac:dyDescent="0.2">
      <c r="Y192" s="67" t="s">
        <v>80</v>
      </c>
      <c r="Z192" s="35" t="str">
        <f t="shared" ca="1" si="85"/>
        <v/>
      </c>
      <c r="AA192" s="13">
        <f t="shared" ca="1" si="84"/>
        <v>0</v>
      </c>
      <c r="AB192" s="13" t="str">
        <f ca="1">IF(AA192&gt;0,Y120&amp;Language!$E$80&amp;X120,"")</f>
        <v/>
      </c>
      <c r="AC192" s="2"/>
      <c r="AD192" s="144"/>
    </row>
    <row r="193" spans="25:30" x14ac:dyDescent="0.2">
      <c r="Y193" s="67" t="s">
        <v>81</v>
      </c>
      <c r="Z193" s="35" t="str">
        <f t="shared" ca="1" si="85"/>
        <v/>
      </c>
      <c r="AA193" s="13">
        <f t="shared" ca="1" si="84"/>
        <v>0</v>
      </c>
      <c r="AB193" s="13" t="str">
        <f ca="1">IF(AA193&gt;0,Y121&amp;Language!$E$80&amp;X121,"")</f>
        <v/>
      </c>
      <c r="AC193" s="2"/>
      <c r="AD193" s="144"/>
    </row>
    <row r="194" spans="25:30" x14ac:dyDescent="0.2">
      <c r="Y194" s="67" t="s">
        <v>82</v>
      </c>
      <c r="Z194" s="35" t="str">
        <f t="shared" ca="1" si="85"/>
        <v/>
      </c>
      <c r="AA194" s="13">
        <f t="shared" ca="1" si="84"/>
        <v>0</v>
      </c>
      <c r="AB194" s="13" t="str">
        <f ca="1">IF(AA194&gt;0,Y122&amp;Language!$E$80&amp;X122,"")</f>
        <v/>
      </c>
      <c r="AC194" s="2"/>
      <c r="AD194" s="144"/>
    </row>
    <row r="195" spans="25:30" x14ac:dyDescent="0.2">
      <c r="Y195" s="67" t="s">
        <v>83</v>
      </c>
      <c r="Z195" s="35" t="str">
        <f t="shared" ca="1" si="85"/>
        <v/>
      </c>
      <c r="AA195" s="13">
        <f t="shared" ca="1" si="84"/>
        <v>0</v>
      </c>
      <c r="AB195" s="13" t="str">
        <f ca="1">IF(AA195&gt;0,Y123&amp;Language!$E$80&amp;X123,"")</f>
        <v/>
      </c>
      <c r="AC195" s="2"/>
      <c r="AD195" s="144"/>
    </row>
    <row r="196" spans="25:30" x14ac:dyDescent="0.2">
      <c r="Y196" s="67" t="s">
        <v>84</v>
      </c>
      <c r="Z196" s="35" t="str">
        <f t="shared" ca="1" si="85"/>
        <v/>
      </c>
      <c r="AA196" s="13">
        <f t="shared" ca="1" si="84"/>
        <v>0</v>
      </c>
      <c r="AB196" s="13" t="str">
        <f ca="1">IF(AA196&gt;0,Y124&amp;Language!$E$80&amp;X124,"")</f>
        <v/>
      </c>
      <c r="AC196" s="2"/>
      <c r="AD196" s="144"/>
    </row>
    <row r="197" spans="25:30" x14ac:dyDescent="0.2">
      <c r="Y197" s="67" t="s">
        <v>85</v>
      </c>
      <c r="Z197" s="35" t="str">
        <f t="shared" ca="1" si="85"/>
        <v/>
      </c>
      <c r="AA197" s="13">
        <f t="shared" ca="1" si="84"/>
        <v>0</v>
      </c>
      <c r="AB197" s="13" t="str">
        <f ca="1">IF(AA197&gt;0,Y125&amp;Language!$E$80&amp;X125,"")</f>
        <v/>
      </c>
      <c r="AC197" s="2"/>
      <c r="AD197" s="144"/>
    </row>
    <row r="198" spans="25:30" x14ac:dyDescent="0.2">
      <c r="Y198" s="67" t="s">
        <v>86</v>
      </c>
      <c r="Z198" s="35" t="str">
        <f t="shared" ca="1" si="85"/>
        <v/>
      </c>
      <c r="AA198" s="13">
        <f t="shared" ca="1" si="84"/>
        <v>0</v>
      </c>
      <c r="AB198" s="13" t="str">
        <f ca="1">IF(AA198&gt;0,Y126&amp;Language!$E$80&amp;X126,"")</f>
        <v/>
      </c>
      <c r="AC198" s="2"/>
      <c r="AD198" s="144"/>
    </row>
    <row r="199" spans="25:30" x14ac:dyDescent="0.2">
      <c r="Y199" s="67" t="s">
        <v>87</v>
      </c>
      <c r="Z199" s="35" t="str">
        <f t="shared" ca="1" si="85"/>
        <v/>
      </c>
      <c r="AA199" s="13">
        <f t="shared" ca="1" si="84"/>
        <v>0</v>
      </c>
      <c r="AB199" s="13" t="str">
        <f ca="1">IF(AA199&gt;0,Y127&amp;Language!$E$80&amp;X127,"")</f>
        <v/>
      </c>
      <c r="AC199" s="2"/>
      <c r="AD199" s="144"/>
    </row>
    <row r="200" spans="25:30" x14ac:dyDescent="0.2">
      <c r="Y200" s="67" t="s">
        <v>88</v>
      </c>
      <c r="Z200" s="35" t="str">
        <f t="shared" ca="1" si="85"/>
        <v/>
      </c>
      <c r="AA200" s="13">
        <f t="shared" ca="1" si="84"/>
        <v>0</v>
      </c>
      <c r="AB200" s="13" t="str">
        <f ca="1">IF(AA200&gt;0,Y128&amp;Language!$E$80&amp;X128,"")</f>
        <v/>
      </c>
      <c r="AC200" s="2"/>
      <c r="AD200" s="144"/>
    </row>
    <row r="201" spans="25:30" x14ac:dyDescent="0.2">
      <c r="Y201" s="67" t="s">
        <v>89</v>
      </c>
      <c r="Z201" s="35" t="str">
        <f t="shared" ca="1" si="85"/>
        <v/>
      </c>
      <c r="AA201" s="13">
        <f t="shared" ref="AA201:AA207" ca="1" si="86">AA129</f>
        <v>0</v>
      </c>
      <c r="AB201" s="13" t="str">
        <f ca="1">IF(AA201&gt;0,Y129&amp;Language!$E$80&amp;X129,"")</f>
        <v/>
      </c>
      <c r="AC201" s="2"/>
      <c r="AD201" s="144"/>
    </row>
    <row r="202" spans="25:30" x14ac:dyDescent="0.2">
      <c r="Y202" s="67" t="s">
        <v>90</v>
      </c>
      <c r="Z202" s="35" t="str">
        <f t="shared" ref="Z202:Z206" ca="1" si="87">W130&amp;V130</f>
        <v/>
      </c>
      <c r="AA202" s="13">
        <f t="shared" ca="1" si="86"/>
        <v>0</v>
      </c>
      <c r="AB202" s="13" t="str">
        <f ca="1">IF(AA202&gt;0,Y130&amp;Language!$E$80&amp;X130,"")</f>
        <v/>
      </c>
      <c r="AC202" s="2"/>
      <c r="AD202" s="144"/>
    </row>
    <row r="203" spans="25:30" x14ac:dyDescent="0.2">
      <c r="Y203" s="67" t="s">
        <v>91</v>
      </c>
      <c r="Z203" s="35" t="str">
        <f t="shared" ca="1" si="87"/>
        <v/>
      </c>
      <c r="AA203" s="13">
        <f t="shared" ca="1" si="86"/>
        <v>0</v>
      </c>
      <c r="AB203" s="13" t="str">
        <f ca="1">IF(AA203&gt;0,Y131&amp;Language!$E$80&amp;X131,"")</f>
        <v/>
      </c>
      <c r="AC203" s="2"/>
      <c r="AD203" s="144"/>
    </row>
    <row r="204" spans="25:30" x14ac:dyDescent="0.2">
      <c r="Y204" s="67" t="s">
        <v>92</v>
      </c>
      <c r="Z204" s="35" t="str">
        <f t="shared" ca="1" si="87"/>
        <v/>
      </c>
      <c r="AA204" s="13">
        <f t="shared" ca="1" si="86"/>
        <v>0</v>
      </c>
      <c r="AB204" s="13" t="str">
        <f ca="1">IF(AA204&gt;0,Y132&amp;Language!$E$80&amp;X132,"")</f>
        <v/>
      </c>
      <c r="AC204" s="2"/>
      <c r="AD204" s="144"/>
    </row>
    <row r="205" spans="25:30" x14ac:dyDescent="0.2">
      <c r="Y205" s="67" t="s">
        <v>93</v>
      </c>
      <c r="Z205" s="35" t="str">
        <f t="shared" ca="1" si="87"/>
        <v/>
      </c>
      <c r="AA205" s="13">
        <f t="shared" ca="1" si="86"/>
        <v>0</v>
      </c>
      <c r="AB205" s="13" t="str">
        <f ca="1">IF(AA205&gt;0,Y133&amp;Language!$E$80&amp;X133,"")</f>
        <v/>
      </c>
      <c r="AC205" s="2"/>
      <c r="AD205" s="144"/>
    </row>
    <row r="206" spans="25:30" x14ac:dyDescent="0.2">
      <c r="Y206" s="67" t="s">
        <v>94</v>
      </c>
      <c r="Z206" s="35" t="str">
        <f t="shared" ca="1" si="87"/>
        <v/>
      </c>
      <c r="AA206" s="13">
        <f t="shared" ca="1" si="86"/>
        <v>0</v>
      </c>
      <c r="AB206" s="13" t="str">
        <f ca="1">IF(AA206&gt;0,Y134&amp;Language!$E$80&amp;X134,"")</f>
        <v/>
      </c>
      <c r="AC206" s="2"/>
      <c r="AD206" s="144"/>
    </row>
    <row r="207" spans="25:30" ht="12.75" thickBot="1" x14ac:dyDescent="0.25">
      <c r="Y207" s="68" t="s">
        <v>95</v>
      </c>
      <c r="Z207" s="37" t="str">
        <f ca="1">W135&amp;V135</f>
        <v/>
      </c>
      <c r="AA207" s="38">
        <f t="shared" ca="1" si="86"/>
        <v>0</v>
      </c>
      <c r="AB207" s="145" t="str">
        <f ca="1">IF(AA207&gt;0,Y135&amp;Language!$E$80&amp;X135,"")</f>
        <v/>
      </c>
      <c r="AC207" s="147"/>
      <c r="AD207" s="146"/>
    </row>
    <row r="208" spans="25:30" ht="12.75" thickTop="1" x14ac:dyDescent="0.2"/>
  </sheetData>
  <mergeCells count="14">
    <mergeCell ref="BI29:BP29"/>
    <mergeCell ref="AS29:AZ29"/>
    <mergeCell ref="BA29:BH29"/>
    <mergeCell ref="E29:L29"/>
    <mergeCell ref="M29:T29"/>
    <mergeCell ref="U29:AB29"/>
    <mergeCell ref="AC29:AJ29"/>
    <mergeCell ref="AK29:AR29"/>
    <mergeCell ref="AE63:AF63"/>
    <mergeCell ref="W3:AA3"/>
    <mergeCell ref="AB3:AF3"/>
    <mergeCell ref="AG3:AK3"/>
    <mergeCell ref="AL3:AP3"/>
    <mergeCell ref="AD15:AH15"/>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796">
        <f ca="1">IF($O$4&lt;10,$O$4,0)</f>
        <v>0</v>
      </c>
      <c r="X3" s="797"/>
      <c r="Y3" s="797"/>
      <c r="Z3" s="797"/>
      <c r="AA3" s="797"/>
      <c r="AB3" s="796">
        <f ca="1">IF($P$4&lt;10,$P$4,0)</f>
        <v>0</v>
      </c>
      <c r="AC3" s="797"/>
      <c r="AD3" s="797"/>
      <c r="AE3" s="797"/>
      <c r="AF3" s="797"/>
      <c r="AG3" s="796">
        <f ca="1">IF($Q$4&lt;10,$Q$4,0)</f>
        <v>0</v>
      </c>
      <c r="AH3" s="797"/>
      <c r="AI3" s="797"/>
      <c r="AJ3" s="797"/>
      <c r="AK3" s="797"/>
      <c r="AL3" s="796">
        <f ca="1">IF($R$4&lt;10,$R$4,0)</f>
        <v>0</v>
      </c>
      <c r="AM3" s="797"/>
      <c r="AN3" s="797"/>
      <c r="AO3" s="797"/>
      <c r="AP3" s="797"/>
    </row>
    <row r="4" spans="1:42" s="2" customFormat="1" ht="12.75" thickTop="1" x14ac:dyDescent="0.2">
      <c r="A4" s="237"/>
      <c r="B4" s="1">
        <v>1</v>
      </c>
      <c r="C4" s="21">
        <f ca="1">RANK(D4,$D$4:$D$12,1)</f>
        <v>4</v>
      </c>
      <c r="D4" s="13">
        <f ca="1">E4+ROW()/1000+(F4="")*10</f>
        <v>4.0039999999999996</v>
      </c>
      <c r="E4" s="248">
        <f ca="1">IF($AI$15,RANK(AH17,AH$17:AH$25,1),RANK(X17,X$17:X$25,1))</f>
        <v>4</v>
      </c>
      <c r="F4" s="1" t="str">
        <f>$Q64</f>
        <v>Mainz 05</v>
      </c>
      <c r="G4" s="1">
        <f t="shared" ref="G4:G12" ca="1" si="1">SUMIFS($X$64:$X$135,$V$64:$V$135,$F4)+SUMIFS($Y$64:$Y$135,$W$64:$W$135,$F4)</f>
        <v>9</v>
      </c>
      <c r="H4" s="1">
        <f t="shared" ref="H4:H12" ca="1" si="2">SUMIFS($Y$64:$Y$135,$V$64:$V$135,$F4)+SUMIFS($X$64:$X$135,$W$64:$W$135,$F4)</f>
        <v>11</v>
      </c>
      <c r="I4" s="13">
        <f t="shared" ref="I4:I12" ca="1" si="3">G4-H4</f>
        <v>-2</v>
      </c>
      <c r="J4" s="1">
        <f ca="1">SUMIF($V$64:$V$135,F4,$AE$64:$AE$135)+SUMIF($W$64:$W$135,F4,$AF$64:$AF$135)</f>
        <v>3</v>
      </c>
      <c r="K4" s="1">
        <f t="shared" ref="K4:K12" ca="1" si="4">SUMPRODUCT(($V$64:$V$135=F4)*($X$64:$X$135&lt;&gt;""))+SUMPRODUCT(($W$64:$W$135=F4)*($Y$64:$Y$135&lt;&gt;""))</f>
        <v>3</v>
      </c>
      <c r="L4" s="1">
        <f t="shared" ref="L4:L12" ca="1" si="5">SUMPRODUCT(($V$64:$V$135=F4)*($X$64:$X$135&gt;$Y$64:$Y$135))+SUMPRODUCT(($W$64:$W$135=F4)*($X$64:$X$135&lt;$Y$64:$Y$135))</f>
        <v>1</v>
      </c>
      <c r="M4" s="1">
        <f t="shared" ref="M4:M12" ca="1" si="6">SUMPRODUCT(($V$64:$W$135=F4)*($X$64:$X$135=$Y$64:$Y$135)*($X$64:$X$135&lt;&gt;"")*($Y$64:$Y$135&lt;&gt;""))</f>
        <v>0</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519" t="str">
        <f ca="1">IFERROR(INDEX($O$17:$V$25,ROW(A1),$W$3),"")</f>
        <v/>
      </c>
      <c r="X4" s="520" t="str">
        <f ca="1">INDEX($W$4:$W$12,MATCH(ROW(A1),$AA$4:$AA$12,0))</f>
        <v/>
      </c>
      <c r="Y4" s="521">
        <f ca="1">IF($W4="",99999,VLOOKUP($W4,$C$17:$Z$25,24,0))</f>
        <v>99999</v>
      </c>
      <c r="Z4" s="521">
        <f ca="1">RANK(Y4,Y$4:Y$12,1)+IFERROR(INDEX($E$4:$E$12,MATCH(W4,$F$4:$F$12,0)),0)/100+ROW()/10000</f>
        <v>1.0904</v>
      </c>
      <c r="AA4" s="523">
        <f ca="1">RANK($Z4,$Z$4:$Z$12,1)</f>
        <v>1</v>
      </c>
      <c r="AB4" s="519" t="str">
        <f t="shared" ref="AB4:AB12" ca="1" si="8">IFERROR(INDEX($O$17:$V$25,ROW(A1),$AB$3),"")</f>
        <v/>
      </c>
      <c r="AC4" s="520" t="str">
        <f ca="1">INDEX($AB$4:$AB$12,MATCH(ROW(A1),$AF$4:$AF$12,0))</f>
        <v/>
      </c>
      <c r="AD4" s="544">
        <f ca="1">IF($AB4="",99999,VLOOKUP($AB4,$C$17:$Z$25,24,0))</f>
        <v>99999</v>
      </c>
      <c r="AE4" s="521">
        <f ca="1">RANK(AD4,AD$4:AD$12,1)+IFERROR(INDEX($E$4:$E$12,MATCH(AB4,$F$4:$F$12,0)),0)/100+ROW()/10000</f>
        <v>1.0904</v>
      </c>
      <c r="AF4" s="521">
        <f ca="1">RANK($AE4,$AE$4:$AE$12,1)</f>
        <v>1</v>
      </c>
      <c r="AG4" s="519" t="str">
        <f t="shared" ref="AG4:AG12" ca="1" si="9">IFERROR(INDEX($O$17:$V$25,ROW(C1),$AG$3),"")</f>
        <v/>
      </c>
      <c r="AH4" s="520" t="str">
        <f ca="1">INDEX($AG$4:$AG$12,MATCH(ROW(A1),$AK$4:$AK$12,0))</f>
        <v/>
      </c>
      <c r="AI4" s="544">
        <f ca="1">IF($AG4="",99999,VLOOKUP($AG4,$C$17:$Z$25,24,0))</f>
        <v>99999</v>
      </c>
      <c r="AJ4" s="521">
        <f ca="1">RANK(AI4,AI$4:AI$12,1)+IFERROR(INDEX($E$4:$E$12,MATCH(AG4,$F$4:$F$12,0)),0)/100+ROW()/10000</f>
        <v>1.0904</v>
      </c>
      <c r="AK4" s="523">
        <f ca="1">RANK($AJ4,$AJ$4:$AJ$12,1)</f>
        <v>1</v>
      </c>
      <c r="AL4" s="520" t="str">
        <f t="shared" ref="AL4:AL12" ca="1" si="10">IFERROR(INDEX($O$17:$V$25,ROW(E1),$AL$3),"")</f>
        <v/>
      </c>
      <c r="AM4" s="520" t="str">
        <f ca="1">INDEX($AL$4:$AL$12,MATCH(ROW(A1),$AP$4:$AP$12,0))</f>
        <v/>
      </c>
      <c r="AN4" s="544">
        <f ca="1">IF($AL4="",99999,VLOOKUP($AL4,$C$17:$Z$25,24,0))</f>
        <v>99999</v>
      </c>
      <c r="AO4" s="521">
        <f ca="1">RANK(AN4,AN$4:AN$12,1)+IFERROR(INDEX($E$4:$E$12,MATCH(AL4,$F$4:$F$12,0)),0)/100+ROW()/10000</f>
        <v>1.0904</v>
      </c>
      <c r="AP4" s="523">
        <f ca="1">RANK($AO4,$AO$4:$AO$12,1)</f>
        <v>1</v>
      </c>
    </row>
    <row r="5" spans="1:42" s="2" customFormat="1" x14ac:dyDescent="0.2">
      <c r="A5" s="237"/>
      <c r="B5" s="1">
        <v>2</v>
      </c>
      <c r="C5" s="22">
        <f t="shared" ref="C5:C12" ca="1" si="11">RANK(D5,$D$4:$D$12,1)</f>
        <v>3</v>
      </c>
      <c r="D5" s="13">
        <f t="shared" ref="D5:D12" ca="1" si="12">E5+ROW()/1000+(F5="")*10</f>
        <v>3.0049999999999999</v>
      </c>
      <c r="E5" s="248">
        <f t="shared" ref="E5:E12" ca="1" si="13">IF($AI$15,RANK(AH18,AH$17:AH$25,1),RANK(X18,X$17:X$25,1))</f>
        <v>3</v>
      </c>
      <c r="F5" s="1" t="str">
        <f t="shared" ref="F5:F12" si="14">$Q65</f>
        <v>Inter Mailand</v>
      </c>
      <c r="G5" s="1">
        <f t="shared" ca="1" si="1"/>
        <v>7</v>
      </c>
      <c r="H5" s="1">
        <f t="shared" ca="1" si="2"/>
        <v>2</v>
      </c>
      <c r="I5" s="13">
        <f t="shared" ca="1" si="3"/>
        <v>5</v>
      </c>
      <c r="J5" s="1">
        <f t="shared" ref="J5:J12" ca="1" si="15">SUMIF($V$64:$V$135,F5,$AE$64:$AE$135)+SUMIF($W$64:$W$135,F5,$AF$64:$AF$135)</f>
        <v>6</v>
      </c>
      <c r="K5" s="1">
        <f t="shared" ca="1" si="4"/>
        <v>2</v>
      </c>
      <c r="L5" s="1">
        <f t="shared" ca="1" si="5"/>
        <v>2</v>
      </c>
      <c r="M5" s="1">
        <f t="shared" ca="1" si="6"/>
        <v>0</v>
      </c>
      <c r="N5" s="1">
        <f t="shared" ca="1" si="7"/>
        <v>0</v>
      </c>
      <c r="O5" s="24"/>
      <c r="P5" s="25"/>
      <c r="V5" s="1"/>
      <c r="W5" s="524" t="str">
        <f t="shared" ref="W5:W12" ca="1" si="16">IFERROR(INDEX($O$17:$V$25,ROW(A2),$W$3),"")</f>
        <v/>
      </c>
      <c r="X5" s="525" t="str">
        <f t="shared" ref="X5:X12" ca="1" si="17">INDEX($W$4:$W$12,MATCH(ROW(A2),$AA$4:$AA$12,0))</f>
        <v/>
      </c>
      <c r="Y5" s="522">
        <f t="shared" ref="Y5:Y12" ca="1" si="18">IF($W5="",99999,VLOOKUP($W5,$C$17:$Z$25,24,0))</f>
        <v>99999</v>
      </c>
      <c r="Z5" s="522">
        <f t="shared" ref="Z5:Z12" ca="1" si="19">RANK(Y5,Y$4:Y$12,1)+IFERROR(INDEX($E$4:$E$12,MATCH(W5,$F$4:$F$12,0)),0)/100+ROW()/10000</f>
        <v>1.0905</v>
      </c>
      <c r="AA5" s="527">
        <f t="shared" ref="AA5:AA12" ca="1" si="20">RANK($Z5,$Z$4:$Z$12,1)</f>
        <v>2</v>
      </c>
      <c r="AB5" s="524" t="str">
        <f t="shared" ca="1" si="8"/>
        <v/>
      </c>
      <c r="AC5" s="525" t="str">
        <f t="shared" ref="AC5:AC12" ca="1" si="21">INDEX($AB$4:$AB$12,MATCH(ROW(A2),$AF$4:$AF$12,0))</f>
        <v/>
      </c>
      <c r="AD5" s="526">
        <f t="shared" ref="AD5:AD12" ca="1" si="22">IF($AB5="",99999,VLOOKUP($AB5,$C$17:$Z$25,24,0))</f>
        <v>99999</v>
      </c>
      <c r="AE5" s="522">
        <f t="shared" ref="AE5:AE12" ca="1" si="23">RANK(AD5,AD$4:AD$12,1)+IFERROR(INDEX($E$4:$E$12,MATCH(AB5,$F$4:$F$12,0)),0)/100+ROW()/10000</f>
        <v>1.0905</v>
      </c>
      <c r="AF5" s="522">
        <f t="shared" ref="AF5:AF12" ca="1" si="24">RANK($AE5,$AE$4:$AE$12,1)</f>
        <v>2</v>
      </c>
      <c r="AG5" s="524" t="str">
        <f t="shared" ca="1" si="9"/>
        <v/>
      </c>
      <c r="AH5" s="525" t="str">
        <f t="shared" ref="AH5:AH12" ca="1" si="25">INDEX($AG$4:$AG$12,MATCH(ROW(A2),$AK$4:$AK$12,0))</f>
        <v/>
      </c>
      <c r="AI5" s="526">
        <f t="shared" ref="AI5:AI12" ca="1" si="26">IF($AG5="",99999,VLOOKUP($AG5,$C$17:$Z$25,24,0))</f>
        <v>99999</v>
      </c>
      <c r="AJ5" s="522">
        <f t="shared" ref="AJ5:AJ12" ca="1" si="27">RANK(AI5,AI$4:AI$12,1)+IFERROR(INDEX($E$4:$E$12,MATCH(AG5,$F$4:$F$12,0)),0)/100+ROW()/10000</f>
        <v>1.0905</v>
      </c>
      <c r="AK5" s="527">
        <f t="shared" ref="AK5:AK12" ca="1" si="28">RANK($AJ5,$AJ$4:$AJ$12,1)</f>
        <v>2</v>
      </c>
      <c r="AL5" s="525" t="str">
        <f t="shared" ca="1" si="10"/>
        <v/>
      </c>
      <c r="AM5" s="525" t="str">
        <f t="shared" ref="AM5:AM12" ca="1" si="29">INDEX($AL$4:$AL$12,MATCH(ROW(A2),$AP$4:$AP$12,0))</f>
        <v/>
      </c>
      <c r="AN5" s="526">
        <f t="shared" ref="AN5:AN12" ca="1" si="30">IF($AL5="",99999,VLOOKUP($AL5,$C$17:$Z$25,24,0))</f>
        <v>99999</v>
      </c>
      <c r="AO5" s="522">
        <f t="shared" ref="AO5:AO12" ca="1" si="31">RANK(AN5,AN$4:AN$12,1)+IFERROR(INDEX($E$4:$E$12,MATCH(AL5,$F$4:$F$12,0)),0)/100+ROW()/10000</f>
        <v>1.0905</v>
      </c>
      <c r="AP5" s="527">
        <f t="shared" ref="AP5:AP12" ca="1" si="32">RANK($AO5,$AO$4:$AO$12,1)</f>
        <v>2</v>
      </c>
    </row>
    <row r="6" spans="1:42" s="2" customFormat="1" x14ac:dyDescent="0.2">
      <c r="A6" s="237"/>
      <c r="B6" s="1">
        <v>3</v>
      </c>
      <c r="C6" s="22">
        <f t="shared" ca="1" si="11"/>
        <v>8</v>
      </c>
      <c r="D6" s="13">
        <f t="shared" ca="1" si="12"/>
        <v>8.0060000000000002</v>
      </c>
      <c r="E6" s="248">
        <f t="shared" ca="1" si="13"/>
        <v>8</v>
      </c>
      <c r="F6" s="1" t="str">
        <f t="shared" si="14"/>
        <v>SSV Wildbach</v>
      </c>
      <c r="G6" s="1">
        <f t="shared" ca="1" si="1"/>
        <v>2</v>
      </c>
      <c r="H6" s="1">
        <f t="shared" ca="1" si="2"/>
        <v>12</v>
      </c>
      <c r="I6" s="13">
        <f t="shared" ca="1" si="3"/>
        <v>-10</v>
      </c>
      <c r="J6" s="1">
        <f t="shared" ca="1" si="15"/>
        <v>0</v>
      </c>
      <c r="K6" s="1">
        <f t="shared" ca="1" si="4"/>
        <v>2</v>
      </c>
      <c r="L6" s="1">
        <f t="shared" ca="1" si="5"/>
        <v>0</v>
      </c>
      <c r="M6" s="1">
        <f t="shared" ca="1" si="6"/>
        <v>0</v>
      </c>
      <c r="N6" s="1">
        <f t="shared" ca="1" si="7"/>
        <v>2</v>
      </c>
      <c r="O6" s="24"/>
      <c r="P6" s="25"/>
      <c r="V6" s="1"/>
      <c r="W6" s="524" t="str">
        <f t="shared" ca="1" si="16"/>
        <v/>
      </c>
      <c r="X6" s="525" t="str">
        <f t="shared" ca="1" si="17"/>
        <v/>
      </c>
      <c r="Y6" s="522">
        <f t="shared" ca="1" si="18"/>
        <v>99999</v>
      </c>
      <c r="Z6" s="522">
        <f t="shared" ca="1" si="19"/>
        <v>1.0906</v>
      </c>
      <c r="AA6" s="527">
        <f t="shared" ca="1" si="20"/>
        <v>3</v>
      </c>
      <c r="AB6" s="524" t="str">
        <f t="shared" ca="1" si="8"/>
        <v/>
      </c>
      <c r="AC6" s="525" t="str">
        <f t="shared" ca="1" si="21"/>
        <v/>
      </c>
      <c r="AD6" s="526">
        <f t="shared" ca="1" si="22"/>
        <v>99999</v>
      </c>
      <c r="AE6" s="522">
        <f t="shared" ca="1" si="23"/>
        <v>1.0906</v>
      </c>
      <c r="AF6" s="522">
        <f t="shared" ca="1" si="24"/>
        <v>3</v>
      </c>
      <c r="AG6" s="524" t="str">
        <f t="shared" ca="1" si="9"/>
        <v/>
      </c>
      <c r="AH6" s="525" t="str">
        <f t="shared" ca="1" si="25"/>
        <v/>
      </c>
      <c r="AI6" s="526">
        <f t="shared" ca="1" si="26"/>
        <v>99999</v>
      </c>
      <c r="AJ6" s="522">
        <f t="shared" ca="1" si="27"/>
        <v>1.0906</v>
      </c>
      <c r="AK6" s="527">
        <f t="shared" ca="1" si="28"/>
        <v>3</v>
      </c>
      <c r="AL6" s="525" t="str">
        <f t="shared" ca="1" si="10"/>
        <v/>
      </c>
      <c r="AM6" s="525" t="str">
        <f t="shared" ca="1" si="29"/>
        <v/>
      </c>
      <c r="AN6" s="526">
        <f t="shared" ca="1" si="30"/>
        <v>99999</v>
      </c>
      <c r="AO6" s="522">
        <f t="shared" ca="1" si="31"/>
        <v>1.0906</v>
      </c>
      <c r="AP6" s="527">
        <f t="shared" ca="1" si="32"/>
        <v>3</v>
      </c>
    </row>
    <row r="7" spans="1:42" s="2" customFormat="1" x14ac:dyDescent="0.2">
      <c r="A7" s="237"/>
      <c r="B7" s="1">
        <v>4</v>
      </c>
      <c r="C7" s="22">
        <f t="shared" ca="1" si="11"/>
        <v>1</v>
      </c>
      <c r="D7" s="13">
        <f t="shared" ca="1" si="12"/>
        <v>1.0069999999999999</v>
      </c>
      <c r="E7" s="248">
        <f t="shared" ca="1" si="13"/>
        <v>1</v>
      </c>
      <c r="F7" s="1" t="str">
        <f t="shared" si="14"/>
        <v>Manchester City</v>
      </c>
      <c r="G7" s="1">
        <f t="shared" ca="1" si="1"/>
        <v>16</v>
      </c>
      <c r="H7" s="1">
        <f t="shared" ca="1" si="2"/>
        <v>5</v>
      </c>
      <c r="I7" s="13">
        <f t="shared" ca="1" si="3"/>
        <v>11</v>
      </c>
      <c r="J7" s="1">
        <f t="shared" ca="1" si="15"/>
        <v>9</v>
      </c>
      <c r="K7" s="1">
        <f t="shared" ca="1" si="4"/>
        <v>3</v>
      </c>
      <c r="L7" s="1">
        <f t="shared" ca="1" si="5"/>
        <v>3</v>
      </c>
      <c r="M7" s="1">
        <f t="shared" ca="1" si="6"/>
        <v>0</v>
      </c>
      <c r="N7" s="1">
        <f t="shared" ca="1" si="7"/>
        <v>0</v>
      </c>
      <c r="O7" s="24"/>
      <c r="P7" s="25"/>
      <c r="V7" s="1"/>
      <c r="W7" s="524" t="str">
        <f t="shared" ca="1" si="16"/>
        <v/>
      </c>
      <c r="X7" s="525" t="str">
        <f t="shared" ca="1" si="17"/>
        <v/>
      </c>
      <c r="Y7" s="522">
        <f t="shared" ca="1" si="18"/>
        <v>99999</v>
      </c>
      <c r="Z7" s="522">
        <f t="shared" ca="1" si="19"/>
        <v>1.0907</v>
      </c>
      <c r="AA7" s="527">
        <f t="shared" ca="1" si="20"/>
        <v>4</v>
      </c>
      <c r="AB7" s="524" t="str">
        <f t="shared" ca="1" si="8"/>
        <v/>
      </c>
      <c r="AC7" s="525" t="str">
        <f t="shared" ca="1" si="21"/>
        <v/>
      </c>
      <c r="AD7" s="526">
        <f t="shared" ca="1" si="22"/>
        <v>99999</v>
      </c>
      <c r="AE7" s="522">
        <f t="shared" ca="1" si="23"/>
        <v>1.0907</v>
      </c>
      <c r="AF7" s="522">
        <f t="shared" ca="1" si="24"/>
        <v>4</v>
      </c>
      <c r="AG7" s="524" t="str">
        <f t="shared" ca="1" si="9"/>
        <v/>
      </c>
      <c r="AH7" s="525" t="str">
        <f t="shared" ca="1" si="25"/>
        <v/>
      </c>
      <c r="AI7" s="526">
        <f t="shared" ca="1" si="26"/>
        <v>99999</v>
      </c>
      <c r="AJ7" s="522">
        <f t="shared" ca="1" si="27"/>
        <v>1.0907</v>
      </c>
      <c r="AK7" s="527">
        <f t="shared" ca="1" si="28"/>
        <v>4</v>
      </c>
      <c r="AL7" s="525" t="str">
        <f t="shared" ca="1" si="10"/>
        <v/>
      </c>
      <c r="AM7" s="525" t="str">
        <f t="shared" ca="1" si="29"/>
        <v/>
      </c>
      <c r="AN7" s="526">
        <f t="shared" ca="1" si="30"/>
        <v>99999</v>
      </c>
      <c r="AO7" s="522">
        <f t="shared" ca="1" si="31"/>
        <v>1.0907</v>
      </c>
      <c r="AP7" s="527">
        <f t="shared" ca="1" si="32"/>
        <v>4</v>
      </c>
    </row>
    <row r="8" spans="1:42" s="2" customFormat="1" x14ac:dyDescent="0.2">
      <c r="A8" s="237"/>
      <c r="B8" s="1">
        <v>5</v>
      </c>
      <c r="C8" s="22">
        <f t="shared" ca="1" si="11"/>
        <v>6</v>
      </c>
      <c r="D8" s="13">
        <f t="shared" ca="1" si="12"/>
        <v>6.008</v>
      </c>
      <c r="E8" s="248">
        <f t="shared" ca="1" si="13"/>
        <v>6</v>
      </c>
      <c r="F8" s="1" t="str">
        <f t="shared" si="14"/>
        <v>FC Grönlingen</v>
      </c>
      <c r="G8" s="1">
        <f t="shared" ca="1" si="1"/>
        <v>3</v>
      </c>
      <c r="H8" s="1">
        <f t="shared" ca="1" si="2"/>
        <v>8</v>
      </c>
      <c r="I8" s="13">
        <f t="shared" ca="1" si="3"/>
        <v>-5</v>
      </c>
      <c r="J8" s="1">
        <f t="shared" ca="1" si="15"/>
        <v>1</v>
      </c>
      <c r="K8" s="1">
        <f t="shared" ca="1" si="4"/>
        <v>3</v>
      </c>
      <c r="L8" s="1">
        <f t="shared" ca="1" si="5"/>
        <v>0</v>
      </c>
      <c r="M8" s="1">
        <f t="shared" ca="1" si="6"/>
        <v>1</v>
      </c>
      <c r="N8" s="1">
        <f t="shared" ca="1" si="7"/>
        <v>2</v>
      </c>
      <c r="P8" s="25"/>
      <c r="W8" s="524" t="str">
        <f t="shared" ca="1" si="16"/>
        <v/>
      </c>
      <c r="X8" s="525" t="str">
        <f t="shared" ca="1" si="17"/>
        <v/>
      </c>
      <c r="Y8" s="522">
        <f t="shared" ca="1" si="18"/>
        <v>99999</v>
      </c>
      <c r="Z8" s="522">
        <f t="shared" ca="1" si="19"/>
        <v>1.0908</v>
      </c>
      <c r="AA8" s="527">
        <f t="shared" ca="1" si="20"/>
        <v>5</v>
      </c>
      <c r="AB8" s="524" t="str">
        <f t="shared" ca="1" si="8"/>
        <v/>
      </c>
      <c r="AC8" s="525" t="str">
        <f t="shared" ca="1" si="21"/>
        <v/>
      </c>
      <c r="AD8" s="526">
        <f t="shared" ca="1" si="22"/>
        <v>99999</v>
      </c>
      <c r="AE8" s="522">
        <f t="shared" ca="1" si="23"/>
        <v>1.0908</v>
      </c>
      <c r="AF8" s="522">
        <f t="shared" ca="1" si="24"/>
        <v>5</v>
      </c>
      <c r="AG8" s="524" t="str">
        <f t="shared" ca="1" si="9"/>
        <v/>
      </c>
      <c r="AH8" s="525" t="str">
        <f t="shared" ca="1" si="25"/>
        <v/>
      </c>
      <c r="AI8" s="526">
        <f t="shared" ca="1" si="26"/>
        <v>99999</v>
      </c>
      <c r="AJ8" s="522">
        <f t="shared" ca="1" si="27"/>
        <v>1.0908</v>
      </c>
      <c r="AK8" s="527">
        <f t="shared" ca="1" si="28"/>
        <v>5</v>
      </c>
      <c r="AL8" s="525" t="str">
        <f t="shared" ca="1" si="10"/>
        <v/>
      </c>
      <c r="AM8" s="525" t="str">
        <f t="shared" ca="1" si="29"/>
        <v/>
      </c>
      <c r="AN8" s="526">
        <f t="shared" ca="1" si="30"/>
        <v>99999</v>
      </c>
      <c r="AO8" s="522">
        <f t="shared" ca="1" si="31"/>
        <v>1.0908</v>
      </c>
      <c r="AP8" s="527">
        <f t="shared" ca="1" si="32"/>
        <v>5</v>
      </c>
    </row>
    <row r="9" spans="1:42" s="2" customFormat="1" x14ac:dyDescent="0.2">
      <c r="A9" s="237"/>
      <c r="B9" s="1">
        <v>6</v>
      </c>
      <c r="C9" s="22">
        <f t="shared" ca="1" si="11"/>
        <v>2</v>
      </c>
      <c r="D9" s="13">
        <f t="shared" ca="1" si="12"/>
        <v>2.0089999999999999</v>
      </c>
      <c r="E9" s="248">
        <f t="shared" ca="1" si="13"/>
        <v>2</v>
      </c>
      <c r="F9" s="1" t="str">
        <f t="shared" si="14"/>
        <v>AC Roma</v>
      </c>
      <c r="G9" s="1">
        <f t="shared" ca="1" si="1"/>
        <v>12</v>
      </c>
      <c r="H9" s="1">
        <f t="shared" ca="1" si="2"/>
        <v>2</v>
      </c>
      <c r="I9" s="13">
        <f t="shared" ca="1" si="3"/>
        <v>10</v>
      </c>
      <c r="J9" s="1">
        <f t="shared" ca="1" si="15"/>
        <v>9</v>
      </c>
      <c r="K9" s="1">
        <f t="shared" ca="1" si="4"/>
        <v>3</v>
      </c>
      <c r="L9" s="1">
        <f t="shared" ca="1" si="5"/>
        <v>3</v>
      </c>
      <c r="M9" s="1">
        <f t="shared" ca="1" si="6"/>
        <v>0</v>
      </c>
      <c r="N9" s="1">
        <f t="shared" ca="1" si="7"/>
        <v>0</v>
      </c>
      <c r="P9" s="25"/>
      <c r="W9" s="524" t="str">
        <f t="shared" ca="1" si="16"/>
        <v/>
      </c>
      <c r="X9" s="525" t="str">
        <f t="shared" ca="1" si="17"/>
        <v/>
      </c>
      <c r="Y9" s="522">
        <f t="shared" ca="1" si="18"/>
        <v>99999</v>
      </c>
      <c r="Z9" s="522">
        <f t="shared" ca="1" si="19"/>
        <v>1.0909</v>
      </c>
      <c r="AA9" s="527">
        <f t="shared" ca="1" si="20"/>
        <v>6</v>
      </c>
      <c r="AB9" s="524" t="str">
        <f t="shared" ca="1" si="8"/>
        <v/>
      </c>
      <c r="AC9" s="525" t="str">
        <f t="shared" ca="1" si="21"/>
        <v/>
      </c>
      <c r="AD9" s="526">
        <f t="shared" ca="1" si="22"/>
        <v>99999</v>
      </c>
      <c r="AE9" s="522">
        <f t="shared" ca="1" si="23"/>
        <v>1.0909</v>
      </c>
      <c r="AF9" s="522">
        <f t="shared" ca="1" si="24"/>
        <v>6</v>
      </c>
      <c r="AG9" s="524" t="str">
        <f t="shared" ca="1" si="9"/>
        <v/>
      </c>
      <c r="AH9" s="525" t="str">
        <f t="shared" ca="1" si="25"/>
        <v/>
      </c>
      <c r="AI9" s="526">
        <f t="shared" ca="1" si="26"/>
        <v>99999</v>
      </c>
      <c r="AJ9" s="522">
        <f t="shared" ca="1" si="27"/>
        <v>1.0909</v>
      </c>
      <c r="AK9" s="527">
        <f t="shared" ca="1" si="28"/>
        <v>6</v>
      </c>
      <c r="AL9" s="525" t="str">
        <f t="shared" ca="1" si="10"/>
        <v/>
      </c>
      <c r="AM9" s="525" t="str">
        <f t="shared" ca="1" si="29"/>
        <v/>
      </c>
      <c r="AN9" s="526">
        <f t="shared" ca="1" si="30"/>
        <v>99999</v>
      </c>
      <c r="AO9" s="522">
        <f t="shared" ca="1" si="31"/>
        <v>1.0909</v>
      </c>
      <c r="AP9" s="527">
        <f t="shared" ca="1" si="32"/>
        <v>6</v>
      </c>
    </row>
    <row r="10" spans="1:42" s="2" customFormat="1" x14ac:dyDescent="0.2">
      <c r="A10" s="237"/>
      <c r="B10" s="1">
        <v>7</v>
      </c>
      <c r="C10" s="22">
        <f t="shared" ca="1" si="11"/>
        <v>7</v>
      </c>
      <c r="D10" s="13">
        <f t="shared" ca="1" si="12"/>
        <v>7.01</v>
      </c>
      <c r="E10" s="248">
        <f t="shared" ca="1" si="13"/>
        <v>7</v>
      </c>
      <c r="F10" s="1" t="str">
        <f t="shared" si="14"/>
        <v>VFL Ronsdorf</v>
      </c>
      <c r="G10" s="1">
        <f t="shared" ca="1" si="1"/>
        <v>5</v>
      </c>
      <c r="H10" s="1">
        <f t="shared" ca="1" si="2"/>
        <v>12</v>
      </c>
      <c r="I10" s="13">
        <f t="shared" ca="1" si="3"/>
        <v>-7</v>
      </c>
      <c r="J10" s="1">
        <f t="shared" ca="1" si="15"/>
        <v>1</v>
      </c>
      <c r="K10" s="1">
        <f t="shared" ca="1" si="4"/>
        <v>3</v>
      </c>
      <c r="L10" s="1">
        <f t="shared" ca="1" si="5"/>
        <v>0</v>
      </c>
      <c r="M10" s="1">
        <f t="shared" ca="1" si="6"/>
        <v>1</v>
      </c>
      <c r="N10" s="1">
        <f t="shared" ca="1" si="7"/>
        <v>2</v>
      </c>
      <c r="P10" s="25"/>
      <c r="W10" s="524" t="str">
        <f t="shared" ca="1" si="16"/>
        <v/>
      </c>
      <c r="X10" s="525" t="str">
        <f t="shared" ca="1" si="17"/>
        <v/>
      </c>
      <c r="Y10" s="522">
        <f t="shared" ca="1" si="18"/>
        <v>99999</v>
      </c>
      <c r="Z10" s="522">
        <f t="shared" ca="1" si="19"/>
        <v>1.091</v>
      </c>
      <c r="AA10" s="527">
        <f t="shared" ca="1" si="20"/>
        <v>7</v>
      </c>
      <c r="AB10" s="524" t="str">
        <f t="shared" ca="1" si="8"/>
        <v/>
      </c>
      <c r="AC10" s="525" t="str">
        <f t="shared" ca="1" si="21"/>
        <v/>
      </c>
      <c r="AD10" s="526">
        <f t="shared" ca="1" si="22"/>
        <v>99999</v>
      </c>
      <c r="AE10" s="522">
        <f t="shared" ca="1" si="23"/>
        <v>1.091</v>
      </c>
      <c r="AF10" s="522">
        <f t="shared" ca="1" si="24"/>
        <v>7</v>
      </c>
      <c r="AG10" s="524" t="str">
        <f t="shared" ca="1" si="9"/>
        <v/>
      </c>
      <c r="AH10" s="525" t="str">
        <f t="shared" ca="1" si="25"/>
        <v/>
      </c>
      <c r="AI10" s="526">
        <f t="shared" ca="1" si="26"/>
        <v>99999</v>
      </c>
      <c r="AJ10" s="522">
        <f t="shared" ca="1" si="27"/>
        <v>1.091</v>
      </c>
      <c r="AK10" s="527">
        <f t="shared" ca="1" si="28"/>
        <v>7</v>
      </c>
      <c r="AL10" s="525" t="str">
        <f t="shared" ca="1" si="10"/>
        <v/>
      </c>
      <c r="AM10" s="525" t="str">
        <f t="shared" ca="1" si="29"/>
        <v/>
      </c>
      <c r="AN10" s="526">
        <f t="shared" ca="1" si="30"/>
        <v>99999</v>
      </c>
      <c r="AO10" s="522">
        <f t="shared" ca="1" si="31"/>
        <v>1.091</v>
      </c>
      <c r="AP10" s="527">
        <f t="shared" ca="1" si="32"/>
        <v>7</v>
      </c>
    </row>
    <row r="11" spans="1:42" s="2" customFormat="1" x14ac:dyDescent="0.2">
      <c r="A11" s="237"/>
      <c r="B11" s="1">
        <v>8</v>
      </c>
      <c r="C11" s="22">
        <f t="shared" ca="1" si="11"/>
        <v>5</v>
      </c>
      <c r="D11" s="13">
        <f t="shared" ca="1" si="12"/>
        <v>5.0110000000000001</v>
      </c>
      <c r="E11" s="248">
        <f t="shared" ca="1" si="13"/>
        <v>5</v>
      </c>
      <c r="F11" s="1" t="str">
        <f t="shared" si="14"/>
        <v>Borussia Heine</v>
      </c>
      <c r="G11" s="1">
        <f t="shared" ca="1" si="1"/>
        <v>6</v>
      </c>
      <c r="H11" s="1">
        <f t="shared" ca="1" si="2"/>
        <v>8</v>
      </c>
      <c r="I11" s="13">
        <f t="shared" ca="1" si="3"/>
        <v>-2</v>
      </c>
      <c r="J11" s="1">
        <f t="shared" ca="1" si="15"/>
        <v>3</v>
      </c>
      <c r="K11" s="1">
        <f t="shared" ca="1" si="4"/>
        <v>3</v>
      </c>
      <c r="L11" s="1">
        <f t="shared" ca="1" si="5"/>
        <v>1</v>
      </c>
      <c r="M11" s="1">
        <f t="shared" ca="1" si="6"/>
        <v>0</v>
      </c>
      <c r="N11" s="1">
        <f t="shared" ca="1" si="7"/>
        <v>2</v>
      </c>
      <c r="O11" s="13"/>
      <c r="P11" s="13"/>
      <c r="Q11" s="13"/>
      <c r="R11" s="13"/>
      <c r="S11" s="13"/>
      <c r="T11" s="13"/>
      <c r="U11" s="13"/>
      <c r="V11" s="13"/>
      <c r="W11" s="524" t="str">
        <f t="shared" ca="1" si="16"/>
        <v/>
      </c>
      <c r="X11" s="525" t="str">
        <f t="shared" ca="1" si="17"/>
        <v/>
      </c>
      <c r="Y11" s="522">
        <f t="shared" ca="1" si="18"/>
        <v>99999</v>
      </c>
      <c r="Z11" s="522">
        <f t="shared" ca="1" si="19"/>
        <v>1.0911000000000002</v>
      </c>
      <c r="AA11" s="527">
        <f t="shared" ca="1" si="20"/>
        <v>8</v>
      </c>
      <c r="AB11" s="524" t="str">
        <f t="shared" ca="1" si="8"/>
        <v/>
      </c>
      <c r="AC11" s="525" t="str">
        <f t="shared" ca="1" si="21"/>
        <v/>
      </c>
      <c r="AD11" s="526">
        <f t="shared" ca="1" si="22"/>
        <v>99999</v>
      </c>
      <c r="AE11" s="522">
        <f t="shared" ca="1" si="23"/>
        <v>1.0911000000000002</v>
      </c>
      <c r="AF11" s="522">
        <f t="shared" ca="1" si="24"/>
        <v>8</v>
      </c>
      <c r="AG11" s="524" t="str">
        <f t="shared" ca="1" si="9"/>
        <v/>
      </c>
      <c r="AH11" s="525" t="str">
        <f t="shared" ca="1" si="25"/>
        <v/>
      </c>
      <c r="AI11" s="526">
        <f t="shared" ca="1" si="26"/>
        <v>99999</v>
      </c>
      <c r="AJ11" s="522">
        <f t="shared" ca="1" si="27"/>
        <v>1.0911000000000002</v>
      </c>
      <c r="AK11" s="527">
        <f t="shared" ca="1" si="28"/>
        <v>8</v>
      </c>
      <c r="AL11" s="525" t="str">
        <f t="shared" ca="1" si="10"/>
        <v/>
      </c>
      <c r="AM11" s="525" t="str">
        <f t="shared" ca="1" si="29"/>
        <v/>
      </c>
      <c r="AN11" s="526">
        <f t="shared" ca="1" si="30"/>
        <v>99999</v>
      </c>
      <c r="AO11" s="522">
        <f t="shared" ca="1" si="31"/>
        <v>1.0911000000000002</v>
      </c>
      <c r="AP11" s="527">
        <f t="shared" ca="1" si="32"/>
        <v>8</v>
      </c>
    </row>
    <row r="12" spans="1:42" s="2" customFormat="1" ht="12.75" thickBot="1" x14ac:dyDescent="0.25">
      <c r="A12" s="237"/>
      <c r="B12" s="1">
        <v>9</v>
      </c>
      <c r="C12" s="23">
        <f t="shared" ca="1" si="11"/>
        <v>9</v>
      </c>
      <c r="D12" s="13">
        <f t="shared" ca="1" si="12"/>
        <v>19.012</v>
      </c>
      <c r="E12" s="248">
        <f t="shared" ca="1" si="13"/>
        <v>9</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528" t="str">
        <f t="shared" ca="1" si="16"/>
        <v/>
      </c>
      <c r="X12" s="529" t="str">
        <f t="shared" ca="1" si="17"/>
        <v/>
      </c>
      <c r="Y12" s="530">
        <f t="shared" ca="1" si="18"/>
        <v>99999</v>
      </c>
      <c r="Z12" s="530">
        <f t="shared" ca="1" si="19"/>
        <v>1.0912000000000002</v>
      </c>
      <c r="AA12" s="531">
        <f t="shared" ca="1" si="20"/>
        <v>9</v>
      </c>
      <c r="AB12" s="528" t="str">
        <f t="shared" ca="1" si="8"/>
        <v/>
      </c>
      <c r="AC12" s="529" t="str">
        <f t="shared" ca="1" si="21"/>
        <v/>
      </c>
      <c r="AD12" s="532">
        <f t="shared" ca="1" si="22"/>
        <v>99999</v>
      </c>
      <c r="AE12" s="530">
        <f t="shared" ca="1" si="23"/>
        <v>1.0912000000000002</v>
      </c>
      <c r="AF12" s="530">
        <f t="shared" ca="1" si="24"/>
        <v>9</v>
      </c>
      <c r="AG12" s="528" t="str">
        <f t="shared" ca="1" si="9"/>
        <v/>
      </c>
      <c r="AH12" s="529" t="str">
        <f t="shared" ca="1" si="25"/>
        <v/>
      </c>
      <c r="AI12" s="532">
        <f t="shared" ca="1" si="26"/>
        <v>99999</v>
      </c>
      <c r="AJ12" s="530">
        <f t="shared" ca="1" si="27"/>
        <v>1.0912000000000002</v>
      </c>
      <c r="AK12" s="531">
        <f t="shared" ca="1" si="28"/>
        <v>9</v>
      </c>
      <c r="AL12" s="529" t="str">
        <f t="shared" ca="1" si="10"/>
        <v/>
      </c>
      <c r="AM12" s="529" t="str">
        <f t="shared" ca="1" si="29"/>
        <v/>
      </c>
      <c r="AN12" s="532">
        <f t="shared" ca="1" si="30"/>
        <v>99999</v>
      </c>
      <c r="AO12" s="530">
        <f t="shared" ca="1" si="31"/>
        <v>1.0912000000000002</v>
      </c>
      <c r="AP12" s="531">
        <f t="shared" ca="1" si="32"/>
        <v>9</v>
      </c>
    </row>
    <row r="13" spans="1:42" s="2" customFormat="1" ht="12.75" thickTop="1" x14ac:dyDescent="0.2">
      <c r="B13" s="13">
        <f>$F$13*($F$13-1)</f>
        <v>56</v>
      </c>
      <c r="C13" s="13"/>
      <c r="D13" s="13"/>
      <c r="E13" s="13"/>
      <c r="F13" s="13">
        <f>9-COUNTBLANK($F$4:$F$12)</f>
        <v>8</v>
      </c>
      <c r="G13" s="13"/>
      <c r="H13" s="13"/>
      <c r="I13" s="13"/>
      <c r="J13" s="13"/>
      <c r="K13" s="28">
        <f ca="1">QUOTIENT(SUM(K4:K12),2)</f>
        <v>11</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$Q64</f>
        <v>Mainz 05</v>
      </c>
      <c r="D17" s="1">
        <f t="shared" ref="D17:G25" ca="1" si="33">K4</f>
        <v>3</v>
      </c>
      <c r="E17" s="1">
        <f t="shared" ca="1" si="33"/>
        <v>1</v>
      </c>
      <c r="F17" s="1">
        <f t="shared" ca="1" si="33"/>
        <v>0</v>
      </c>
      <c r="G17" s="1">
        <f t="shared" ca="1" si="33"/>
        <v>2</v>
      </c>
      <c r="H17" s="1">
        <f t="shared" ref="H17:K25" ca="1" si="34">G4</f>
        <v>9</v>
      </c>
      <c r="I17" s="1">
        <f t="shared" ca="1" si="34"/>
        <v>11</v>
      </c>
      <c r="J17" s="13">
        <f t="shared" ca="1" si="34"/>
        <v>-2</v>
      </c>
      <c r="K17" s="1">
        <f t="shared" ca="1" si="34"/>
        <v>3</v>
      </c>
      <c r="L17" s="30">
        <f t="shared" ref="L17:L25" ca="1" si="35">K17*$F$64+(J17+$H$65)*$F$65+H17*$F$66</f>
        <v>3498009</v>
      </c>
      <c r="M17" s="14">
        <f ca="1">IF($AI$15,COUNTIF($K$17:$K$25,K17),COUNTIF($L$17:$L$25,L17))</f>
        <v>1</v>
      </c>
      <c r="N17" s="14">
        <f t="array" aca="1" ref="N17" ca="1">IF($AI$15,SUM(($K$17:$K$25&gt;=K17)/COUNTIF($K$17:$K$25,$K$17:$K$25)),SUM(($L$17:$L$25&gt;=L17)/COUNTIF($L$17:$L$25,$L$17:$L$25)))</f>
        <v>4</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5" ca="1" si="44">AA17*$F$64+(AB17+$H$65)*$F$65+AC17*$F$66</f>
        <v>500000</v>
      </c>
      <c r="X17" s="21">
        <f ca="1">RANK($L17,$L$17:$L$25)+RANK($W17,$W$17:$W$25)/100+(9-$Y17)/10000+($C17="")*100</f>
        <v>4.0108999999999995</v>
      </c>
      <c r="Y17" s="13">
        <f>PreliminaryRound!$AL25</f>
        <v>0</v>
      </c>
      <c r="Z17" s="1">
        <f ca="1">RANK($W17,$W$17:$W$25)+(9-$Y17)/10</f>
        <v>1.9</v>
      </c>
      <c r="AA17" s="1">
        <f ca="1">SUM(E30:BP30)</f>
        <v>0</v>
      </c>
      <c r="AB17" s="1">
        <f ca="1">SUM(E41:BP41)</f>
        <v>0</v>
      </c>
      <c r="AC17" s="1">
        <f ca="1">SUM(E52:BP52)</f>
        <v>0</v>
      </c>
      <c r="AD17" s="242">
        <f ca="1">RANK($K17,$K$17:$K$25)</f>
        <v>4</v>
      </c>
      <c r="AE17" s="30">
        <f t="shared" ref="AE17:AE25" ca="1" si="45">(J17+$H$65)*$F$65+H17*$F$66</f>
        <v>498009</v>
      </c>
      <c r="AF17" s="1">
        <f ca="1">RANK($AE17,$AE$17:$AE$25)</f>
        <v>5</v>
      </c>
      <c r="AG17" s="1">
        <f ca="1">RANK($W17,$W$17:$W$25)</f>
        <v>1</v>
      </c>
      <c r="AH17" s="244">
        <f ca="1">AD17+AG17/100+AF17/10000+(10-Y17)/1000000+($C17="")*100</f>
        <v>4.0105099999999991</v>
      </c>
      <c r="AI17" s="1"/>
    </row>
    <row r="18" spans="2:80" s="2" customFormat="1" x14ac:dyDescent="0.2">
      <c r="C18" s="2" t="str">
        <f t="shared" ref="C18:C25" si="46">$Q65</f>
        <v>Inter Mailand</v>
      </c>
      <c r="D18" s="1">
        <f t="shared" ca="1" si="33"/>
        <v>2</v>
      </c>
      <c r="E18" s="1">
        <f t="shared" ca="1" si="33"/>
        <v>2</v>
      </c>
      <c r="F18" s="1">
        <f t="shared" ca="1" si="33"/>
        <v>0</v>
      </c>
      <c r="G18" s="1">
        <f t="shared" ca="1" si="33"/>
        <v>0</v>
      </c>
      <c r="H18" s="1">
        <f t="shared" ca="1" si="34"/>
        <v>7</v>
      </c>
      <c r="I18" s="1">
        <f t="shared" ca="1" si="34"/>
        <v>2</v>
      </c>
      <c r="J18" s="13">
        <f t="shared" ca="1" si="34"/>
        <v>5</v>
      </c>
      <c r="K18" s="1">
        <f t="shared" ca="1" si="34"/>
        <v>6</v>
      </c>
      <c r="L18" s="30">
        <f t="shared" ca="1" si="35"/>
        <v>6505007</v>
      </c>
      <c r="M18" s="14">
        <f t="shared" ref="M18:M25" ca="1" si="47">IF($AI$15,COUNTIF($K$17:$K$25,K18),COUNTIF($L$17:$L$25,L18))</f>
        <v>1</v>
      </c>
      <c r="N18" s="14">
        <f t="array" aca="1" ref="N18" ca="1">IF($AI$15,SUM(($K$17:$K$25&gt;=K18)/COUNTIF($K$17:$K$25,$K$17:$K$25)),SUM(($L$17:$L$25&gt;=L18)/COUNTIF($L$17:$L$25,$L$17:$L$25)))</f>
        <v>3</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ca="1">RANK($L18,$L$17:$L$25)+RANK($W18,$W$17:$W$25)/100+(9-$Y18)/10000+($C18="")*100</f>
        <v>3.0108999999999999</v>
      </c>
      <c r="Y18" s="13">
        <f>PreliminaryRound!$AL26</f>
        <v>0</v>
      </c>
      <c r="Z18" s="1">
        <f t="shared" ref="Z18:Z25" ca="1" si="48">RANK($W18,$W$17:$W$25)+(9-$Y18)/10</f>
        <v>1.9</v>
      </c>
      <c r="AA18" s="1">
        <f t="shared" ref="AA18:AA25" ca="1" si="49">SUM(E31:BP31)</f>
        <v>0</v>
      </c>
      <c r="AB18" s="1">
        <f t="shared" ref="AB18:AB25" ca="1" si="50">SUM(E42:BP42)</f>
        <v>0</v>
      </c>
      <c r="AC18" s="1">
        <f t="shared" ref="AC18:AC25" ca="1" si="51">SUM(E53:BP53)</f>
        <v>0</v>
      </c>
      <c r="AD18" s="242">
        <f t="shared" ref="AD18:AD25" ca="1" si="52">RANK($K18,$K$17:$K$25)</f>
        <v>3</v>
      </c>
      <c r="AE18" s="30">
        <f t="shared" ca="1" si="45"/>
        <v>505007</v>
      </c>
      <c r="AF18" s="1">
        <f t="shared" ref="AF18:AF25" ca="1" si="53">RANK($AE18,$AE$17:$AE$25)</f>
        <v>3</v>
      </c>
      <c r="AG18" s="1">
        <f t="shared" ref="AG18:AG25" ca="1" si="54">RANK($W18,$W$17:$W$25)</f>
        <v>1</v>
      </c>
      <c r="AH18" s="245">
        <f ca="1">AD18+AG18/100+AF18/10000+(10-Y18)/1000000+($C18="")*100</f>
        <v>3.01031</v>
      </c>
      <c r="AI18" s="1"/>
    </row>
    <row r="19" spans="2:80" s="2" customFormat="1" x14ac:dyDescent="0.2">
      <c r="C19" s="2" t="str">
        <f t="shared" si="46"/>
        <v>SSV Wildbach</v>
      </c>
      <c r="D19" s="1">
        <f t="shared" ca="1" si="33"/>
        <v>2</v>
      </c>
      <c r="E19" s="1">
        <f t="shared" ca="1" si="33"/>
        <v>0</v>
      </c>
      <c r="F19" s="1">
        <f t="shared" ca="1" si="33"/>
        <v>0</v>
      </c>
      <c r="G19" s="1">
        <f t="shared" ca="1" si="33"/>
        <v>2</v>
      </c>
      <c r="H19" s="1">
        <f t="shared" ca="1" si="34"/>
        <v>2</v>
      </c>
      <c r="I19" s="1">
        <f t="shared" ca="1" si="34"/>
        <v>12</v>
      </c>
      <c r="J19" s="13">
        <f t="shared" ca="1" si="34"/>
        <v>-10</v>
      </c>
      <c r="K19" s="1">
        <f t="shared" ca="1" si="34"/>
        <v>0</v>
      </c>
      <c r="L19" s="30">
        <f t="shared" ca="1" si="35"/>
        <v>490002</v>
      </c>
      <c r="M19" s="14">
        <f t="shared" ca="1" si="47"/>
        <v>1</v>
      </c>
      <c r="N19" s="14">
        <f t="array" aca="1" ref="N19" ca="1">IF($AI$15,SUM(($K$17:$K$25&gt;=K19)/COUNTIF($K$17:$K$25,$K$17:$K$25)),SUM(($L$17:$L$25&gt;=L19)/COUNTIF($L$17:$L$25,$L$17:$L$25)))</f>
        <v>9</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ref="X19:X25" ca="1" si="55">RANK($L19,$L$17:$L$25)+RANK($W19,$W$17:$W$25)/100+(9-$Y19)/10000+($C19="")*100</f>
        <v>9.0108999999999995</v>
      </c>
      <c r="Y19" s="13">
        <f>PreliminaryRound!$AL27</f>
        <v>0</v>
      </c>
      <c r="Z19" s="1">
        <f t="shared" ca="1" si="48"/>
        <v>1.9</v>
      </c>
      <c r="AA19" s="1">
        <f t="shared" ca="1" si="49"/>
        <v>0</v>
      </c>
      <c r="AB19" s="1">
        <f t="shared" ca="1" si="50"/>
        <v>0</v>
      </c>
      <c r="AC19" s="1">
        <f t="shared" ca="1" si="51"/>
        <v>0</v>
      </c>
      <c r="AD19" s="242">
        <f t="shared" ca="1" si="52"/>
        <v>8</v>
      </c>
      <c r="AE19" s="30">
        <f t="shared" ca="1" si="45"/>
        <v>490002</v>
      </c>
      <c r="AF19" s="1">
        <f t="shared" ca="1" si="53"/>
        <v>9</v>
      </c>
      <c r="AG19" s="1">
        <f t="shared" ca="1" si="54"/>
        <v>1</v>
      </c>
      <c r="AH19" s="245">
        <f t="shared" ref="AH19:AH25" ca="1" si="56">AD19+AG19/100+AF19/10000+(10-Y19)/1000000+($C19="")*100</f>
        <v>8.0109099999999991</v>
      </c>
      <c r="AI19" s="1"/>
    </row>
    <row r="20" spans="2:80" s="2" customFormat="1" x14ac:dyDescent="0.2">
      <c r="C20" s="2" t="str">
        <f t="shared" si="46"/>
        <v>Manchester City</v>
      </c>
      <c r="D20" s="1">
        <f t="shared" ca="1" si="33"/>
        <v>3</v>
      </c>
      <c r="E20" s="1">
        <f t="shared" ca="1" si="33"/>
        <v>3</v>
      </c>
      <c r="F20" s="1">
        <f t="shared" ca="1" si="33"/>
        <v>0</v>
      </c>
      <c r="G20" s="1">
        <f t="shared" ca="1" si="33"/>
        <v>0</v>
      </c>
      <c r="H20" s="1">
        <f t="shared" ca="1" si="34"/>
        <v>16</v>
      </c>
      <c r="I20" s="1">
        <f t="shared" ca="1" si="34"/>
        <v>5</v>
      </c>
      <c r="J20" s="13">
        <f t="shared" ca="1" si="34"/>
        <v>11</v>
      </c>
      <c r="K20" s="1">
        <f t="shared" ca="1" si="34"/>
        <v>9</v>
      </c>
      <c r="L20" s="30">
        <f t="shared" ca="1" si="35"/>
        <v>9511016</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55"/>
        <v>1.0108999999999999</v>
      </c>
      <c r="Y20" s="13">
        <f>PreliminaryRound!$AL28</f>
        <v>0</v>
      </c>
      <c r="Z20" s="1">
        <f t="shared" ca="1" si="48"/>
        <v>1.9</v>
      </c>
      <c r="AA20" s="1">
        <f t="shared" ca="1" si="49"/>
        <v>0</v>
      </c>
      <c r="AB20" s="1">
        <f t="shared" ca="1" si="50"/>
        <v>0</v>
      </c>
      <c r="AC20" s="1">
        <f t="shared" ca="1" si="51"/>
        <v>0</v>
      </c>
      <c r="AD20" s="242">
        <f t="shared" ca="1" si="52"/>
        <v>1</v>
      </c>
      <c r="AE20" s="30">
        <f t="shared" ca="1" si="45"/>
        <v>511016</v>
      </c>
      <c r="AF20" s="1">
        <f t="shared" ca="1" si="53"/>
        <v>1</v>
      </c>
      <c r="AG20" s="1">
        <f t="shared" ca="1" si="54"/>
        <v>1</v>
      </c>
      <c r="AH20" s="245">
        <f t="shared" ca="1" si="56"/>
        <v>1.0101100000000001</v>
      </c>
      <c r="AI20" s="1"/>
    </row>
    <row r="21" spans="2:80" s="2" customFormat="1" x14ac:dyDescent="0.2">
      <c r="C21" s="2" t="str">
        <f t="shared" si="46"/>
        <v>FC Grönlingen</v>
      </c>
      <c r="D21" s="1">
        <f t="shared" ca="1" si="33"/>
        <v>3</v>
      </c>
      <c r="E21" s="1">
        <f t="shared" ca="1" si="33"/>
        <v>0</v>
      </c>
      <c r="F21" s="1">
        <f t="shared" ca="1" si="33"/>
        <v>1</v>
      </c>
      <c r="G21" s="1">
        <f t="shared" ca="1" si="33"/>
        <v>2</v>
      </c>
      <c r="H21" s="1">
        <f t="shared" ca="1" si="34"/>
        <v>3</v>
      </c>
      <c r="I21" s="1">
        <f t="shared" ca="1" si="34"/>
        <v>8</v>
      </c>
      <c r="J21" s="13">
        <f t="shared" ca="1" si="34"/>
        <v>-5</v>
      </c>
      <c r="K21" s="1">
        <f t="shared" ca="1" si="34"/>
        <v>1</v>
      </c>
      <c r="L21" s="30">
        <f t="shared" ca="1" si="35"/>
        <v>1495003</v>
      </c>
      <c r="M21" s="14">
        <f t="shared" ca="1" si="47"/>
        <v>1</v>
      </c>
      <c r="N21" s="14">
        <f t="array" aca="1" ref="N21" ca="1">IF($AI$15,SUM(($K$17:$K$25&gt;=K21)/COUNTIF($K$17:$K$25,$K$17:$K$25)),SUM(($L$17:$L$25&gt;=L21)/COUNTIF($L$17:$L$25,$L$17:$L$25)))</f>
        <v>6</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55"/>
        <v>6.0108999999999995</v>
      </c>
      <c r="Y21" s="13">
        <f>PreliminaryRound!$AL29</f>
        <v>0</v>
      </c>
      <c r="Z21" s="1">
        <f t="shared" ca="1" si="48"/>
        <v>1.9</v>
      </c>
      <c r="AA21" s="1">
        <f t="shared" ca="1" si="49"/>
        <v>0</v>
      </c>
      <c r="AB21" s="1">
        <f t="shared" ca="1" si="50"/>
        <v>0</v>
      </c>
      <c r="AC21" s="1">
        <f t="shared" ca="1" si="51"/>
        <v>0</v>
      </c>
      <c r="AD21" s="242">
        <f t="shared" ca="1" si="52"/>
        <v>6</v>
      </c>
      <c r="AE21" s="30">
        <f t="shared" ca="1" si="45"/>
        <v>495003</v>
      </c>
      <c r="AF21" s="1">
        <f t="shared" ca="1" si="53"/>
        <v>7</v>
      </c>
      <c r="AG21" s="1">
        <f t="shared" ca="1" si="54"/>
        <v>1</v>
      </c>
      <c r="AH21" s="245">
        <f t="shared" ca="1" si="56"/>
        <v>6.0107099999999996</v>
      </c>
      <c r="AI21" s="1"/>
    </row>
    <row r="22" spans="2:80" s="2" customFormat="1" x14ac:dyDescent="0.2">
      <c r="C22" s="2" t="str">
        <f t="shared" si="46"/>
        <v>AC Roma</v>
      </c>
      <c r="D22" s="1">
        <f t="shared" ca="1" si="33"/>
        <v>3</v>
      </c>
      <c r="E22" s="1">
        <f t="shared" ca="1" si="33"/>
        <v>3</v>
      </c>
      <c r="F22" s="1">
        <f t="shared" ca="1" si="33"/>
        <v>0</v>
      </c>
      <c r="G22" s="1">
        <f t="shared" ca="1" si="33"/>
        <v>0</v>
      </c>
      <c r="H22" s="1">
        <f t="shared" ca="1" si="34"/>
        <v>12</v>
      </c>
      <c r="I22" s="1">
        <f t="shared" ca="1" si="34"/>
        <v>2</v>
      </c>
      <c r="J22" s="13">
        <f t="shared" ca="1" si="34"/>
        <v>10</v>
      </c>
      <c r="K22" s="1">
        <f t="shared" ca="1" si="34"/>
        <v>9</v>
      </c>
      <c r="L22" s="30">
        <f t="shared" ca="1" si="35"/>
        <v>9510012</v>
      </c>
      <c r="M22" s="14">
        <f t="shared" ca="1" si="47"/>
        <v>1</v>
      </c>
      <c r="N22" s="14">
        <f t="array" aca="1" ref="N22" ca="1">IF($AI$15,SUM(($K$17:$K$25&gt;=K22)/COUNTIF($K$17:$K$25,$K$17:$K$25)),SUM(($L$17:$L$25&gt;=L22)/COUNTIF($L$17:$L$25,$L$17:$L$25)))</f>
        <v>2</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55"/>
        <v>2.0108999999999999</v>
      </c>
      <c r="Y22" s="13">
        <f>PreliminaryRound!$AL30</f>
        <v>0</v>
      </c>
      <c r="Z22" s="1">
        <f t="shared" ca="1" si="48"/>
        <v>1.9</v>
      </c>
      <c r="AA22" s="1">
        <f t="shared" ca="1" si="49"/>
        <v>0</v>
      </c>
      <c r="AB22" s="1">
        <f t="shared" ca="1" si="50"/>
        <v>0</v>
      </c>
      <c r="AC22" s="1">
        <f t="shared" ca="1" si="51"/>
        <v>0</v>
      </c>
      <c r="AD22" s="242">
        <f t="shared" ca="1" si="52"/>
        <v>1</v>
      </c>
      <c r="AE22" s="30">
        <f t="shared" ca="1" si="45"/>
        <v>510012</v>
      </c>
      <c r="AF22" s="1">
        <f t="shared" ca="1" si="53"/>
        <v>2</v>
      </c>
      <c r="AG22" s="1">
        <f t="shared" ca="1" si="54"/>
        <v>1</v>
      </c>
      <c r="AH22" s="245">
        <f t="shared" ca="1" si="56"/>
        <v>1.0102100000000001</v>
      </c>
      <c r="AI22" s="1"/>
    </row>
    <row r="23" spans="2:80" s="2" customFormat="1" x14ac:dyDescent="0.2">
      <c r="C23" s="2" t="str">
        <f t="shared" si="46"/>
        <v>VFL Ronsdorf</v>
      </c>
      <c r="D23" s="1">
        <f t="shared" ca="1" si="33"/>
        <v>3</v>
      </c>
      <c r="E23" s="1">
        <f t="shared" ca="1" si="33"/>
        <v>0</v>
      </c>
      <c r="F23" s="1">
        <f t="shared" ca="1" si="33"/>
        <v>1</v>
      </c>
      <c r="G23" s="1">
        <f t="shared" ca="1" si="33"/>
        <v>2</v>
      </c>
      <c r="H23" s="1">
        <f t="shared" ca="1" si="34"/>
        <v>5</v>
      </c>
      <c r="I23" s="1">
        <f t="shared" ca="1" si="34"/>
        <v>12</v>
      </c>
      <c r="J23" s="13">
        <f t="shared" ca="1" si="34"/>
        <v>-7</v>
      </c>
      <c r="K23" s="1">
        <f t="shared" ca="1" si="34"/>
        <v>1</v>
      </c>
      <c r="L23" s="30">
        <f t="shared" ca="1" si="35"/>
        <v>1493005</v>
      </c>
      <c r="M23" s="14">
        <f t="shared" ca="1" si="47"/>
        <v>1</v>
      </c>
      <c r="N23" s="14">
        <f t="array" aca="1" ref="N23" ca="1">IF($AI$15,SUM(($K$17:$K$25&gt;=K23)/COUNTIF($K$17:$K$25,$K$17:$K$25)),SUM(($L$17:$L$25&gt;=L23)/COUNTIF($L$17:$L$25,$L$17:$L$25)))</f>
        <v>7</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f t="shared" ca="1" si="44"/>
        <v>500000</v>
      </c>
      <c r="X23" s="22">
        <f t="shared" ca="1" si="55"/>
        <v>7.0108999999999995</v>
      </c>
      <c r="Y23" s="13">
        <f>PreliminaryRound!$AL31</f>
        <v>0</v>
      </c>
      <c r="Z23" s="1">
        <f t="shared" ca="1" si="48"/>
        <v>1.9</v>
      </c>
      <c r="AA23" s="1">
        <f t="shared" ca="1" si="49"/>
        <v>0</v>
      </c>
      <c r="AB23" s="1">
        <f t="shared" ca="1" si="50"/>
        <v>0</v>
      </c>
      <c r="AC23" s="1">
        <f t="shared" ca="1" si="51"/>
        <v>0</v>
      </c>
      <c r="AD23" s="242">
        <f t="shared" ca="1" si="52"/>
        <v>6</v>
      </c>
      <c r="AE23" s="30">
        <f t="shared" ca="1" si="45"/>
        <v>493005</v>
      </c>
      <c r="AF23" s="1">
        <f t="shared" ca="1" si="53"/>
        <v>8</v>
      </c>
      <c r="AG23" s="1">
        <f t="shared" ca="1" si="54"/>
        <v>1</v>
      </c>
      <c r="AH23" s="245">
        <f t="shared" ca="1" si="56"/>
        <v>6.0108099999999993</v>
      </c>
      <c r="AI23" s="1"/>
    </row>
    <row r="24" spans="2:80" s="2" customFormat="1" x14ac:dyDescent="0.2">
      <c r="C24" s="2" t="str">
        <f t="shared" si="46"/>
        <v>Borussia Heine</v>
      </c>
      <c r="D24" s="1">
        <f t="shared" ca="1" si="33"/>
        <v>3</v>
      </c>
      <c r="E24" s="1">
        <f t="shared" ca="1" si="33"/>
        <v>1</v>
      </c>
      <c r="F24" s="1">
        <f t="shared" ca="1" si="33"/>
        <v>0</v>
      </c>
      <c r="G24" s="1">
        <f t="shared" ca="1" si="33"/>
        <v>2</v>
      </c>
      <c r="H24" s="1">
        <f t="shared" ca="1" si="34"/>
        <v>6</v>
      </c>
      <c r="I24" s="1">
        <f t="shared" ca="1" si="34"/>
        <v>8</v>
      </c>
      <c r="J24" s="13">
        <f t="shared" ca="1" si="34"/>
        <v>-2</v>
      </c>
      <c r="K24" s="1">
        <f t="shared" ca="1" si="34"/>
        <v>3</v>
      </c>
      <c r="L24" s="30">
        <f t="shared" ca="1" si="35"/>
        <v>3498006</v>
      </c>
      <c r="M24" s="14">
        <f t="shared" ca="1" si="47"/>
        <v>1</v>
      </c>
      <c r="N24" s="14">
        <f t="array" aca="1" ref="N24" ca="1">IF($AI$15,SUM(($K$17:$K$25&gt;=K24)/COUNTIF($K$17:$K$25,$K$17:$K$25)),SUM(($L$17:$L$25&gt;=L24)/COUNTIF($L$17:$L$25,$L$17:$L$25)))</f>
        <v>5</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f t="shared" ca="1" si="44"/>
        <v>500000</v>
      </c>
      <c r="X24" s="22">
        <f t="shared" ca="1" si="55"/>
        <v>5.0108999999999995</v>
      </c>
      <c r="Y24" s="13">
        <f>PreliminaryRound!$AL32</f>
        <v>0</v>
      </c>
      <c r="Z24" s="1">
        <f t="shared" ca="1" si="48"/>
        <v>1.9</v>
      </c>
      <c r="AA24" s="1">
        <f t="shared" ca="1" si="49"/>
        <v>0</v>
      </c>
      <c r="AB24" s="1">
        <f t="shared" ca="1" si="50"/>
        <v>0</v>
      </c>
      <c r="AC24" s="1">
        <f t="shared" ca="1" si="51"/>
        <v>0</v>
      </c>
      <c r="AD24" s="242">
        <f t="shared" ca="1" si="52"/>
        <v>4</v>
      </c>
      <c r="AE24" s="30">
        <f t="shared" ca="1" si="45"/>
        <v>498006</v>
      </c>
      <c r="AF24" s="1">
        <f t="shared" ca="1" si="53"/>
        <v>6</v>
      </c>
      <c r="AG24" s="1">
        <f t="shared" ca="1" si="54"/>
        <v>1</v>
      </c>
      <c r="AH24" s="245">
        <f t="shared" ca="1" si="56"/>
        <v>4.0106099999999998</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1</v>
      </c>
      <c r="N25" s="14">
        <f t="array" aca="1" ref="N25" ca="1">IF($AI$15,SUM(($K$17:$K$25&gt;=K25)/COUNTIF($K$17:$K$25,$K$17:$K$25)),SUM(($L$17:$L$25&gt;=L25)/COUNTIF($L$17:$L$25,$L$17:$L$25)))</f>
        <v>8</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f t="shared" ca="1" si="44"/>
        <v>500000</v>
      </c>
      <c r="X25" s="23">
        <f t="shared" ca="1" si="55"/>
        <v>108.01089999999999</v>
      </c>
      <c r="Y25" s="13">
        <f>PreliminaryRound!$AL33</f>
        <v>0</v>
      </c>
      <c r="Z25" s="1">
        <f t="shared" ca="1" si="48"/>
        <v>1.9</v>
      </c>
      <c r="AA25" s="1">
        <f t="shared" ca="1" si="49"/>
        <v>0</v>
      </c>
      <c r="AB25" s="1">
        <f t="shared" ca="1" si="50"/>
        <v>0</v>
      </c>
      <c r="AC25" s="1">
        <f t="shared" ca="1" si="51"/>
        <v>0</v>
      </c>
      <c r="AD25" s="242">
        <f t="shared" ca="1" si="52"/>
        <v>8</v>
      </c>
      <c r="AE25" s="30">
        <f t="shared" ca="1" si="45"/>
        <v>500000</v>
      </c>
      <c r="AF25" s="1">
        <f t="shared" ca="1" si="53"/>
        <v>4</v>
      </c>
      <c r="AG25" s="1">
        <f t="shared" ca="1" si="54"/>
        <v>1</v>
      </c>
      <c r="AH25" s="246">
        <f t="shared" ca="1" si="56"/>
        <v>108.01041000000001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$F$4</f>
        <v>Mainz 05</v>
      </c>
      <c r="BT29" s="2" t="str">
        <f>$F$5</f>
        <v>Inter Mailand</v>
      </c>
      <c r="BU29" s="2" t="str">
        <f>$F$6</f>
        <v>SSV Wildbach</v>
      </c>
      <c r="BV29" s="2" t="str">
        <f>$F$7</f>
        <v>Manchester City</v>
      </c>
      <c r="BW29" s="2" t="str">
        <f>$F$8</f>
        <v>FC Grönlingen</v>
      </c>
      <c r="BX29" s="2" t="str">
        <f>$F$9</f>
        <v>AC Roma</v>
      </c>
      <c r="BY29" s="2" t="str">
        <f>$F$10</f>
        <v>VFL Ronsdorf</v>
      </c>
      <c r="BZ29" s="2" t="str">
        <f>$F$11</f>
        <v>Borussia Heine</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0</v>
      </c>
      <c r="BU30" s="8">
        <f t="shared" ca="1" si="58"/>
        <v>0</v>
      </c>
      <c r="BV30" s="8">
        <f t="shared" ca="1" si="58"/>
        <v>0</v>
      </c>
      <c r="BW30" s="8">
        <f t="shared" ca="1" si="58"/>
        <v>0</v>
      </c>
      <c r="BX30" s="8">
        <f t="shared" ca="1" si="58"/>
        <v>1</v>
      </c>
      <c r="BY30" s="8">
        <f t="shared" ca="1" si="58"/>
        <v>6</v>
      </c>
      <c r="BZ30" s="8">
        <f t="shared" ca="1" si="58"/>
        <v>2</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0</v>
      </c>
      <c r="BT31" s="7"/>
      <c r="BU31" s="8">
        <f t="shared" ca="1" si="58"/>
        <v>0</v>
      </c>
      <c r="BV31" s="8">
        <f t="shared" ca="1" si="58"/>
        <v>0</v>
      </c>
      <c r="BW31" s="8">
        <f t="shared" ca="1" si="58"/>
        <v>2</v>
      </c>
      <c r="BX31" s="8">
        <f t="shared" ca="1" si="58"/>
        <v>0</v>
      </c>
      <c r="BY31" s="8">
        <f t="shared" ca="1" si="58"/>
        <v>5</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0</v>
      </c>
      <c r="BU32" s="7"/>
      <c r="BV32" s="8">
        <f t="shared" ca="1" si="58"/>
        <v>2</v>
      </c>
      <c r="BW32" s="8">
        <f t="shared" ca="1" si="58"/>
        <v>0</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0</v>
      </c>
      <c r="BT33" s="9">
        <f t="shared" ca="1" si="60"/>
        <v>0</v>
      </c>
      <c r="BU33" s="9">
        <f t="shared" ca="1" si="60"/>
        <v>7</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4</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0</v>
      </c>
      <c r="BU34" s="9">
        <f t="shared" ca="1" si="60"/>
        <v>0</v>
      </c>
      <c r="BV34" s="9">
        <f ca="1">SUMIFS($X$64:$X$135,$V$64:$V$135,$BR34,$W$64:$W$135,BV$29)+SUMIFS($Y$64:$Y$135,$W$64:$W$135,$BR34,$V$64:$V$135,BV$29)</f>
        <v>2</v>
      </c>
      <c r="BW34" s="7"/>
      <c r="BX34" s="8">
        <f ca="1">SUMIFS($X$64:$X$135,$V$64:$V$135,$BR34,$W$64:$W$135,BX$29)+SUMIFS($Y$64:$Y$135,$W$64:$W$135,$BR34,$V$64:$V$135,BX$29)</f>
        <v>0</v>
      </c>
      <c r="BY34" s="8">
        <f ca="1">SUMIFS($X$64:$X$135,$V$64:$V$135,$BR34,$W$64:$W$135,BY$29)+SUMIFS($Y$64:$Y$135,$W$64:$W$135,$BR34,$V$64:$V$135,BY$29)</f>
        <v>1</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AC Roma</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AC Roma</v>
      </c>
      <c r="BS35" s="9">
        <f t="shared" ca="1" si="60"/>
        <v>5</v>
      </c>
      <c r="BT35" s="9">
        <f t="shared" ca="1" si="60"/>
        <v>0</v>
      </c>
      <c r="BU35" s="9">
        <f t="shared" ca="1" si="60"/>
        <v>5</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2</v>
      </c>
      <c r="CA35" s="8">
        <f ca="1">SUMIFS($X$64:$X$135,$V$64:$V$135,$BR35,$W$64:$W$135,CA$29)+SUMIFS($Y$64:$Y$135,$W$64:$W$135,$BR35,$V$64:$V$135,CA$29)</f>
        <v>0</v>
      </c>
      <c r="CB35" s="4"/>
    </row>
    <row r="36" spans="2:80" s="2" customFormat="1" x14ac:dyDescent="0.2">
      <c r="C36" s="2" t="str">
        <f t="shared" si="59"/>
        <v>VFL Ronsdorf</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VFL Ronsdorf</v>
      </c>
      <c r="BS36" s="9">
        <f t="shared" ca="1" si="60"/>
        <v>2</v>
      </c>
      <c r="BT36" s="9">
        <f t="shared" ca="1" si="60"/>
        <v>2</v>
      </c>
      <c r="BU36" s="9">
        <f t="shared" ca="1" si="60"/>
        <v>0</v>
      </c>
      <c r="BV36" s="9">
        <f ca="1">SUMIFS($X$64:$X$135,$V$64:$V$135,$BR36,$W$64:$W$135,BV$29)+SUMIFS($Y$64:$Y$135,$W$64:$W$135,$BR36,$V$64:$V$135,BV$29)</f>
        <v>0</v>
      </c>
      <c r="BW36" s="9">
        <f ca="1">SUMIFS($X$64:$X$135,$V$64:$V$135,$BR36,$W$64:$W$135,BW$29)+SUMIFS($Y$64:$Y$135,$W$64:$W$135,$BR36,$V$64:$V$135,BW$29)</f>
        <v>1</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Borussia Heine</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Borussia Heine</v>
      </c>
      <c r="BS37" s="9">
        <f t="shared" ca="1" si="60"/>
        <v>4</v>
      </c>
      <c r="BT37" s="9">
        <f t="shared" ca="1" si="60"/>
        <v>0</v>
      </c>
      <c r="BU37" s="9">
        <f t="shared" ca="1" si="60"/>
        <v>0</v>
      </c>
      <c r="BV37" s="9">
        <f ca="1">SUMIFS($X$64:$X$135,$V$64:$V$135,$BR37,$W$64:$W$135,BV$29)+SUMIFS($Y$64:$Y$135,$W$64:$W$135,$BR37,$V$64:$V$135,BV$29)</f>
        <v>1</v>
      </c>
      <c r="BW37" s="9">
        <f ca="1">SUMIFS($X$64:$X$135,$V$64:$V$135,$BR37,$W$64:$W$135,BW$29)+SUMIFS($Y$64:$Y$135,$W$64:$W$135,$BR37,$V$64:$V$135,BW$29)</f>
        <v>0</v>
      </c>
      <c r="BX37" s="9">
        <f ca="1">SUMIFS($X$64:$X$135,$V$64:$V$135,$BR37,$W$64:$W$135,BX$29)+SUMIFS($Y$64:$Y$135,$W$64:$W$135,$BR37,$V$64:$V$135,BX$29)</f>
        <v>1</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AC Roma</v>
      </c>
      <c r="BY40" s="2" t="str">
        <f>$F$10</f>
        <v>VFL Ronsdorf</v>
      </c>
      <c r="BZ40" s="2" t="str">
        <f>$F$11</f>
        <v>Borussia Heine</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0</v>
      </c>
      <c r="BU41" s="8">
        <f ca="1">BU30-BS32</f>
        <v>0</v>
      </c>
      <c r="BV41" s="8">
        <f ca="1">BV30-BS33</f>
        <v>0</v>
      </c>
      <c r="BW41" s="8">
        <f ca="1">BW30-BS34</f>
        <v>0</v>
      </c>
      <c r="BX41" s="8">
        <f ca="1">BX30-BS35</f>
        <v>-4</v>
      </c>
      <c r="BY41" s="8">
        <f ca="1">BY30-BS36</f>
        <v>4</v>
      </c>
      <c r="BZ41" s="8">
        <f ca="1">BZ30-BS37</f>
        <v>-2</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0</v>
      </c>
      <c r="BT42" s="7"/>
      <c r="BU42" s="8">
        <f ca="1">BU31-BT32</f>
        <v>0</v>
      </c>
      <c r="BV42" s="8">
        <f ca="1">BV31-BT33</f>
        <v>0</v>
      </c>
      <c r="BW42" s="8">
        <f ca="1">BW31-BT34</f>
        <v>2</v>
      </c>
      <c r="BX42" s="8">
        <f ca="1">BX31-BT35</f>
        <v>0</v>
      </c>
      <c r="BY42" s="8">
        <f ca="1">BY31-BT36</f>
        <v>3</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0</v>
      </c>
      <c r="BT43" s="9">
        <f ca="1">IF(BU42="","",-1*BU42)</f>
        <v>0</v>
      </c>
      <c r="BU43" s="7"/>
      <c r="BV43" s="8">
        <f ca="1">BV32-BU33</f>
        <v>-5</v>
      </c>
      <c r="BW43" s="8">
        <f ca="1">BW32-BU34</f>
        <v>0</v>
      </c>
      <c r="BX43" s="8">
        <f ca="1">BX32-BU35</f>
        <v>-5</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0</v>
      </c>
      <c r="BT44" s="9">
        <f ca="1">IF(BV42="","",-1*BV42)</f>
        <v>0</v>
      </c>
      <c r="BU44" s="9">
        <f ca="1">IF(BV43="","",-1*BV43)</f>
        <v>5</v>
      </c>
      <c r="BV44" s="7"/>
      <c r="BW44" s="8">
        <f ca="1">BW33-BV34</f>
        <v>3</v>
      </c>
      <c r="BX44" s="8">
        <f ca="1">BX33-BV35</f>
        <v>0</v>
      </c>
      <c r="BY44" s="8">
        <f ca="1">BY33-BV36</f>
        <v>0</v>
      </c>
      <c r="BZ44" s="8">
        <f ca="1">BZ33-BV37</f>
        <v>3</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0</v>
      </c>
      <c r="BT45" s="9">
        <f ca="1">IF(BW42="","",-1*BW42)</f>
        <v>-2</v>
      </c>
      <c r="BU45" s="9">
        <f ca="1">IF(BW43="","",-1*BW43)</f>
        <v>0</v>
      </c>
      <c r="BV45" s="9">
        <f ca="1">IF(BW44="","",-1*BW44)</f>
        <v>-3</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AC Roma</v>
      </c>
      <c r="BS46" s="9">
        <f ca="1">IF(BX41="","",-1*BX41)</f>
        <v>4</v>
      </c>
      <c r="BT46" s="9">
        <f ca="1">IF(BX42="","",-1*BX42)</f>
        <v>0</v>
      </c>
      <c r="BU46" s="9">
        <f ca="1">IF(BX43="","",-1*BX43)</f>
        <v>5</v>
      </c>
      <c r="BV46" s="9">
        <f ca="1">IF(BX44="","",-1*BX44)</f>
        <v>0</v>
      </c>
      <c r="BW46" s="9">
        <f ca="1">IF(BX45="","",-1*BX45)</f>
        <v>0</v>
      </c>
      <c r="BX46" s="7"/>
      <c r="BY46" s="8">
        <f ca="1">BY35-BX36</f>
        <v>0</v>
      </c>
      <c r="BZ46" s="8">
        <f ca="1">BZ35-BX37</f>
        <v>1</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VFL Ronsdorf</v>
      </c>
      <c r="BS47" s="9">
        <f ca="1">IF(BY41="","",-1*BY41)</f>
        <v>-4</v>
      </c>
      <c r="BT47" s="9">
        <f ca="1">IF(BY42="","",-1*BY42)</f>
        <v>-3</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Borussia Heine</v>
      </c>
      <c r="BS48" s="9">
        <f ca="1">IF(BZ41="","",-1*BZ41)</f>
        <v>2</v>
      </c>
      <c r="BT48" s="9">
        <f ca="1">IF(BZ42="","",-1*BZ42)</f>
        <v>0</v>
      </c>
      <c r="BU48" s="9">
        <f ca="1">IF(BZ43="","",-1*BZ43)</f>
        <v>0</v>
      </c>
      <c r="BV48" s="9">
        <f ca="1">IF(BZ44="","",-1*BZ44)</f>
        <v>-3</v>
      </c>
      <c r="BW48" s="9">
        <f ca="1">IF(BZ45="","",-1*BZ45)</f>
        <v>0</v>
      </c>
      <c r="BX48" s="9">
        <f ca="1">IF(BZ46="","",-1*BZ46)</f>
        <v>-1</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AC Roma</v>
      </c>
      <c r="BY51" s="2" t="str">
        <f>$F$10</f>
        <v>VFL Ronsdorf</v>
      </c>
      <c r="BZ51" s="2" t="str">
        <f>$F$11</f>
        <v>Borussia Heine</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0</v>
      </c>
      <c r="BU52" s="8">
        <f t="shared" ca="1" si="64"/>
        <v>0</v>
      </c>
      <c r="BV52" s="8">
        <f t="shared" ca="1" si="64"/>
        <v>0</v>
      </c>
      <c r="BW52" s="8">
        <f t="shared" ca="1" si="64"/>
        <v>0</v>
      </c>
      <c r="BX52" s="8">
        <f t="shared" ca="1" si="64"/>
        <v>0</v>
      </c>
      <c r="BY52" s="8">
        <f t="shared" ca="1" si="64"/>
        <v>3</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3</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0</v>
      </c>
      <c r="BT55" s="9">
        <f t="shared" ca="1" si="65"/>
        <v>0</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3</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0</v>
      </c>
      <c r="BT56" s="9">
        <f t="shared" ca="1" si="65"/>
        <v>0</v>
      </c>
      <c r="BU56" s="9">
        <f t="shared" ca="1" si="65"/>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1</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AC Roma</v>
      </c>
      <c r="BS57" s="9">
        <f t="shared" ca="1" si="65"/>
        <v>3</v>
      </c>
      <c r="BT57" s="9">
        <f t="shared" ca="1" si="65"/>
        <v>0</v>
      </c>
      <c r="BU57" s="9">
        <f t="shared" ca="1" si="65"/>
        <v>3</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3</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VFL Ronsdorf</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1</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Borussia Heine</v>
      </c>
      <c r="BS59" s="9">
        <f t="shared" ca="1" si="65"/>
        <v>3</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273"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IF(Planning!$C$31="","",Planning!$C$31)</f>
        <v>Mainz 05</v>
      </c>
      <c r="U64" s="66" t="s">
        <v>7</v>
      </c>
      <c r="V64" s="40" t="str">
        <f ca="1">Planning!$L6</f>
        <v>1. FC Riedwald</v>
      </c>
      <c r="W64" s="33" t="str">
        <f ca="1">Planning!$N6</f>
        <v>Knock Out Rangers</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1. FC RiedwaldKnock Out Rangers</v>
      </c>
      <c r="AA64" s="33">
        <f ca="1">IF(AND(V64&lt;&gt;"",W64&lt;&gt;"",V64&lt;&gt;W64,X64&lt;&gt;"",Y64&lt;&gt;""),1,0)</f>
        <v>1</v>
      </c>
      <c r="AB64" s="142" t="str">
        <f ca="1">IF(AA64&gt;0,X64&amp;Language!$E$80&amp;Y64,"")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IF(Planning!$C$33="","",Planning!$C$33)</f>
        <v>Inter Mailand</v>
      </c>
      <c r="U65" s="67" t="s">
        <v>8</v>
      </c>
      <c r="V65" s="41" t="str">
        <f ca="1">Planning!$L7</f>
        <v>Mainz 05</v>
      </c>
      <c r="W65" s="13" t="str">
        <f ca="1">Planning!$N7</f>
        <v>Borussia Heine</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66">V65&amp;W65</f>
        <v>Mainz 05Borussia Heine</v>
      </c>
      <c r="AA65" s="13">
        <f t="shared" ref="AA65:AA93" ca="1" si="67">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IF(Planning!$C$35="","",Planning!$C$35)</f>
        <v>SSV Wildbach</v>
      </c>
      <c r="U66" s="67" t="s">
        <v>9</v>
      </c>
      <c r="V66" s="41" t="str">
        <f ca="1">Planning!$L8</f>
        <v>Raslo Winners</v>
      </c>
      <c r="W66" s="13" t="str">
        <f ca="1">Planning!$N8</f>
        <v>FC Barcelona</v>
      </c>
      <c r="X66" s="13">
        <f ca="1">IF(AND(PreliminaryRound!$I14&lt;&gt;"",PreliminaryRound!$K14&lt;&gt;"",PreliminaryRound!$F14&lt;&gt;PreliminaryRound!$H14,$V66&lt;&gt;"",$W66&lt;&gt;""),PreliminaryRound!$I14,"")</f>
        <v>1</v>
      </c>
      <c r="Y66" s="36">
        <f ca="1">IF(AND(PreliminaryRound!$I14&lt;&gt;"",PreliminaryRound!$K14&lt;&gt;"",PreliminaryRound!$F14&lt;&gt;PreliminaryRound!$H14,$V66&lt;&gt;"",$W66&lt;&gt;""),PreliminaryRound!$K14,"")</f>
        <v>4</v>
      </c>
      <c r="Z66" s="35" t="str">
        <f t="shared" ca="1" si="66"/>
        <v>Raslo WinnersFC Barcelona</v>
      </c>
      <c r="AA66" s="13">
        <f t="shared" ca="1" si="67"/>
        <v>1</v>
      </c>
      <c r="AB66" s="13" t="str">
        <f ca="1">IF(AA66&gt;0,X66&amp;Language!$E$80&amp;Y66,"")</f>
        <v>1-4</v>
      </c>
      <c r="AD66" s="144"/>
      <c r="AE66" s="149">
        <f ca="1">IF($AA66=0,"",IF($X66&gt;$Y66,Settings!$C$4,IF($X66=$Y66,1,0)))</f>
        <v>0</v>
      </c>
      <c r="AF66" s="144">
        <f ca="1">IF($AA66=0,"",IF($X66&lt;$Y66,Settings!$C$4,IF($X66=$Y66,1,0)))</f>
        <v>3</v>
      </c>
      <c r="AH66" s="4"/>
      <c r="AI66" s="13"/>
      <c r="AJ66" s="4"/>
      <c r="AK66" s="13"/>
      <c r="AL66" s="13"/>
      <c r="AM66" s="13"/>
      <c r="AN66" s="13"/>
      <c r="AO66" s="13"/>
      <c r="AP66" s="13"/>
      <c r="AQ66" s="13"/>
    </row>
    <row r="67" spans="2:43" s="2" customFormat="1" x14ac:dyDescent="0.2">
      <c r="P67" s="47" t="s">
        <v>10</v>
      </c>
      <c r="Q67" s="62" t="str">
        <f>IF(Planning!$C$37="","",Planning!$C$37)</f>
        <v>Manchester City</v>
      </c>
      <c r="U67" s="67" t="s">
        <v>10</v>
      </c>
      <c r="V67" s="41" t="str">
        <f ca="1">Planning!$L9</f>
        <v>VFL Ronsdorf</v>
      </c>
      <c r="W67" s="13" t="str">
        <f ca="1">Planning!$N9</f>
        <v>Inter Mailand</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66"/>
        <v>VFL RonsdorfInter Mailand</v>
      </c>
      <c r="AA67" s="13">
        <f t="shared" ca="1" si="67"/>
        <v>1</v>
      </c>
      <c r="AB67" s="13" t="str">
        <f ca="1">IF(AA67&gt;0,X67&amp;Language!$E$80&amp;Y67,"")</f>
        <v>2-5</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t="s">
        <v>11</v>
      </c>
      <c r="Q68" s="62" t="str">
        <f>IF(Planning!$C$39="","",Planning!$C$39)</f>
        <v>FC Grönlingen</v>
      </c>
      <c r="U68" s="67" t="s">
        <v>11</v>
      </c>
      <c r="V68" s="41" t="str">
        <f ca="1">Planning!$L10</f>
        <v>Eintracht Frankfurt</v>
      </c>
      <c r="W68" s="13" t="str">
        <f ca="1">Planning!$N10</f>
        <v>Fun Kickers Oes</v>
      </c>
      <c r="X68" s="13">
        <f ca="1">IF(AND(PreliminaryRound!$I16&lt;&gt;"",PreliminaryRound!$K16&lt;&gt;"",PreliminaryRound!$F16&lt;&gt;PreliminaryRound!$H16,$V68&lt;&gt;"",$W68&lt;&gt;""),PreliminaryRound!$I16,"")</f>
        <v>4</v>
      </c>
      <c r="Y68" s="36">
        <f ca="1">IF(AND(PreliminaryRound!$I16&lt;&gt;"",PreliminaryRound!$K16&lt;&gt;"",PreliminaryRound!$F16&lt;&gt;PreliminaryRound!$H16,$V68&lt;&gt;"",$W68&lt;&gt;""),PreliminaryRound!$K16,"")</f>
        <v>2</v>
      </c>
      <c r="Z68" s="35" t="str">
        <f t="shared" ca="1" si="66"/>
        <v>Eintracht FrankfurtFun Kickers Oes</v>
      </c>
      <c r="AA68" s="13">
        <f t="shared" ca="1" si="67"/>
        <v>1</v>
      </c>
      <c r="AB68" s="13" t="str">
        <f ca="1">IF(AA68&gt;0,X68&amp;Language!$E$80&amp;Y68,"")</f>
        <v>4-2</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t="s">
        <v>12</v>
      </c>
      <c r="Q69" s="62" t="str">
        <f>IF(Planning!$C$41="","",Planning!$C$41)</f>
        <v>AC Roma</v>
      </c>
      <c r="U69" s="67" t="s">
        <v>12</v>
      </c>
      <c r="V69" s="41" t="str">
        <f ca="1">Planning!$L11</f>
        <v>SSV Wildbach</v>
      </c>
      <c r="W69" s="13" t="str">
        <f ca="1">Planning!$N11</f>
        <v>AC Roma</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5</v>
      </c>
      <c r="Z69" s="35" t="str">
        <f t="shared" ca="1" si="66"/>
        <v>SSV WildbachAC Roma</v>
      </c>
      <c r="AA69" s="13">
        <f t="shared" ca="1" si="67"/>
        <v>1</v>
      </c>
      <c r="AB69" s="13" t="str">
        <f ca="1">IF(AA69&gt;0,X69&amp;Language!$E$80&amp;Y69,"")</f>
        <v>0-5</v>
      </c>
      <c r="AD69" s="144"/>
      <c r="AE69" s="149">
        <f ca="1">IF($AA69=0,"",IF($X69&gt;$Y69,Settings!$C$4,IF($X69=$Y69,1,0)))</f>
        <v>0</v>
      </c>
      <c r="AF69" s="144">
        <f ca="1">IF($AA69=0,"",IF($X69&lt;$Y69,Settings!$C$4,IF($X69=$Y69,1,0)))</f>
        <v>3</v>
      </c>
      <c r="AH69" s="4"/>
      <c r="AI69" s="13"/>
      <c r="AJ69" s="13"/>
      <c r="AK69" s="13"/>
      <c r="AL69" s="13"/>
      <c r="AM69" s="4"/>
      <c r="AN69" s="13"/>
      <c r="AO69" s="13"/>
      <c r="AP69" s="13"/>
      <c r="AQ69" s="13"/>
    </row>
    <row r="70" spans="2:43" s="2" customFormat="1" x14ac:dyDescent="0.2">
      <c r="P70" s="47" t="s">
        <v>17</v>
      </c>
      <c r="Q70" s="62" t="str">
        <f>IF(Planning!$C$43="","",Planning!$C$43)</f>
        <v>VFL Ronsdorf</v>
      </c>
      <c r="U70" s="67" t="s">
        <v>17</v>
      </c>
      <c r="V70" s="41" t="str">
        <f ca="1">Planning!$L12</f>
        <v>VFB Essenheim</v>
      </c>
      <c r="W70" s="13" t="str">
        <f ca="1">Planning!$N12</f>
        <v>Maibach 1822 eV</v>
      </c>
      <c r="X70" s="13">
        <f ca="1">IF(AND(PreliminaryRound!$I18&lt;&gt;"",PreliminaryRound!$K18&lt;&gt;"",PreliminaryRound!$F18&lt;&gt;PreliminaryRound!$H18,$V70&lt;&gt;"",$W70&lt;&gt;""),PreliminaryRound!$I18,"")</f>
        <v>2</v>
      </c>
      <c r="Y70" s="36">
        <f ca="1">IF(AND(PreliminaryRound!$I18&lt;&gt;"",PreliminaryRound!$K18&lt;&gt;"",PreliminaryRound!$F18&lt;&gt;PreliminaryRound!$H18,$V70&lt;&gt;"",$W70&lt;&gt;""),PreliminaryRound!$K18,"")</f>
        <v>2</v>
      </c>
      <c r="Z70" s="35" t="str">
        <f t="shared" ca="1" si="66"/>
        <v>VFB EssenheimMaibach 1822 eV</v>
      </c>
      <c r="AA70" s="13">
        <f t="shared" ca="1" si="67"/>
        <v>1</v>
      </c>
      <c r="AB70" s="13" t="str">
        <f ca="1">IF(AA70&gt;0,X70&amp;Language!$E$80&amp;Y70,"")</f>
        <v>2-2</v>
      </c>
      <c r="AD70" s="144"/>
      <c r="AE70" s="149">
        <f ca="1">IF($AA70=0,"",IF($X70&gt;$Y70,Settings!$C$4,IF($X70=$Y70,1,0)))</f>
        <v>1</v>
      </c>
      <c r="AF70" s="144">
        <f ca="1">IF($AA70=0,"",IF($X70&lt;$Y70,Settings!$C$4,IF($X70=$Y70,1,0)))</f>
        <v>1</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t="s">
        <v>18</v>
      </c>
      <c r="Q71" s="62" t="str">
        <f>IF(Planning!$C$45="","",Planning!$C$45)</f>
        <v>Borussia Heine</v>
      </c>
      <c r="U71" s="67" t="s">
        <v>18</v>
      </c>
      <c r="V71" s="41" t="str">
        <f ca="1">Planning!$L13</f>
        <v>FC Grönlingen</v>
      </c>
      <c r="W71" s="13" t="str">
        <f ca="1">Planning!$N13</f>
        <v>Manchester City</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5</v>
      </c>
      <c r="Z71" s="35" t="str">
        <f t="shared" ca="1" si="66"/>
        <v>FC GrönlingenManchester City</v>
      </c>
      <c r="AA71" s="13">
        <f t="shared" ca="1" si="67"/>
        <v>1</v>
      </c>
      <c r="AB71" s="13" t="str">
        <f ca="1">IF(AA71&gt;0,X71&amp;Language!$E$80&amp;Y71,"")</f>
        <v>2-5</v>
      </c>
      <c r="AD71" s="144"/>
      <c r="AE71" s="149">
        <f ca="1">IF($AA71=0,"",IF($X71&gt;$Y71,Settings!$C$4,IF($X71=$Y71,1,0)))</f>
        <v>0</v>
      </c>
      <c r="AF71" s="144">
        <f ca="1">IF($AA71=0,"",IF($X71&lt;$Y71,Settings!$C$4,IF($X71=$Y71,1,0)))</f>
        <v>3</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t="s">
        <v>19</v>
      </c>
      <c r="Q72" s="63" t="str">
        <f>IF(Planning!$C$47="","",Planning!$C$47)</f>
        <v/>
      </c>
      <c r="U72" s="67" t="s">
        <v>19</v>
      </c>
      <c r="V72" s="41" t="str">
        <f ca="1">Planning!$L14</f>
        <v>Raslo Winners</v>
      </c>
      <c r="W72" s="13" t="str">
        <f ca="1">Planning!$N14</f>
        <v>1. FC Riedwald</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66"/>
        <v>Raslo Winners1. FC Riedwald</v>
      </c>
      <c r="AA72" s="13">
        <f t="shared" ca="1" si="67"/>
        <v>1</v>
      </c>
      <c r="AB72" s="13" t="str">
        <f ca="1">IF(AA72&gt;0,X72&amp;Language!$E$80&amp;Y72,"")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VFL Ronsdorf</v>
      </c>
      <c r="W73" s="13" t="str">
        <f ca="1">Planning!$N15</f>
        <v>Mainz 05</v>
      </c>
      <c r="X73" s="13">
        <f ca="1">IF(AND(PreliminaryRound!$I21&lt;&gt;"",PreliminaryRound!$K21&lt;&gt;"",PreliminaryRound!$F21&lt;&gt;PreliminaryRound!$H21,$V73&lt;&gt;"",$W73&lt;&gt;""),PreliminaryRound!$I21,"")</f>
        <v>2</v>
      </c>
      <c r="Y73" s="36">
        <f ca="1">IF(AND(PreliminaryRound!$I21&lt;&gt;"",PreliminaryRound!$K21&lt;&gt;"",PreliminaryRound!$F21&lt;&gt;PreliminaryRound!$H21,$V73&lt;&gt;"",$W73&lt;&gt;""),PreliminaryRound!$K21,"")</f>
        <v>6</v>
      </c>
      <c r="Z73" s="35" t="str">
        <f t="shared" ca="1" si="66"/>
        <v>VFL RonsdorfMainz 05</v>
      </c>
      <c r="AA73" s="13">
        <f t="shared" ca="1" si="67"/>
        <v>1</v>
      </c>
      <c r="AB73" s="13" t="str">
        <f ca="1">IF(AA73&gt;0,X73&amp;Language!$E$80&amp;Y73,"")</f>
        <v>2-6</v>
      </c>
      <c r="AD73" s="144"/>
      <c r="AE73" s="149">
        <f ca="1">IF($AA73=0,"",IF($X73&gt;$Y73,Settings!$C$4,IF($X73=$Y73,1,0)))</f>
        <v>0</v>
      </c>
      <c r="AF73" s="144">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Fun Kickers Oes</v>
      </c>
      <c r="W74" s="13" t="str">
        <f ca="1">Planning!$N16</f>
        <v>Knock Out Rangers</v>
      </c>
      <c r="X74" s="13">
        <f ca="1">IF(AND(PreliminaryRound!$I22&lt;&gt;"",PreliminaryRound!$K22&lt;&gt;"",PreliminaryRound!$F22&lt;&gt;PreliminaryRound!$H22,$V74&lt;&gt;"",$W74&lt;&gt;""),PreliminaryRound!$I22,"")</f>
        <v>3</v>
      </c>
      <c r="Y74" s="36">
        <f ca="1">IF(AND(PreliminaryRound!$I22&lt;&gt;"",PreliminaryRound!$K22&lt;&gt;"",PreliminaryRound!$F22&lt;&gt;PreliminaryRound!$H22,$V74&lt;&gt;"",$W74&lt;&gt;""),PreliminaryRound!$K22,"")</f>
        <v>2</v>
      </c>
      <c r="Z74" s="35" t="str">
        <f ca="1">V74&amp;W74</f>
        <v>Fun Kickers OesKnock Out Rangers</v>
      </c>
      <c r="AA74" s="13">
        <f t="shared" ca="1" si="67"/>
        <v>1</v>
      </c>
      <c r="AB74" s="13" t="str">
        <f ca="1">IF(AA74&gt;0,X74&amp;Language!$E$80&amp;Y74,"")</f>
        <v>3-2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AC Roma</v>
      </c>
      <c r="W75" s="13" t="str">
        <f ca="1">Planning!$N17</f>
        <v>Borussia Heine</v>
      </c>
      <c r="X75" s="13">
        <f ca="1">IF(AND(PreliminaryRound!$I23&lt;&gt;"",PreliminaryRound!$K23&lt;&gt;"",PreliminaryRound!$F23&lt;&gt;PreliminaryRound!$H23,$V75&lt;&gt;"",$W75&lt;&gt;""),PreliminaryRound!$I23,"")</f>
        <v>2</v>
      </c>
      <c r="Y75" s="36">
        <f ca="1">IF(AND(PreliminaryRound!$I23&lt;&gt;"",PreliminaryRound!$K23&lt;&gt;"",PreliminaryRound!$F23&lt;&gt;PreliminaryRound!$H23,$V75&lt;&gt;"",$W75&lt;&gt;""),PreliminaryRound!$K23,"")</f>
        <v>1</v>
      </c>
      <c r="Z75" s="35" t="str">
        <f t="shared" ref="Z75:Z93" ca="1" si="68">V75&amp;W75</f>
        <v>AC RomaBorussia Heine</v>
      </c>
      <c r="AA75" s="13">
        <f t="shared" ca="1" si="67"/>
        <v>1</v>
      </c>
      <c r="AB75" s="13" t="str">
        <f ca="1">IF(AA75&gt;0,X75&amp;Language!$E$80&amp;Y75,"")</f>
        <v>2-1</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VFB Essenheim</v>
      </c>
      <c r="X76" s="13">
        <f ca="1">IF(AND(PreliminaryRound!$I24&lt;&gt;"",PreliminaryRound!$K24&lt;&gt;"",PreliminaryRound!$F24&lt;&gt;PreliminaryRound!$H24,$V76&lt;&gt;"",$W76&lt;&gt;""),PreliminaryRound!$I24,"")</f>
        <v>6</v>
      </c>
      <c r="Y76" s="36">
        <f ca="1">IF(AND(PreliminaryRound!$I24&lt;&gt;"",PreliminaryRound!$K24&lt;&gt;"",PreliminaryRound!$F24&lt;&gt;PreliminaryRound!$H24,$V76&lt;&gt;"",$W76&lt;&gt;""),PreliminaryRound!$K24,"")</f>
        <v>0</v>
      </c>
      <c r="Z76" s="35" t="str">
        <f t="shared" ca="1" si="68"/>
        <v>FC BarcelonaVFB Essenheim</v>
      </c>
      <c r="AA76" s="13">
        <f t="shared" ca="1" si="67"/>
        <v>1</v>
      </c>
      <c r="AB76" s="13" t="str">
        <f ca="1">IF(AA76&gt;0,X76&amp;Language!$E$80&amp;Y76,"")</f>
        <v>6-0</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FC Grönlingen</v>
      </c>
      <c r="X77" s="13">
        <f ca="1">IF(AND(PreliminaryRound!$I25&lt;&gt;"",PreliminaryRound!$K25&lt;&gt;"",PreliminaryRound!$F25&lt;&gt;PreliminaryRound!$H25,$V77&lt;&gt;"",$W77&lt;&gt;""),PreliminaryRound!$I25,"")</f>
        <v>2</v>
      </c>
      <c r="Y77" s="36">
        <f ca="1">IF(AND(PreliminaryRound!$I25&lt;&gt;"",PreliminaryRound!$K25&lt;&gt;"",PreliminaryRound!$F25&lt;&gt;PreliminaryRound!$H25,$V77&lt;&gt;"",$W77&lt;&gt;""),PreliminaryRound!$K25,"")</f>
        <v>0</v>
      </c>
      <c r="Z77" s="35" t="str">
        <f t="shared" ca="1" si="68"/>
        <v>Inter MailandFC Grönlingen</v>
      </c>
      <c r="AA77" s="13">
        <f t="shared" ca="1" si="67"/>
        <v>1</v>
      </c>
      <c r="AB77" s="13" t="str">
        <f ca="1">IF(AA77&gt;0,X77&amp;Language!$E$80&amp;Y77,"")</f>
        <v>2-0</v>
      </c>
      <c r="AD77" s="144"/>
      <c r="AE77" s="149">
        <f ca="1">IF($AA77=0,"",IF($X77&gt;$Y77,Settings!$C$4,IF($X77=$Y77,1,0)))</f>
        <v>3</v>
      </c>
      <c r="AF77" s="144">
        <f ca="1">IF($AA77=0,"",IF($X77&lt;$Y77,Settings!$C$4,IF($X77=$Y77,1,0)))</f>
        <v>0</v>
      </c>
    </row>
    <row r="78" spans="2:43" s="2" customFormat="1" x14ac:dyDescent="0.2">
      <c r="B78" s="4"/>
      <c r="C78" s="4"/>
      <c r="D78" s="4"/>
      <c r="E78" s="4"/>
      <c r="F78" s="13"/>
      <c r="G78" s="13"/>
      <c r="H78" s="13"/>
      <c r="I78" s="13"/>
      <c r="J78" s="13"/>
      <c r="K78" s="13"/>
      <c r="L78" s="13"/>
      <c r="M78" s="13"/>
      <c r="U78" s="67" t="s">
        <v>30</v>
      </c>
      <c r="V78" s="41" t="str">
        <f ca="1">Planning!$L20</f>
        <v>Maibach 1822 eV</v>
      </c>
      <c r="W78" s="13" t="str">
        <f ca="1">Planning!$N20</f>
        <v>Eintracht Frankfurt</v>
      </c>
      <c r="X78" s="13">
        <f ca="1">IF(AND(PreliminaryRound!$I26&lt;&gt;"",PreliminaryRound!$K26&lt;&gt;"",PreliminaryRound!$F26&lt;&gt;PreliminaryRound!$H26,$V78&lt;&gt;"",$W78&lt;&gt;""),PreliminaryRound!$I26,"")</f>
        <v>1</v>
      </c>
      <c r="Y78" s="36">
        <f ca="1">IF(AND(PreliminaryRound!$I26&lt;&gt;"",PreliminaryRound!$K26&lt;&gt;"",PreliminaryRound!$F26&lt;&gt;PreliminaryRound!$H26,$V78&lt;&gt;"",$W78&lt;&gt;""),PreliminaryRound!$K26,"")</f>
        <v>3</v>
      </c>
      <c r="Z78" s="35" t="str">
        <f t="shared" ca="1" si="68"/>
        <v>Maibach 1822 eVEintracht Frankfurt</v>
      </c>
      <c r="AA78" s="13">
        <f t="shared" ca="1" si="67"/>
        <v>1</v>
      </c>
      <c r="AB78" s="13" t="str">
        <f ca="1">IF(AA78&gt;0,X78&amp;Language!$E$80&amp;Y78,"")</f>
        <v>1-3</v>
      </c>
      <c r="AD78" s="144"/>
      <c r="AE78" s="149">
        <f ca="1">IF($AA78=0,"",IF($X78&gt;$Y78,Settings!$C$4,IF($X78=$Y78,1,0)))</f>
        <v>0</v>
      </c>
      <c r="AF78" s="144">
        <f ca="1">IF($AA78=0,"",IF($X78&lt;$Y78,Settings!$C$4,IF($X78=$Y78,1,0)))</f>
        <v>3</v>
      </c>
    </row>
    <row r="79" spans="2:43" s="2" customFormat="1" x14ac:dyDescent="0.2">
      <c r="B79" s="4"/>
      <c r="C79" s="4"/>
      <c r="D79" s="4"/>
      <c r="E79" s="4"/>
      <c r="F79" s="13"/>
      <c r="G79" s="13"/>
      <c r="H79" s="13"/>
      <c r="I79" s="13"/>
      <c r="J79" s="13"/>
      <c r="K79" s="13"/>
      <c r="L79" s="13"/>
      <c r="M79" s="13"/>
      <c r="U79" s="67" t="s">
        <v>31</v>
      </c>
      <c r="V79" s="41" t="str">
        <f ca="1">Planning!$L21</f>
        <v>Manchester City</v>
      </c>
      <c r="W79" s="13" t="str">
        <f ca="1">Planning!$N21</f>
        <v>SSV Wildbach</v>
      </c>
      <c r="X79" s="13">
        <f ca="1">IF(AND(PreliminaryRound!$I27&lt;&gt;"",PreliminaryRound!$K27&lt;&gt;"",PreliminaryRound!$F27&lt;&gt;PreliminaryRound!$H27,$V79&lt;&gt;"",$W79&lt;&gt;""),PreliminaryRound!$I27,"")</f>
        <v>7</v>
      </c>
      <c r="Y79" s="36">
        <f ca="1">IF(AND(PreliminaryRound!$I27&lt;&gt;"",PreliminaryRound!$K27&lt;&gt;"",PreliminaryRound!$F27&lt;&gt;PreliminaryRound!$H27,$V79&lt;&gt;"",$W79&lt;&gt;""),PreliminaryRound!$K27,"")</f>
        <v>2</v>
      </c>
      <c r="Z79" s="35" t="str">
        <f t="shared" ca="1" si="68"/>
        <v>Manchester CitySSV Wildbach</v>
      </c>
      <c r="AA79" s="13">
        <f t="shared" ca="1" si="67"/>
        <v>1</v>
      </c>
      <c r="AB79" s="13" t="str">
        <f ca="1">IF(AA79&gt;0,X79&amp;Language!$E$80&amp;Y79,"")</f>
        <v>7-2</v>
      </c>
      <c r="AD79" s="144"/>
      <c r="AE79" s="149">
        <f ca="1">IF($AA79=0,"",IF($X79&gt;$Y79,Settings!$C$4,IF($X79=$Y79,1,0)))</f>
        <v>3</v>
      </c>
      <c r="AF79" s="144">
        <f ca="1">IF($AA79=0,"",IF($X79&lt;$Y79,Settings!$C$4,IF($X79=$Y79,1,0)))</f>
        <v>0</v>
      </c>
    </row>
    <row r="80" spans="2:43" s="2" customFormat="1" x14ac:dyDescent="0.2">
      <c r="B80" s="4"/>
      <c r="C80" s="4"/>
      <c r="D80" s="4"/>
      <c r="E80" s="4"/>
      <c r="F80" s="13"/>
      <c r="G80" s="13"/>
      <c r="H80" s="13"/>
      <c r="I80" s="13"/>
      <c r="J80" s="13"/>
      <c r="K80" s="13"/>
      <c r="L80" s="13"/>
      <c r="M80" s="13"/>
      <c r="U80" s="67" t="s">
        <v>32</v>
      </c>
      <c r="V80" s="41" t="str">
        <f ca="1">Planning!$L22</f>
        <v>1. FC Riedwald</v>
      </c>
      <c r="W80" s="13" t="str">
        <f ca="1">Planning!$N22</f>
        <v>Fun Kickers Oes</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4</v>
      </c>
      <c r="Z80" s="35" t="str">
        <f t="shared" ca="1" si="68"/>
        <v>1. FC RiedwaldFun Kickers Oes</v>
      </c>
      <c r="AA80" s="13">
        <f t="shared" ca="1" si="67"/>
        <v>1</v>
      </c>
      <c r="AB80" s="13" t="str">
        <f ca="1">IF(AA80&gt;0,X80&amp;Language!$E$80&amp;Y80,"")</f>
        <v>2-4</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Planning!$L23</f>
        <v>Mainz 05</v>
      </c>
      <c r="W81" s="13" t="str">
        <f ca="1">Planning!$N23</f>
        <v>AC Roma</v>
      </c>
      <c r="X81" s="13">
        <f ca="1">IF(AND(PreliminaryRound!$I29&lt;&gt;"",PreliminaryRound!$K29&lt;&gt;"",PreliminaryRound!$F29&lt;&gt;PreliminaryRound!$H29,$V81&lt;&gt;"",$W81&lt;&gt;""),PreliminaryRound!$I29,"")</f>
        <v>1</v>
      </c>
      <c r="Y81" s="36">
        <f ca="1">IF(AND(PreliminaryRound!$I29&lt;&gt;"",PreliminaryRound!$K29&lt;&gt;"",PreliminaryRound!$F29&lt;&gt;PreliminaryRound!$H29,$V81&lt;&gt;"",$W81&lt;&gt;""),PreliminaryRound!$K29,"")</f>
        <v>5</v>
      </c>
      <c r="Z81" s="35" t="str">
        <f t="shared" ca="1" si="68"/>
        <v>Mainz 05AC Roma</v>
      </c>
      <c r="AA81" s="13">
        <f t="shared" ca="1" si="67"/>
        <v>1</v>
      </c>
      <c r="AB81" s="13" t="str">
        <f ca="1">IF(AA81&gt;0,X81&amp;Language!$E$80&amp;Y81,"")</f>
        <v>1-5</v>
      </c>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Planning!$L24</f>
        <v>VFB Essenheim</v>
      </c>
      <c r="W82" s="13" t="str">
        <f ca="1">Planning!$N24</f>
        <v>Raslo Winners</v>
      </c>
      <c r="X82" s="13">
        <f ca="1">IF(AND(PreliminaryRound!$I30&lt;&gt;"",PreliminaryRound!$K30&lt;&gt;"",PreliminaryRound!$F30&lt;&gt;PreliminaryRound!$H30,$V82&lt;&gt;"",$W82&lt;&gt;""),PreliminaryRound!$I30,"")</f>
        <v>0</v>
      </c>
      <c r="Y82" s="36">
        <f ca="1">IF(AND(PreliminaryRound!$I30&lt;&gt;"",PreliminaryRound!$K30&lt;&gt;"",PreliminaryRound!$F30&lt;&gt;PreliminaryRound!$H30,$V82&lt;&gt;"",$W82&lt;&gt;""),PreliminaryRound!$K30,"")</f>
        <v>3</v>
      </c>
      <c r="Z82" s="35" t="str">
        <f t="shared" ca="1" si="68"/>
        <v>VFB EssenheimRaslo Winners</v>
      </c>
      <c r="AA82" s="13">
        <f t="shared" ca="1" si="67"/>
        <v>1</v>
      </c>
      <c r="AB82" s="13" t="str">
        <f ca="1">IF(AA82&gt;0,X82&amp;Language!$E$80&amp;Y82,"")</f>
        <v>0-3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Planning!$L25</f>
        <v>FC Grönlingen</v>
      </c>
      <c r="W83" s="13" t="str">
        <f ca="1">Planning!$N25</f>
        <v>VFL Ronsdorf</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1</v>
      </c>
      <c r="Z83" s="35" t="str">
        <f t="shared" ca="1" si="68"/>
        <v>FC GrönlingenVFL Ronsdorf</v>
      </c>
      <c r="AA83" s="13">
        <f t="shared" ca="1" si="67"/>
        <v>1</v>
      </c>
      <c r="AB83" s="13" t="str">
        <f ca="1">IF(AA83&gt;0,X83&amp;Language!$E$80&amp;Y83,"")</f>
        <v>1-1</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Planning!$L26</f>
        <v>Knock Out Rangers</v>
      </c>
      <c r="W84" s="13" t="str">
        <f ca="1">Planning!$N26</f>
        <v>Maibach 1822 eV</v>
      </c>
      <c r="X84" s="13">
        <f ca="1">IF(AND(PreliminaryRound!$I32&lt;&gt;"",PreliminaryRound!$K32&lt;&gt;"",PreliminaryRound!$F32&lt;&gt;PreliminaryRound!$H32,$V84&lt;&gt;"",$W84&lt;&gt;""),PreliminaryRound!$I32,"")</f>
        <v>1</v>
      </c>
      <c r="Y84" s="36">
        <f ca="1">IF(AND(PreliminaryRound!$I32&lt;&gt;"",PreliminaryRound!$K32&lt;&gt;"",PreliminaryRound!$F32&lt;&gt;PreliminaryRound!$H32,$V84&lt;&gt;"",$W84&lt;&gt;""),PreliminaryRound!$K32,"")</f>
        <v>1</v>
      </c>
      <c r="Z84" s="35" t="str">
        <f t="shared" ca="1" si="68"/>
        <v>Knock Out RangersMaibach 1822 eV</v>
      </c>
      <c r="AA84" s="13">
        <f t="shared" ca="1" si="67"/>
        <v>1</v>
      </c>
      <c r="AB84" s="13" t="str">
        <f ca="1">IF(AA84&gt;0,X84&amp;Language!$E$80&amp;Y84,"")</f>
        <v>1-1</v>
      </c>
      <c r="AD84" s="144"/>
      <c r="AE84" s="149">
        <f ca="1">IF($AA84=0,"",IF($X84&gt;$Y84,Settings!$C$4,IF($X84=$Y84,1,0)))</f>
        <v>1</v>
      </c>
      <c r="AF84" s="144">
        <f ca="1">IF($AA84=0,"",IF($X84&lt;$Y84,Settings!$C$4,IF($X84=$Y84,1,0)))</f>
        <v>1</v>
      </c>
    </row>
    <row r="85" spans="2:32" s="2" customFormat="1" x14ac:dyDescent="0.2">
      <c r="B85" s="4"/>
      <c r="C85" s="4"/>
      <c r="D85" s="4"/>
      <c r="E85" s="4"/>
      <c r="F85" s="13"/>
      <c r="G85" s="13"/>
      <c r="H85" s="13"/>
      <c r="I85" s="13"/>
      <c r="J85" s="13"/>
      <c r="K85" s="13"/>
      <c r="L85" s="13"/>
      <c r="M85" s="13"/>
      <c r="U85" s="67" t="s">
        <v>37</v>
      </c>
      <c r="V85" s="41" t="str">
        <f ca="1">Planning!$L27</f>
        <v>Borussia Heine</v>
      </c>
      <c r="W85" s="13" t="str">
        <f ca="1">Planning!$N27</f>
        <v>Manchester City</v>
      </c>
      <c r="X85" s="13">
        <f ca="1">IF(AND(PreliminaryRound!$I33&lt;&gt;"",PreliminaryRound!$K33&lt;&gt;"",PreliminaryRound!$F33&lt;&gt;PreliminaryRound!$H33,$V85&lt;&gt;"",$W85&lt;&gt;""),PreliminaryRound!$I33,"")</f>
        <v>1</v>
      </c>
      <c r="Y85" s="36">
        <f ca="1">IF(AND(PreliminaryRound!$I33&lt;&gt;"",PreliminaryRound!$K33&lt;&gt;"",PreliminaryRound!$F33&lt;&gt;PreliminaryRound!$H33,$V85&lt;&gt;"",$W85&lt;&gt;""),PreliminaryRound!$K33,"")</f>
        <v>4</v>
      </c>
      <c r="Z85" s="35" t="str">
        <f t="shared" ca="1" si="68"/>
        <v>Borussia HeineManchester City</v>
      </c>
      <c r="AA85" s="13">
        <f t="shared" ca="1" si="67"/>
        <v>1</v>
      </c>
      <c r="AB85" s="13" t="str">
        <f ca="1">IF(AA85&gt;0,X85&amp;Language!$E$80&amp;Y85,"")</f>
        <v>1-4</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Planning!$L28</f>
        <v>Eintracht Frankfurt</v>
      </c>
      <c r="W86" s="13" t="str">
        <f ca="1">Planning!$N28</f>
        <v>FC Barcelona</v>
      </c>
      <c r="X86" s="13" t="str">
        <f ca="1">IF(AND(PreliminaryRound!$I34&lt;&gt;"",PreliminaryRound!$K34&lt;&gt;"",PreliminaryRound!$F34&lt;&gt;PreliminaryRound!$H34,$V86&lt;&gt;"",$W86&lt;&gt;""),PreliminaryRound!$I34,"")</f>
        <v/>
      </c>
      <c r="Y86" s="36" t="str">
        <f ca="1">IF(AND(PreliminaryRound!$I34&lt;&gt;"",PreliminaryRound!$K34&lt;&gt;"",PreliminaryRound!$F34&lt;&gt;PreliminaryRound!$H34,$V86&lt;&gt;"",$W86&lt;&gt;""),PreliminaryRound!$K34,"")</f>
        <v/>
      </c>
      <c r="Z86" s="35" t="str">
        <f t="shared" ca="1" si="68"/>
        <v>Eintracht FrankfurtFC Barcelona</v>
      </c>
      <c r="AA86" s="13">
        <f t="shared" ca="1" si="67"/>
        <v>0</v>
      </c>
      <c r="AB86" s="13" t="str">
        <f ca="1">IF(AA86&gt;0,X86&amp;Language!$E$80&amp;Y86,"")</f>
        <v/>
      </c>
      <c r="AD86" s="144"/>
      <c r="AE86" s="149" t="str">
        <f ca="1">IF($AA86=0,"",IF($X86&gt;$Y86,Settings!$C$4,IF($X86=$Y86,1,0)))</f>
        <v/>
      </c>
      <c r="AF86" s="144" t="str">
        <f ca="1">IF($AA86=0,"",IF($X86&lt;$Y86,Settings!$C$4,IF($X86=$Y86,1,0)))</f>
        <v/>
      </c>
    </row>
    <row r="87" spans="2:32" s="2" customFormat="1" x14ac:dyDescent="0.2">
      <c r="B87" s="4"/>
      <c r="C87" s="4"/>
      <c r="D87" s="4"/>
      <c r="E87" s="4"/>
      <c r="F87" s="13"/>
      <c r="G87" s="13"/>
      <c r="H87" s="13"/>
      <c r="I87" s="13"/>
      <c r="J87" s="13"/>
      <c r="K87" s="13"/>
      <c r="L87" s="13"/>
      <c r="M87" s="13"/>
      <c r="U87" s="67" t="s">
        <v>39</v>
      </c>
      <c r="V87" s="41" t="str">
        <f ca="1">Planning!$L29</f>
        <v>SSV Wildbach</v>
      </c>
      <c r="W87" s="13" t="str">
        <f ca="1">Planning!$N29</f>
        <v>Inter Mailand</v>
      </c>
      <c r="X87" s="13" t="str">
        <f ca="1">IF(AND(PreliminaryRound!$I35&lt;&gt;"",PreliminaryRound!$K35&lt;&gt;"",PreliminaryRound!$F35&lt;&gt;PreliminaryRound!$H35,$V87&lt;&gt;"",$W87&lt;&gt;""),PreliminaryRound!$I35,"")</f>
        <v/>
      </c>
      <c r="Y87" s="36" t="str">
        <f ca="1">IF(AND(PreliminaryRound!$I35&lt;&gt;"",PreliminaryRound!$K35&lt;&gt;"",PreliminaryRound!$F35&lt;&gt;PreliminaryRound!$H35,$V87&lt;&gt;"",$W87&lt;&gt;""),PreliminaryRound!$K35,"")</f>
        <v/>
      </c>
      <c r="Z87" s="35" t="str">
        <f t="shared" ca="1" si="68"/>
        <v>SSV WildbachInter Mailand</v>
      </c>
      <c r="AA87" s="13">
        <f t="shared" ca="1" si="67"/>
        <v>0</v>
      </c>
      <c r="AB87" s="13" t="str">
        <f ca="1">IF(AA87&gt;0,X87&amp;Language!$E$80&amp;Y87,"")</f>
        <v/>
      </c>
      <c r="AD87" s="144"/>
      <c r="AE87" s="149" t="str">
        <f ca="1">IF($AA87=0,"",IF($X87&gt;$Y87,Settings!$C$4,IF($X87=$Y87,1,0)))</f>
        <v/>
      </c>
      <c r="AF87" s="144" t="str">
        <f ca="1">IF($AA87=0,"",IF($X87&lt;$Y87,Settings!$C$4,IF($X87=$Y87,1,0)))</f>
        <v/>
      </c>
    </row>
    <row r="88" spans="2:32" s="2" customFormat="1" x14ac:dyDescent="0.2">
      <c r="B88" s="4"/>
      <c r="C88" s="4"/>
      <c r="D88" s="4"/>
      <c r="E88" s="4"/>
      <c r="F88" s="13"/>
      <c r="G88" s="13"/>
      <c r="H88" s="13"/>
      <c r="I88" s="13"/>
      <c r="J88" s="13"/>
      <c r="K88" s="13"/>
      <c r="L88" s="13"/>
      <c r="M88" s="13"/>
      <c r="U88" s="67" t="s">
        <v>40</v>
      </c>
      <c r="V88" s="41" t="str">
        <f ca="1">Planning!$L30</f>
        <v>VFB Essenheim</v>
      </c>
      <c r="W88" s="13" t="str">
        <f ca="1">Planning!$N30</f>
        <v>1. FC Riedwald</v>
      </c>
      <c r="X88" s="13" t="str">
        <f ca="1">IF(AND(PreliminaryRound!$I36&lt;&gt;"",PreliminaryRound!$K36&lt;&gt;"",PreliminaryRound!$F36&lt;&gt;PreliminaryRound!$H36,$V88&lt;&gt;"",$W88&lt;&gt;""),PreliminaryRound!$I36,"")</f>
        <v/>
      </c>
      <c r="Y88" s="36" t="str">
        <f ca="1">IF(AND(PreliminaryRound!$I36&lt;&gt;"",PreliminaryRound!$K36&lt;&gt;"",PreliminaryRound!$F36&lt;&gt;PreliminaryRound!$H36,$V88&lt;&gt;"",$W88&lt;&gt;""),PreliminaryRound!$K36,"")</f>
        <v/>
      </c>
      <c r="Z88" s="35" t="str">
        <f t="shared" ca="1" si="68"/>
        <v>VFB Essenheim1. FC Riedwald</v>
      </c>
      <c r="AA88" s="13">
        <f t="shared" ca="1" si="67"/>
        <v>0</v>
      </c>
      <c r="AB88" s="13" t="str">
        <f ca="1">IF(AA88&gt;0,X88&amp;Language!$E$80&amp;Y88,"")</f>
        <v/>
      </c>
      <c r="AD88" s="144"/>
      <c r="AE88" s="149" t="str">
        <f ca="1">IF($AA88=0,"",IF($X88&gt;$Y88,Settings!$C$4,IF($X88=$Y88,1,0)))</f>
        <v/>
      </c>
      <c r="AF88" s="144" t="str">
        <f ca="1">IF($AA88=0,"",IF($X88&lt;$Y88,Settings!$C$4,IF($X88=$Y88,1,0)))</f>
        <v/>
      </c>
    </row>
    <row r="89" spans="2:32" s="2" customFormat="1" x14ac:dyDescent="0.2">
      <c r="B89" s="4"/>
      <c r="C89" s="4"/>
      <c r="D89" s="4"/>
      <c r="E89" s="4"/>
      <c r="F89" s="13"/>
      <c r="G89" s="13"/>
      <c r="H89" s="13"/>
      <c r="I89" s="13"/>
      <c r="J89" s="13"/>
      <c r="K89" s="13"/>
      <c r="L89" s="13"/>
      <c r="M89" s="13"/>
      <c r="U89" s="67" t="s">
        <v>41</v>
      </c>
      <c r="V89" s="41" t="str">
        <f ca="1">Planning!$L31</f>
        <v>FC Grönlingen</v>
      </c>
      <c r="W89" s="13" t="str">
        <f ca="1">Planning!$N31</f>
        <v>Mainz 05</v>
      </c>
      <c r="X89" s="13" t="str">
        <f ca="1">IF(AND(PreliminaryRound!$I37&lt;&gt;"",PreliminaryRound!$K37&lt;&gt;"",PreliminaryRound!$F37&lt;&gt;PreliminaryRound!$H37,$V89&lt;&gt;"",$W89&lt;&gt;""),PreliminaryRound!$I37,"")</f>
        <v/>
      </c>
      <c r="Y89" s="36" t="str">
        <f ca="1">IF(AND(PreliminaryRound!$I37&lt;&gt;"",PreliminaryRound!$K37&lt;&gt;"",PreliminaryRound!$F37&lt;&gt;PreliminaryRound!$H37,$V89&lt;&gt;"",$W89&lt;&gt;""),PreliminaryRound!$K37,"")</f>
        <v/>
      </c>
      <c r="Z89" s="35" t="str">
        <f t="shared" ca="1" si="68"/>
        <v>FC GrönlingenMainz 05</v>
      </c>
      <c r="AA89" s="13">
        <f t="shared" ca="1" si="67"/>
        <v>0</v>
      </c>
      <c r="AB89" s="13" t="str">
        <f ca="1">IF(AA89&gt;0,X89&amp;Language!$E$80&amp;Y89,"")</f>
        <v/>
      </c>
      <c r="AD89" s="144"/>
      <c r="AE89" s="149" t="str">
        <f ca="1">IF($AA89=0,"",IF($X89&gt;$Y89,Settings!$C$4,IF($X89=$Y89,1,0)))</f>
        <v/>
      </c>
      <c r="AF89" s="144" t="str">
        <f ca="1">IF($AA89=0,"",IF($X89&lt;$Y89,Settings!$C$4,IF($X89=$Y89,1,0)))</f>
        <v/>
      </c>
    </row>
    <row r="90" spans="2:32" s="2" customFormat="1" x14ac:dyDescent="0.2">
      <c r="B90" s="4"/>
      <c r="C90" s="4"/>
      <c r="D90" s="4"/>
      <c r="E90" s="4"/>
      <c r="F90" s="13"/>
      <c r="G90" s="13"/>
      <c r="H90" s="13"/>
      <c r="I90" s="13"/>
      <c r="J90" s="13"/>
      <c r="K90" s="13"/>
      <c r="L90" s="13"/>
      <c r="M90" s="13"/>
      <c r="U90" s="67" t="s">
        <v>42</v>
      </c>
      <c r="V90" s="41" t="str">
        <f ca="1">Planning!$L32</f>
        <v>Maibach 1822 eV</v>
      </c>
      <c r="W90" s="13" t="str">
        <f ca="1">Planning!$N32</f>
        <v>Fun Kickers Oes</v>
      </c>
      <c r="X90" s="13" t="str">
        <f ca="1">IF(AND(PreliminaryRound!$I38&lt;&gt;"",PreliminaryRound!$K38&lt;&gt;"",PreliminaryRound!$F38&lt;&gt;PreliminaryRound!$H38,$V90&lt;&gt;"",$W90&lt;&gt;""),PreliminaryRound!$I38,"")</f>
        <v/>
      </c>
      <c r="Y90" s="36" t="str">
        <f ca="1">IF(AND(PreliminaryRound!$I38&lt;&gt;"",PreliminaryRound!$K38&lt;&gt;"",PreliminaryRound!$F38&lt;&gt;PreliminaryRound!$H38,$V90&lt;&gt;"",$W90&lt;&gt;""),PreliminaryRound!$K38,"")</f>
        <v/>
      </c>
      <c r="Z90" s="35" t="str">
        <f t="shared" ca="1" si="68"/>
        <v>Maibach 1822 eVFun Kickers Oes</v>
      </c>
      <c r="AA90" s="13">
        <f t="shared" ca="1" si="67"/>
        <v>0</v>
      </c>
      <c r="AB90" s="13" t="str">
        <f ca="1">IF(AA90&gt;0,X90&amp;Language!$E$80&amp;Y90,"")</f>
        <v/>
      </c>
      <c r="AD90" s="144"/>
      <c r="AE90" s="149" t="str">
        <f ca="1">IF($AA90=0,"",IF($X90&gt;$Y90,Settings!$C$4,IF($X90=$Y90,1,0)))</f>
        <v/>
      </c>
      <c r="AF90" s="144" t="str">
        <f ca="1">IF($AA90=0,"",IF($X90&lt;$Y90,Settings!$C$4,IF($X90=$Y90,1,0)))</f>
        <v/>
      </c>
    </row>
    <row r="91" spans="2:32" s="2" customFormat="1" x14ac:dyDescent="0.2">
      <c r="B91" s="4"/>
      <c r="C91" s="4"/>
      <c r="D91" s="4"/>
      <c r="E91" s="4"/>
      <c r="F91" s="13"/>
      <c r="G91" s="13"/>
      <c r="H91" s="13"/>
      <c r="I91" s="13"/>
      <c r="J91" s="13"/>
      <c r="K91" s="13"/>
      <c r="L91" s="13"/>
      <c r="M91" s="13"/>
      <c r="U91" s="67" t="s">
        <v>43</v>
      </c>
      <c r="V91" s="41" t="str">
        <f ca="1">Planning!$L33</f>
        <v>Manchester City</v>
      </c>
      <c r="W91" s="13" t="str">
        <f ca="1">Planning!$N33</f>
        <v>AC Roma</v>
      </c>
      <c r="X91" s="13" t="str">
        <f ca="1">IF(AND(PreliminaryRound!$I39&lt;&gt;"",PreliminaryRound!$K39&lt;&gt;"",PreliminaryRound!$F39&lt;&gt;PreliminaryRound!$H39,$V91&lt;&gt;"",$W91&lt;&gt;""),PreliminaryRound!$I39,"")</f>
        <v/>
      </c>
      <c r="Y91" s="36" t="str">
        <f ca="1">IF(AND(PreliminaryRound!$I39&lt;&gt;"",PreliminaryRound!$K39&lt;&gt;"",PreliminaryRound!$F39&lt;&gt;PreliminaryRound!$H39,$V91&lt;&gt;"",$W91&lt;&gt;""),PreliminaryRound!$K39,"")</f>
        <v/>
      </c>
      <c r="Z91" s="35" t="str">
        <f t="shared" ca="1" si="68"/>
        <v>Manchester CityAC Roma</v>
      </c>
      <c r="AA91" s="13">
        <f t="shared" ca="1" si="67"/>
        <v>0</v>
      </c>
      <c r="AB91" s="13" t="str">
        <f ca="1">IF(AA91&gt;0,X91&amp;Language!$E$80&amp;Y91,"")</f>
        <v/>
      </c>
      <c r="AD91" s="144"/>
      <c r="AE91" s="149" t="str">
        <f ca="1">IF($AA91=0,"",IF($X91&gt;$Y91,Settings!$C$4,IF($X91=$Y91,1,0)))</f>
        <v/>
      </c>
      <c r="AF91" s="144" t="str">
        <f ca="1">IF($AA91=0,"",IF($X91&lt;$Y91,Settings!$C$4,IF($X91=$Y91,1,0)))</f>
        <v/>
      </c>
    </row>
    <row r="92" spans="2:32" s="2" customFormat="1" x14ac:dyDescent="0.2">
      <c r="B92" s="4"/>
      <c r="C92" s="4"/>
      <c r="D92" s="4"/>
      <c r="E92" s="4"/>
      <c r="F92" s="13"/>
      <c r="G92" s="13"/>
      <c r="H92" s="13"/>
      <c r="I92" s="13"/>
      <c r="J92" s="13"/>
      <c r="K92" s="13"/>
      <c r="L92" s="13"/>
      <c r="M92" s="13"/>
      <c r="U92" s="67" t="s">
        <v>44</v>
      </c>
      <c r="V92" s="41" t="str">
        <f ca="1">Planning!$L34</f>
        <v>Raslo Winners</v>
      </c>
      <c r="W92" s="13" t="str">
        <f ca="1">Planning!$N34</f>
        <v>Eintracht Frankfurt</v>
      </c>
      <c r="X92" s="13" t="str">
        <f ca="1">IF(AND(PreliminaryRound!$I40&lt;&gt;"",PreliminaryRound!$K40&lt;&gt;"",PreliminaryRound!$F40&lt;&gt;PreliminaryRound!$H40,$V92&lt;&gt;"",$W92&lt;&gt;""),PreliminaryRound!$I40,"")</f>
        <v/>
      </c>
      <c r="Y92" s="36" t="str">
        <f ca="1">IF(AND(PreliminaryRound!$I40&lt;&gt;"",PreliminaryRound!$K40&lt;&gt;"",PreliminaryRound!$F40&lt;&gt;PreliminaryRound!$H40,$V92&lt;&gt;"",$W92&lt;&gt;""),PreliminaryRound!$K40,"")</f>
        <v/>
      </c>
      <c r="Z92" s="35" t="str">
        <f t="shared" ca="1" si="68"/>
        <v>Raslo WinnersEintracht Frankfurt</v>
      </c>
      <c r="AA92" s="13">
        <f t="shared" ca="1" si="67"/>
        <v>0</v>
      </c>
      <c r="AB92" s="13" t="str">
        <f ca="1">IF(AA92&gt;0,X92&amp;Language!$E$80&amp;Y92,"")</f>
        <v/>
      </c>
      <c r="AD92" s="144"/>
      <c r="AE92" s="149" t="str">
        <f ca="1">IF($AA92=0,"",IF($X92&gt;$Y92,Settings!$C$4,IF($X92=$Y92,1,0)))</f>
        <v/>
      </c>
      <c r="AF92" s="144" t="str">
        <f ca="1">IF($AA92=0,"",IF($X92&lt;$Y92,Settings!$C$4,IF($X92=$Y92,1,0)))</f>
        <v/>
      </c>
    </row>
    <row r="93" spans="2:32" s="2" customFormat="1" x14ac:dyDescent="0.2">
      <c r="B93" s="4"/>
      <c r="C93" s="4"/>
      <c r="D93" s="4"/>
      <c r="E93" s="4"/>
      <c r="F93" s="13"/>
      <c r="G93" s="13"/>
      <c r="H93" s="13"/>
      <c r="I93" s="13"/>
      <c r="J93" s="13"/>
      <c r="K93" s="13"/>
      <c r="L93" s="13"/>
      <c r="M93" s="13"/>
      <c r="U93" s="67" t="s">
        <v>45</v>
      </c>
      <c r="V93" s="41" t="str">
        <f ca="1">Planning!$L35</f>
        <v>VFL Ronsdorf</v>
      </c>
      <c r="W93" s="13" t="str">
        <f ca="1">Planning!$N35</f>
        <v>SSV Wildbach</v>
      </c>
      <c r="X93" s="13" t="str">
        <f ca="1">IF(AND(PreliminaryRound!$I41&lt;&gt;"",PreliminaryRound!$K41&lt;&gt;"",PreliminaryRound!$F41&lt;&gt;PreliminaryRound!$H41,$V93&lt;&gt;"",$W93&lt;&gt;""),PreliminaryRound!$I41,"")</f>
        <v/>
      </c>
      <c r="Y93" s="36" t="str">
        <f ca="1">IF(AND(PreliminaryRound!$I41&lt;&gt;"",PreliminaryRound!$K41&lt;&gt;"",PreliminaryRound!$F41&lt;&gt;PreliminaryRound!$H41,$V93&lt;&gt;"",$W93&lt;&gt;""),PreliminaryRound!$K41,"")</f>
        <v/>
      </c>
      <c r="Z93" s="35" t="str">
        <f t="shared" ca="1" si="68"/>
        <v>VFL RonsdorfSSV Wildbach</v>
      </c>
      <c r="AA93" s="13">
        <f t="shared" ca="1" si="67"/>
        <v>0</v>
      </c>
      <c r="AB93" s="13" t="str">
        <f ca="1">IF(AA93&gt;0,X93&amp;Language!$E$80&amp;Y93,"")</f>
        <v/>
      </c>
      <c r="AC93" s="4"/>
      <c r="AD93" s="144"/>
      <c r="AE93" s="149" t="str">
        <f ca="1">IF($AA93=0,"",IF($X93&gt;$Y93,Settings!$C$4,IF($X93=$Y93,1,0)))</f>
        <v/>
      </c>
      <c r="AF93" s="144" t="str">
        <f ca="1">IF($AA93=0,"",IF($X93&lt;$Y93,Settings!$C$4,IF($X93=$Y93,1,0)))</f>
        <v/>
      </c>
    </row>
    <row r="94" spans="2:32" s="2" customFormat="1" x14ac:dyDescent="0.2">
      <c r="B94" s="4"/>
      <c r="C94" s="4"/>
      <c r="D94" s="4"/>
      <c r="E94" s="4"/>
      <c r="F94" s="13"/>
      <c r="G94" s="13"/>
      <c r="H94" s="13"/>
      <c r="I94" s="13"/>
      <c r="J94" s="13"/>
      <c r="K94" s="13"/>
      <c r="L94" s="13"/>
      <c r="M94" s="13"/>
      <c r="U94" s="67" t="s">
        <v>46</v>
      </c>
      <c r="V94" s="41" t="str">
        <f ca="1">Planning!$L36</f>
        <v>FC Barcelona</v>
      </c>
      <c r="W94" s="13" t="str">
        <f ca="1">Planning!$N36</f>
        <v>Knock Out Rangers</v>
      </c>
      <c r="X94" s="13" t="str">
        <f ca="1">IF(AND(PreliminaryRound!$I42&lt;&gt;"",PreliminaryRound!$K42&lt;&gt;"",PreliminaryRound!$F42&lt;&gt;PreliminaryRound!$H42,$V94&lt;&gt;"",$W94&lt;&gt;""),PreliminaryRound!$I42,"")</f>
        <v/>
      </c>
      <c r="Y94" s="36" t="str">
        <f ca="1">IF(AND(PreliminaryRound!$I42&lt;&gt;"",PreliminaryRound!$K42&lt;&gt;"",PreliminaryRound!$F42&lt;&gt;PreliminaryRound!$H42,$V94&lt;&gt;"",$W94&lt;&gt;""),PreliminaryRound!$K42,"")</f>
        <v/>
      </c>
      <c r="Z94" s="35" t="str">
        <f t="shared" ref="Z94:Z135" ca="1" si="69">V94&amp;W94</f>
        <v>FC BarcelonaKnock Out Rangers</v>
      </c>
      <c r="AA94" s="13">
        <f t="shared" ref="AA94:AA135" ca="1" si="70">IF(AND(V94&lt;&gt;"",W94&lt;&gt;"",V94&lt;&gt;W94,X94&lt;&gt;"",Y94&lt;&gt;""),1,0)</f>
        <v>0</v>
      </c>
      <c r="AB94" s="13" t="str">
        <f ca="1">IF(AA94&gt;0,X94&amp;Language!$E$80&amp;Y94,"")</f>
        <v/>
      </c>
      <c r="AC94" s="4"/>
      <c r="AD94" s="144"/>
      <c r="AE94" s="149" t="str">
        <f ca="1">IF($AA94=0,"",IF($X94&gt;$Y94,Settings!$C$4,IF($X94=$Y94,1,0)))</f>
        <v/>
      </c>
      <c r="AF94" s="144" t="str">
        <f ca="1">IF($AA94=0,"",IF($X94&lt;$Y94,Settings!$C$4,IF($X94=$Y94,1,0)))</f>
        <v/>
      </c>
    </row>
    <row r="95" spans="2:32" s="2" customFormat="1" x14ac:dyDescent="0.2">
      <c r="B95" s="4"/>
      <c r="C95" s="4"/>
      <c r="D95" s="4"/>
      <c r="E95" s="4"/>
      <c r="F95" s="13"/>
      <c r="G95" s="13"/>
      <c r="H95" s="13"/>
      <c r="I95" s="13"/>
      <c r="J95" s="13"/>
      <c r="K95" s="13"/>
      <c r="L95" s="13"/>
      <c r="M95" s="13"/>
      <c r="U95" s="67" t="s">
        <v>47</v>
      </c>
      <c r="V95" s="41" t="str">
        <f ca="1">Planning!$L37</f>
        <v>Inter Mailand</v>
      </c>
      <c r="W95" s="13" t="str">
        <f ca="1">Planning!$N37</f>
        <v>Borussia Heine</v>
      </c>
      <c r="X95" s="13" t="str">
        <f ca="1">IF(AND(PreliminaryRound!$I43&lt;&gt;"",PreliminaryRound!$K43&lt;&gt;"",PreliminaryRound!$F43&lt;&gt;PreliminaryRound!$H43,$V95&lt;&gt;"",$W95&lt;&gt;""),PreliminaryRound!$I43,"")</f>
        <v/>
      </c>
      <c r="Y95" s="36" t="str">
        <f ca="1">IF(AND(PreliminaryRound!$I43&lt;&gt;"",PreliminaryRound!$K43&lt;&gt;"",PreliminaryRound!$F43&lt;&gt;PreliminaryRound!$H43,$V95&lt;&gt;"",$W95&lt;&gt;""),PreliminaryRound!$K43,"")</f>
        <v/>
      </c>
      <c r="Z95" s="35" t="str">
        <f t="shared" ca="1" si="69"/>
        <v>Inter MailandBorussia Heine</v>
      </c>
      <c r="AA95" s="13">
        <f t="shared" ca="1" si="70"/>
        <v>0</v>
      </c>
      <c r="AB95" s="13" t="str">
        <f ca="1">IF(AA95&gt;0,X95&amp;Language!$E$80&amp;Y95,"")</f>
        <v/>
      </c>
      <c r="AD95" s="144"/>
      <c r="AE95" s="149" t="str">
        <f ca="1">IF($AA95=0,"",IF($X95&gt;$Y95,Settings!$C$4,IF($X95=$Y95,1,0)))</f>
        <v/>
      </c>
      <c r="AF95" s="144" t="str">
        <f ca="1">IF($AA95=0,"",IF($X95&lt;$Y95,Settings!$C$4,IF($X95=$Y95,1,0)))</f>
        <v/>
      </c>
    </row>
    <row r="96" spans="2:32" s="2" customFormat="1" x14ac:dyDescent="0.2">
      <c r="B96" s="4"/>
      <c r="C96" s="4"/>
      <c r="D96" s="4"/>
      <c r="E96" s="4"/>
      <c r="F96" s="13"/>
      <c r="G96" s="13"/>
      <c r="H96" s="13"/>
      <c r="I96" s="13"/>
      <c r="J96" s="13"/>
      <c r="K96" s="13"/>
      <c r="L96" s="13"/>
      <c r="M96" s="13"/>
      <c r="U96" s="67" t="s">
        <v>48</v>
      </c>
      <c r="V96" s="41" t="str">
        <f ca="1">Planning!$L38</f>
        <v>1. FC Riedwald</v>
      </c>
      <c r="W96" s="13" t="str">
        <f ca="1">Planning!$N38</f>
        <v>Maibach 1822 eV</v>
      </c>
      <c r="X96" s="13" t="str">
        <f ca="1">IF(AND(PreliminaryRound!$I44&lt;&gt;"",PreliminaryRound!$K44&lt;&gt;"",PreliminaryRound!$F44&lt;&gt;PreliminaryRound!$H44,$V96&lt;&gt;"",$W96&lt;&gt;""),PreliminaryRound!$I44,"")</f>
        <v/>
      </c>
      <c r="Y96" s="36" t="str">
        <f ca="1">IF(AND(PreliminaryRound!$I44&lt;&gt;"",PreliminaryRound!$K44&lt;&gt;"",PreliminaryRound!$F44&lt;&gt;PreliminaryRound!$H44,$V96&lt;&gt;"",$W96&lt;&gt;""),PreliminaryRound!$K44,"")</f>
        <v/>
      </c>
      <c r="Z96" s="35" t="str">
        <f t="shared" ca="1" si="69"/>
        <v>1. FC RiedwaldMaibach 1822 eV</v>
      </c>
      <c r="AA96" s="13">
        <f t="shared" ca="1" si="70"/>
        <v>0</v>
      </c>
      <c r="AB96" s="13" t="str">
        <f ca="1">IF(AA96&gt;0,X96&amp;Language!$E$80&amp;Y96,"")</f>
        <v/>
      </c>
      <c r="AD96" s="144"/>
      <c r="AE96" s="149" t="str">
        <f ca="1">IF($AA96=0,"",IF($X96&gt;$Y96,Settings!$C$4,IF($X96=$Y96,1,0)))</f>
        <v/>
      </c>
      <c r="AF96" s="144" t="str">
        <f ca="1">IF($AA96=0,"",IF($X96&lt;$Y96,Settings!$C$4,IF($X96=$Y96,1,0)))</f>
        <v/>
      </c>
    </row>
    <row r="97" spans="2:32" s="2" customFormat="1" x14ac:dyDescent="0.2">
      <c r="B97" s="4"/>
      <c r="C97" s="4"/>
      <c r="D97" s="4"/>
      <c r="E97" s="4"/>
      <c r="F97" s="13"/>
      <c r="G97" s="13"/>
      <c r="H97" s="13"/>
      <c r="I97" s="13"/>
      <c r="J97" s="13"/>
      <c r="K97" s="13"/>
      <c r="L97" s="13"/>
      <c r="M97" s="13"/>
      <c r="U97" s="67" t="s">
        <v>49</v>
      </c>
      <c r="V97" s="41" t="str">
        <f ca="1">Planning!$L39</f>
        <v>Mainz 05</v>
      </c>
      <c r="W97" s="13" t="str">
        <f ca="1">Planning!$N39</f>
        <v>Manchester City</v>
      </c>
      <c r="X97" s="13" t="str">
        <f ca="1">IF(AND(PreliminaryRound!$I45&lt;&gt;"",PreliminaryRound!$K45&lt;&gt;"",PreliminaryRound!$F45&lt;&gt;PreliminaryRound!$H45,$V97&lt;&gt;"",$W97&lt;&gt;""),PreliminaryRound!$I45,"")</f>
        <v/>
      </c>
      <c r="Y97" s="36" t="str">
        <f ca="1">IF(AND(PreliminaryRound!$I45&lt;&gt;"",PreliminaryRound!$K45&lt;&gt;"",PreliminaryRound!$F45&lt;&gt;PreliminaryRound!$H45,$V97&lt;&gt;"",$W97&lt;&gt;""),PreliminaryRound!$K45,"")</f>
        <v/>
      </c>
      <c r="Z97" s="35" t="str">
        <f t="shared" ca="1" si="69"/>
        <v>Mainz 05Manchester City</v>
      </c>
      <c r="AA97" s="13">
        <f t="shared" ca="1" si="70"/>
        <v>0</v>
      </c>
      <c r="AB97" s="13" t="str">
        <f ca="1">IF(AA97&gt;0,X97&amp;Language!$E$80&amp;Y97,"")</f>
        <v/>
      </c>
      <c r="AD97" s="144"/>
      <c r="AE97" s="149" t="str">
        <f ca="1">IF($AA97=0,"",IF($X97&gt;$Y97,Settings!$C$4,IF($X97=$Y97,1,0)))</f>
        <v/>
      </c>
      <c r="AF97" s="144" t="str">
        <f ca="1">IF($AA97=0,"",IF($X97&lt;$Y97,Settings!$C$4,IF($X97=$Y97,1,0)))</f>
        <v/>
      </c>
    </row>
    <row r="98" spans="2:32" s="2" customFormat="1" x14ac:dyDescent="0.2">
      <c r="B98" s="4"/>
      <c r="C98" s="4"/>
      <c r="D98" s="4"/>
      <c r="E98" s="4"/>
      <c r="F98" s="13"/>
      <c r="G98" s="13"/>
      <c r="H98" s="13"/>
      <c r="I98" s="13"/>
      <c r="J98" s="13"/>
      <c r="K98" s="13"/>
      <c r="L98" s="13"/>
      <c r="M98" s="13"/>
      <c r="U98" s="67" t="s">
        <v>50</v>
      </c>
      <c r="V98" s="41" t="str">
        <f ca="1">Planning!$L40</f>
        <v>Eintracht Frankfurt</v>
      </c>
      <c r="W98" s="13" t="str">
        <f ca="1">Planning!$N40</f>
        <v>VFB Essenheim</v>
      </c>
      <c r="X98" s="13" t="str">
        <f ca="1">IF(AND(PreliminaryRound!$I46&lt;&gt;"",PreliminaryRound!$K46&lt;&gt;"",PreliminaryRound!$F46&lt;&gt;PreliminaryRound!$H46,$V98&lt;&gt;"",$W98&lt;&gt;""),PreliminaryRound!$I46,"")</f>
        <v/>
      </c>
      <c r="Y98" s="36" t="str">
        <f ca="1">IF(AND(PreliminaryRound!$I46&lt;&gt;"",PreliminaryRound!$K46&lt;&gt;"",PreliminaryRound!$F46&lt;&gt;PreliminaryRound!$H46,$V98&lt;&gt;"",$W98&lt;&gt;""),PreliminaryRound!$K46,"")</f>
        <v/>
      </c>
      <c r="Z98" s="35" t="str">
        <f t="shared" ca="1" si="69"/>
        <v>Eintracht FrankfurtVFB Essenheim</v>
      </c>
      <c r="AA98" s="13">
        <f t="shared" ca="1" si="70"/>
        <v>0</v>
      </c>
      <c r="AB98" s="13" t="str">
        <f ca="1">IF(AA98&gt;0,X98&amp;Language!$E$80&amp;Y98,"")</f>
        <v/>
      </c>
      <c r="AD98" s="144"/>
      <c r="AE98" s="149" t="str">
        <f ca="1">IF($AA98=0,"",IF($X98&gt;$Y98,Settings!$C$4,IF($X98=$Y98,1,0)))</f>
        <v/>
      </c>
      <c r="AF98" s="144" t="str">
        <f ca="1">IF($AA98=0,"",IF($X98&lt;$Y98,Settings!$C$4,IF($X98=$Y98,1,0)))</f>
        <v/>
      </c>
    </row>
    <row r="99" spans="2:32" s="2" customFormat="1" x14ac:dyDescent="0.2">
      <c r="B99" s="4"/>
      <c r="C99" s="4"/>
      <c r="D99" s="4"/>
      <c r="E99" s="4"/>
      <c r="F99" s="13"/>
      <c r="G99" s="13"/>
      <c r="H99" s="13"/>
      <c r="I99" s="13"/>
      <c r="J99" s="13"/>
      <c r="K99" s="13"/>
      <c r="L99" s="13"/>
      <c r="M99" s="13"/>
      <c r="U99" s="67" t="s">
        <v>51</v>
      </c>
      <c r="V99" s="41" t="str">
        <f ca="1">Planning!$L41</f>
        <v>SSV Wildbach</v>
      </c>
      <c r="W99" s="13" t="str">
        <f ca="1">Planning!$N41</f>
        <v>FC Grönlingen</v>
      </c>
      <c r="X99" s="13" t="str">
        <f ca="1">IF(AND(PreliminaryRound!$I47&lt;&gt;"",PreliminaryRound!$K47&lt;&gt;"",PreliminaryRound!$F47&lt;&gt;PreliminaryRound!$H47,$V99&lt;&gt;"",$W99&lt;&gt;""),PreliminaryRound!$I47,"")</f>
        <v/>
      </c>
      <c r="Y99" s="36" t="str">
        <f ca="1">IF(AND(PreliminaryRound!$I47&lt;&gt;"",PreliminaryRound!$K47&lt;&gt;"",PreliminaryRound!$F47&lt;&gt;PreliminaryRound!$H47,$V99&lt;&gt;"",$W99&lt;&gt;""),PreliminaryRound!$K47,"")</f>
        <v/>
      </c>
      <c r="Z99" s="35" t="str">
        <f t="shared" ca="1" si="69"/>
        <v>SSV WildbachFC Grönlingen</v>
      </c>
      <c r="AA99" s="13">
        <f t="shared" ca="1" si="70"/>
        <v>0</v>
      </c>
      <c r="AB99" s="13" t="str">
        <f ca="1">IF(AA99&gt;0,X99&amp;Language!$E$80&amp;Y99,"")</f>
        <v/>
      </c>
      <c r="AD99" s="144"/>
      <c r="AE99" s="149" t="str">
        <f ca="1">IF($AA99=0,"",IF($X99&gt;$Y99,Settings!$C$4,IF($X99=$Y99,1,0)))</f>
        <v/>
      </c>
      <c r="AF99" s="144" t="str">
        <f ca="1">IF($AA99=0,"",IF($X99&lt;$Y99,Settings!$C$4,IF($X99=$Y99,1,0)))</f>
        <v/>
      </c>
    </row>
    <row r="100" spans="2:32" s="2" customFormat="1" x14ac:dyDescent="0.2">
      <c r="B100" s="4"/>
      <c r="C100" s="4"/>
      <c r="D100" s="4"/>
      <c r="E100" s="4"/>
      <c r="F100" s="13"/>
      <c r="G100" s="13"/>
      <c r="H100" s="13"/>
      <c r="I100" s="13"/>
      <c r="J100" s="13"/>
      <c r="K100" s="13"/>
      <c r="L100" s="13"/>
      <c r="M100" s="13"/>
      <c r="U100" s="67" t="s">
        <v>60</v>
      </c>
      <c r="V100" s="41" t="str">
        <f ca="1">Planning!$L42</f>
        <v>Fun Kickers Oes</v>
      </c>
      <c r="W100" s="13" t="str">
        <f ca="1">Planning!$N42</f>
        <v>FC Barcelona</v>
      </c>
      <c r="X100" s="13" t="str">
        <f ca="1">IF(AND(PreliminaryRound!$I48&lt;&gt;"",PreliminaryRound!$K48&lt;&gt;"",PreliminaryRound!$F48&lt;&gt;PreliminaryRound!$H48,$V100&lt;&gt;"",$W100&lt;&gt;""),PreliminaryRound!$I48,"")</f>
        <v/>
      </c>
      <c r="Y100" s="36" t="str">
        <f ca="1">IF(AND(PreliminaryRound!$I48&lt;&gt;"",PreliminaryRound!$K48&lt;&gt;"",PreliminaryRound!$F48&lt;&gt;PreliminaryRound!$H48,$V100&lt;&gt;"",$W100&lt;&gt;""),PreliminaryRound!$K48,"")</f>
        <v/>
      </c>
      <c r="Z100" s="35" t="str">
        <f t="shared" ca="1" si="69"/>
        <v>Fun Kickers OesFC Barcelona</v>
      </c>
      <c r="AA100" s="13">
        <f t="shared" ca="1" si="70"/>
        <v>0</v>
      </c>
      <c r="AB100" s="13" t="str">
        <f ca="1">IF(AA100&gt;0,X100&amp;Language!$E$80&amp;Y100,"")</f>
        <v/>
      </c>
      <c r="AD100" s="144"/>
      <c r="AE100" s="149" t="str">
        <f ca="1">IF($AA100=0,"",IF($X100&gt;$Y100,Settings!$C$4,IF($X100=$Y100,1,0)))</f>
        <v/>
      </c>
      <c r="AF100" s="144" t="str">
        <f ca="1">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 ca="1">Planning!$L43</f>
        <v>AC Roma</v>
      </c>
      <c r="W101" s="13" t="str">
        <f ca="1">Planning!$N43</f>
        <v>Inter Mailand</v>
      </c>
      <c r="X101" s="13" t="str">
        <f ca="1">IF(AND(PreliminaryRound!$I49&lt;&gt;"",PreliminaryRound!$K49&lt;&gt;"",PreliminaryRound!$F49&lt;&gt;PreliminaryRound!$H49,$V101&lt;&gt;"",$W101&lt;&gt;""),PreliminaryRound!$I49,"")</f>
        <v/>
      </c>
      <c r="Y101" s="36" t="str">
        <f ca="1">IF(AND(PreliminaryRound!$I49&lt;&gt;"",PreliminaryRound!$K49&lt;&gt;"",PreliminaryRound!$F49&lt;&gt;PreliminaryRound!$H49,$V101&lt;&gt;"",$W101&lt;&gt;""),PreliminaryRound!$K49,"")</f>
        <v/>
      </c>
      <c r="Z101" s="35" t="str">
        <f t="shared" ca="1" si="69"/>
        <v>AC RomaInter Mailand</v>
      </c>
      <c r="AA101" s="13">
        <f t="shared" ca="1" si="70"/>
        <v>0</v>
      </c>
      <c r="AB101" s="13" t="str">
        <f ca="1">IF(AA101&gt;0,X101&amp;Language!$E$80&amp;Y101,"")</f>
        <v/>
      </c>
      <c r="AD101" s="144"/>
      <c r="AE101" s="149" t="str">
        <f ca="1">IF($AA101=0,"",IF($X101&gt;$Y101,Settings!$C$4,IF($X101=$Y101,1,0)))</f>
        <v/>
      </c>
      <c r="AF101" s="144" t="str">
        <f ca="1">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 ca="1">Planning!$L44</f>
        <v>Knock Out Rangers</v>
      </c>
      <c r="W102" s="13" t="str">
        <f ca="1">Planning!$N44</f>
        <v>Raslo Winners</v>
      </c>
      <c r="X102" s="13" t="str">
        <f ca="1">IF(AND(PreliminaryRound!$I50&lt;&gt;"",PreliminaryRound!$K50&lt;&gt;"",PreliminaryRound!$F50&lt;&gt;PreliminaryRound!$H50,$V102&lt;&gt;"",$W102&lt;&gt;""),PreliminaryRound!$I50,"")</f>
        <v/>
      </c>
      <c r="Y102" s="36" t="str">
        <f ca="1">IF(AND(PreliminaryRound!$I50&lt;&gt;"",PreliminaryRound!$K50&lt;&gt;"",PreliminaryRound!$F50&lt;&gt;PreliminaryRound!$H50,$V102&lt;&gt;"",$W102&lt;&gt;""),PreliminaryRound!$K50,"")</f>
        <v/>
      </c>
      <c r="Z102" s="35" t="str">
        <f t="shared" ca="1" si="69"/>
        <v>Knock Out RangersRaslo Winners</v>
      </c>
      <c r="AA102" s="13">
        <f t="shared" ca="1" si="70"/>
        <v>0</v>
      </c>
      <c r="AB102" s="13" t="str">
        <f ca="1">IF(AA102&gt;0,X102&amp;Language!$E$80&amp;Y102,"")</f>
        <v/>
      </c>
      <c r="AD102" s="144"/>
      <c r="AE102" s="149" t="str">
        <f ca="1">IF($AA102=0,"",IF($X102&gt;$Y102,Settings!$C$4,IF($X102=$Y102,1,0)))</f>
        <v/>
      </c>
      <c r="AF102" s="144" t="str">
        <f ca="1">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 ca="1">Planning!$L45</f>
        <v>Borussia Heine</v>
      </c>
      <c r="W103" s="13" t="str">
        <f ca="1">Planning!$N45</f>
        <v>VFL Ronsdorf</v>
      </c>
      <c r="X103" s="13" t="str">
        <f ca="1">IF(AND(PreliminaryRound!$I51&lt;&gt;"",PreliminaryRound!$K51&lt;&gt;"",PreliminaryRound!$F51&lt;&gt;PreliminaryRound!$H51,$V103&lt;&gt;"",$W103&lt;&gt;""),PreliminaryRound!$I51,"")</f>
        <v/>
      </c>
      <c r="Y103" s="36" t="str">
        <f ca="1">IF(AND(PreliminaryRound!$I51&lt;&gt;"",PreliminaryRound!$K51&lt;&gt;"",PreliminaryRound!$F51&lt;&gt;PreliminaryRound!$H51,$V103&lt;&gt;"",$W103&lt;&gt;""),PreliminaryRound!$K51,"")</f>
        <v/>
      </c>
      <c r="Z103" s="35" t="str">
        <f t="shared" ca="1" si="69"/>
        <v>Borussia HeineVFL Ronsdorf</v>
      </c>
      <c r="AA103" s="13">
        <f t="shared" ca="1" si="70"/>
        <v>0</v>
      </c>
      <c r="AB103" s="13" t="str">
        <f ca="1">IF(AA103&gt;0,X103&amp;Language!$E$80&amp;Y103,"")</f>
        <v/>
      </c>
      <c r="AD103" s="144"/>
      <c r="AE103" s="149" t="str">
        <f ca="1">IF($AA103=0,"",IF($X103&gt;$Y103,Settings!$C$4,IF($X103=$Y103,1,0)))</f>
        <v/>
      </c>
      <c r="AF103" s="144" t="str">
        <f ca="1">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 ca="1">Planning!$L46</f>
        <v>Eintracht Frankfurt</v>
      </c>
      <c r="W104" s="13" t="str">
        <f ca="1">Planning!$N46</f>
        <v>1. FC Riedwald</v>
      </c>
      <c r="X104" s="13" t="str">
        <f ca="1">IF(AND(PreliminaryRound!$I52&lt;&gt;"",PreliminaryRound!$K52&lt;&gt;"",PreliminaryRound!$F52&lt;&gt;PreliminaryRound!$H52,$V104&lt;&gt;"",$W104&lt;&gt;""),PreliminaryRound!$I52,"")</f>
        <v/>
      </c>
      <c r="Y104" s="36" t="str">
        <f ca="1">IF(AND(PreliminaryRound!$I52&lt;&gt;"",PreliminaryRound!$K52&lt;&gt;"",PreliminaryRound!$F52&lt;&gt;PreliminaryRound!$H52,$V104&lt;&gt;"",$W104&lt;&gt;""),PreliminaryRound!$K52,"")</f>
        <v/>
      </c>
      <c r="Z104" s="35" t="str">
        <f t="shared" ca="1" si="69"/>
        <v>Eintracht Frankfurt1. FC Riedwald</v>
      </c>
      <c r="AA104" s="13">
        <f t="shared" ca="1" si="70"/>
        <v>0</v>
      </c>
      <c r="AB104" s="13" t="str">
        <f ca="1">IF(AA104&gt;0,X104&amp;Language!$E$80&amp;Y104,"")</f>
        <v/>
      </c>
      <c r="AD104" s="144"/>
      <c r="AE104" s="149" t="str">
        <f ca="1">IF($AA104=0,"",IF($X104&gt;$Y104,Settings!$C$4,IF($X104=$Y104,1,0)))</f>
        <v/>
      </c>
      <c r="AF104" s="144" t="str">
        <f ca="1">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 ca="1">Planning!$L47</f>
        <v>SSV Wildbach</v>
      </c>
      <c r="W105" s="13" t="str">
        <f ca="1">Planning!$N47</f>
        <v>Mainz 05</v>
      </c>
      <c r="X105" s="13" t="str">
        <f ca="1">IF(AND(PreliminaryRound!$I53&lt;&gt;"",PreliminaryRound!$K53&lt;&gt;"",PreliminaryRound!$F53&lt;&gt;PreliminaryRound!$H53,$V105&lt;&gt;"",$W105&lt;&gt;""),PreliminaryRound!$I53,"")</f>
        <v/>
      </c>
      <c r="Y105" s="36" t="str">
        <f ca="1">IF(AND(PreliminaryRound!$I53&lt;&gt;"",PreliminaryRound!$K53&lt;&gt;"",PreliminaryRound!$F53&lt;&gt;PreliminaryRound!$H53,$V105&lt;&gt;"",$W105&lt;&gt;""),PreliminaryRound!$K53,"")</f>
        <v/>
      </c>
      <c r="Z105" s="35" t="str">
        <f t="shared" ca="1" si="69"/>
        <v>SSV WildbachMainz 05</v>
      </c>
      <c r="AA105" s="13">
        <f t="shared" ca="1" si="70"/>
        <v>0</v>
      </c>
      <c r="AB105" s="13" t="str">
        <f ca="1">IF(AA105&gt;0,X105&amp;Language!$E$80&amp;Y105,"")</f>
        <v/>
      </c>
      <c r="AD105" s="144"/>
      <c r="AE105" s="149" t="str">
        <f ca="1">IF($AA105=0,"",IF($X105&gt;$Y105,Settings!$C$4,IF($X105=$Y105,1,0)))</f>
        <v/>
      </c>
      <c r="AF105" s="144" t="str">
        <f ca="1">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 ca="1">Planning!$L48</f>
        <v>FC Barcelona</v>
      </c>
      <c r="W106" s="13" t="str">
        <f ca="1">Planning!$N48</f>
        <v>Maibach 1822 eV</v>
      </c>
      <c r="X106" s="13" t="str">
        <f ca="1">IF(AND(PreliminaryRound!$I54&lt;&gt;"",PreliminaryRound!$K54&lt;&gt;"",PreliminaryRound!$F54&lt;&gt;PreliminaryRound!$H54,$V106&lt;&gt;"",$W106&lt;&gt;""),PreliminaryRound!$I54,"")</f>
        <v/>
      </c>
      <c r="Y106" s="36" t="str">
        <f ca="1">IF(AND(PreliminaryRound!$I54&lt;&gt;"",PreliminaryRound!$K54&lt;&gt;"",PreliminaryRound!$F54&lt;&gt;PreliminaryRound!$H54,$V106&lt;&gt;"",$W106&lt;&gt;""),PreliminaryRound!$K54,"")</f>
        <v/>
      </c>
      <c r="Z106" s="35" t="str">
        <f t="shared" ca="1" si="69"/>
        <v>FC BarcelonaMaibach 1822 eV</v>
      </c>
      <c r="AA106" s="13">
        <f t="shared" ca="1" si="70"/>
        <v>0</v>
      </c>
      <c r="AB106" s="13" t="str">
        <f ca="1">IF(AA106&gt;0,X106&amp;Language!$E$80&amp;Y106,"")</f>
        <v/>
      </c>
      <c r="AD106" s="144"/>
      <c r="AE106" s="149" t="str">
        <f ca="1">IF($AA106=0,"",IF($X106&gt;$Y106,Settings!$C$4,IF($X106=$Y106,1,0)))</f>
        <v/>
      </c>
      <c r="AF106" s="144" t="str">
        <f ca="1">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 ca="1">Planning!$L49</f>
        <v>Inter Mailand</v>
      </c>
      <c r="W107" s="13" t="str">
        <f ca="1">Planning!$N49</f>
        <v>Manchester City</v>
      </c>
      <c r="X107" s="13" t="str">
        <f ca="1">IF(AND(PreliminaryRound!$I55&lt;&gt;"",PreliminaryRound!$K55&lt;&gt;"",PreliminaryRound!$F55&lt;&gt;PreliminaryRound!$H55,$V107&lt;&gt;"",$W107&lt;&gt;""),PreliminaryRound!$I55,"")</f>
        <v/>
      </c>
      <c r="Y107" s="36" t="str">
        <f ca="1">IF(AND(PreliminaryRound!$I55&lt;&gt;"",PreliminaryRound!$K55&lt;&gt;"",PreliminaryRound!$F55&lt;&gt;PreliminaryRound!$H55,$V107&lt;&gt;"",$W107&lt;&gt;""),PreliminaryRound!$K55,"")</f>
        <v/>
      </c>
      <c r="Z107" s="35" t="str">
        <f t="shared" ca="1" si="69"/>
        <v>Inter MailandManchester City</v>
      </c>
      <c r="AA107" s="13">
        <f t="shared" ca="1" si="70"/>
        <v>0</v>
      </c>
      <c r="AB107" s="13" t="str">
        <f ca="1">IF(AA107&gt;0,X107&amp;Language!$E$80&amp;Y107,"")</f>
        <v/>
      </c>
      <c r="AD107" s="144"/>
      <c r="AE107" s="149" t="str">
        <f ca="1">IF($AA107=0,"",IF($X107&gt;$Y107,Settings!$C$4,IF($X107=$Y107,1,0)))</f>
        <v/>
      </c>
      <c r="AF107" s="144" t="str">
        <f ca="1">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 ca="1">Planning!$L50</f>
        <v>VFB Essenheim</v>
      </c>
      <c r="W108" s="13" t="str">
        <f ca="1">Planning!$N50</f>
        <v>Knock Out Rangers</v>
      </c>
      <c r="X108" s="13" t="str">
        <f ca="1">IF(AND(PreliminaryRound!$I56&lt;&gt;"",PreliminaryRound!$K56&lt;&gt;"",PreliminaryRound!$F56&lt;&gt;PreliminaryRound!$H56,$V108&lt;&gt;"",$W108&lt;&gt;""),PreliminaryRound!$I56,"")</f>
        <v/>
      </c>
      <c r="Y108" s="36" t="str">
        <f ca="1">IF(AND(PreliminaryRound!$I56&lt;&gt;"",PreliminaryRound!$K56&lt;&gt;"",PreliminaryRound!$F56&lt;&gt;PreliminaryRound!$H56,$V108&lt;&gt;"",$W108&lt;&gt;""),PreliminaryRound!$K56,"")</f>
        <v/>
      </c>
      <c r="Z108" s="35" t="str">
        <f t="shared" ca="1" si="69"/>
        <v>VFB EssenheimKnock Out Rangers</v>
      </c>
      <c r="AA108" s="13">
        <f t="shared" ca="1" si="70"/>
        <v>0</v>
      </c>
      <c r="AB108" s="13" t="str">
        <f ca="1">IF(AA108&gt;0,X108&amp;Language!$E$80&amp;Y108,"")</f>
        <v/>
      </c>
      <c r="AD108" s="144"/>
      <c r="AE108" s="149" t="str">
        <f ca="1">IF($AA108=0,"",IF($X108&gt;$Y108,Settings!$C$4,IF($X108=$Y108,1,0)))</f>
        <v/>
      </c>
      <c r="AF108" s="144" t="str">
        <f ca="1">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 ca="1">Planning!$L51</f>
        <v>FC Grönlingen</v>
      </c>
      <c r="W109" s="13" t="str">
        <f ca="1">Planning!$N51</f>
        <v>Borussia Heine</v>
      </c>
      <c r="X109" s="13" t="str">
        <f ca="1">IF(AND(PreliminaryRound!$I57&lt;&gt;"",PreliminaryRound!$K57&lt;&gt;"",PreliminaryRound!$F57&lt;&gt;PreliminaryRound!$H57,$V109&lt;&gt;"",$W109&lt;&gt;""),PreliminaryRound!$I57,"")</f>
        <v/>
      </c>
      <c r="Y109" s="36" t="str">
        <f ca="1">IF(AND(PreliminaryRound!$I57&lt;&gt;"",PreliminaryRound!$K57&lt;&gt;"",PreliminaryRound!$F57&lt;&gt;PreliminaryRound!$H57,$V109&lt;&gt;"",$W109&lt;&gt;""),PreliminaryRound!$K57,"")</f>
        <v/>
      </c>
      <c r="Z109" s="35" t="str">
        <f t="shared" ca="1" si="69"/>
        <v>FC GrönlingenBorussia Heine</v>
      </c>
      <c r="AA109" s="13">
        <f t="shared" ca="1" si="70"/>
        <v>0</v>
      </c>
      <c r="AB109" s="13" t="str">
        <f ca="1">IF(AA109&gt;0,X109&amp;Language!$E$80&amp;Y109,"")</f>
        <v/>
      </c>
      <c r="AD109" s="144"/>
      <c r="AE109" s="149" t="str">
        <f ca="1">IF($AA109=0,"",IF($X109&gt;$Y109,Settings!$C$4,IF($X109=$Y109,1,0)))</f>
        <v/>
      </c>
      <c r="AF109" s="144" t="str">
        <f ca="1">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 ca="1">Planning!$L52</f>
        <v>Raslo Winners</v>
      </c>
      <c r="W110" s="13" t="str">
        <f ca="1">Planning!$N52</f>
        <v>Fun Kickers Oes</v>
      </c>
      <c r="X110" s="13" t="str">
        <f ca="1">IF(AND(PreliminaryRound!$I58&lt;&gt;"",PreliminaryRound!$K58&lt;&gt;"",PreliminaryRound!$F58&lt;&gt;PreliminaryRound!$H58,$V110&lt;&gt;"",$W110&lt;&gt;""),PreliminaryRound!$I58,"")</f>
        <v/>
      </c>
      <c r="Y110" s="36" t="str">
        <f ca="1">IF(AND(PreliminaryRound!$I58&lt;&gt;"",PreliminaryRound!$K58&lt;&gt;"",PreliminaryRound!$F58&lt;&gt;PreliminaryRound!$H58,$V110&lt;&gt;"",$W110&lt;&gt;""),PreliminaryRound!$K58,"")</f>
        <v/>
      </c>
      <c r="Z110" s="35" t="str">
        <f t="shared" ca="1" si="69"/>
        <v>Raslo WinnersFun Kickers Oes</v>
      </c>
      <c r="AA110" s="13">
        <f t="shared" ca="1" si="70"/>
        <v>0</v>
      </c>
      <c r="AB110" s="13" t="str">
        <f ca="1">IF(AA110&gt;0,X110&amp;Language!$E$80&amp;Y110,"")</f>
        <v/>
      </c>
      <c r="AD110" s="144"/>
      <c r="AE110" s="149" t="str">
        <f ca="1">IF($AA110=0,"",IF($X110&gt;$Y110,Settings!$C$4,IF($X110=$Y110,1,0)))</f>
        <v/>
      </c>
      <c r="AF110" s="144" t="str">
        <f ca="1">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 ca="1">Planning!$L53</f>
        <v>VFL Ronsdorf</v>
      </c>
      <c r="W111" s="13" t="str">
        <f ca="1">Planning!$N53</f>
        <v>AC Roma</v>
      </c>
      <c r="X111" s="13" t="str">
        <f ca="1">IF(AND(PreliminaryRound!$I59&lt;&gt;"",PreliminaryRound!$K59&lt;&gt;"",PreliminaryRound!$F59&lt;&gt;PreliminaryRound!$H59,$V111&lt;&gt;"",$W111&lt;&gt;""),PreliminaryRound!$I59,"")</f>
        <v/>
      </c>
      <c r="Y111" s="36" t="str">
        <f ca="1">IF(AND(PreliminaryRound!$I59&lt;&gt;"",PreliminaryRound!$K59&lt;&gt;"",PreliminaryRound!$F59&lt;&gt;PreliminaryRound!$H59,$V111&lt;&gt;"",$W111&lt;&gt;""),PreliminaryRound!$K59,"")</f>
        <v/>
      </c>
      <c r="Z111" s="35" t="str">
        <f t="shared" ca="1" si="69"/>
        <v>VFL RonsdorfAC Roma</v>
      </c>
      <c r="AA111" s="13">
        <f t="shared" ca="1" si="70"/>
        <v>0</v>
      </c>
      <c r="AB111" s="13" t="str">
        <f ca="1">IF(AA111&gt;0,X111&amp;Language!$E$80&amp;Y111,"")</f>
        <v/>
      </c>
      <c r="AD111" s="144"/>
      <c r="AE111" s="149" t="str">
        <f ca="1">IF($AA111=0,"",IF($X111&gt;$Y111,Settings!$C$4,IF($X111=$Y111,1,0)))</f>
        <v/>
      </c>
      <c r="AF111" s="144" t="str">
        <f ca="1">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 ca="1">Planning!$L54</f>
        <v>1. FC Riedwald</v>
      </c>
      <c r="W112" s="13" t="str">
        <f ca="1">Planning!$N54</f>
        <v>FC Barcelona</v>
      </c>
      <c r="X112" s="13" t="str">
        <f ca="1">IF(AND(PreliminaryRound!$I60&lt;&gt;"",PreliminaryRound!$K60&lt;&gt;"",PreliminaryRound!$F60&lt;&gt;PreliminaryRound!$H60,$V112&lt;&gt;"",$W112&lt;&gt;""),PreliminaryRound!$I60,"")</f>
        <v/>
      </c>
      <c r="Y112" s="36" t="str">
        <f ca="1">IF(AND(PreliminaryRound!$I60&lt;&gt;"",PreliminaryRound!$K60&lt;&gt;"",PreliminaryRound!$F60&lt;&gt;PreliminaryRound!$H60,$V112&lt;&gt;"",$W112&lt;&gt;""),PreliminaryRound!$K60,"")</f>
        <v/>
      </c>
      <c r="Z112" s="35" t="str">
        <f t="shared" ca="1" si="69"/>
        <v>1. FC RiedwaldFC Barcelona</v>
      </c>
      <c r="AA112" s="13">
        <f t="shared" ca="1" si="70"/>
        <v>0</v>
      </c>
      <c r="AB112" s="13" t="str">
        <f ca="1">IF(AA112&gt;0,X112&amp;Language!$E$80&amp;Y112,"")</f>
        <v/>
      </c>
      <c r="AD112" s="144"/>
      <c r="AE112" s="149" t="str">
        <f ca="1">IF($AA112=0,"",IF($X112&gt;$Y112,Settings!$C$4,IF($X112=$Y112,1,0)))</f>
        <v/>
      </c>
      <c r="AF112" s="144" t="str">
        <f ca="1">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 ca="1">Planning!$L55</f>
        <v>Mainz 05</v>
      </c>
      <c r="W113" s="13" t="str">
        <f ca="1">Planning!$N55</f>
        <v>Inter Mailand</v>
      </c>
      <c r="X113" s="13" t="str">
        <f ca="1">IF(AND(PreliminaryRound!$I61&lt;&gt;"",PreliminaryRound!$K61&lt;&gt;"",PreliminaryRound!$F61&lt;&gt;PreliminaryRound!$H61,$V113&lt;&gt;"",$W113&lt;&gt;""),PreliminaryRound!$I61,"")</f>
        <v/>
      </c>
      <c r="Y113" s="36" t="str">
        <f ca="1">IF(AND(PreliminaryRound!$I61&lt;&gt;"",PreliminaryRound!$K61&lt;&gt;"",PreliminaryRound!$F61&lt;&gt;PreliminaryRound!$H61,$V113&lt;&gt;"",$W113&lt;&gt;""),PreliminaryRound!$K61,"")</f>
        <v/>
      </c>
      <c r="Z113" s="35" t="str">
        <f t="shared" ca="1" si="69"/>
        <v>Mainz 05Inter Mailand</v>
      </c>
      <c r="AA113" s="13">
        <f t="shared" ca="1" si="70"/>
        <v>0</v>
      </c>
      <c r="AB113" s="13" t="str">
        <f ca="1">IF(AA113&gt;0,X113&amp;Language!$E$80&amp;Y113,"")</f>
        <v/>
      </c>
      <c r="AD113" s="144"/>
      <c r="AE113" s="149" t="str">
        <f ca="1">IF($AA113=0,"",IF($X113&gt;$Y113,Settings!$C$4,IF($X113=$Y113,1,0)))</f>
        <v/>
      </c>
      <c r="AF113" s="144" t="str">
        <f ca="1">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 ca="1">Planning!$L56</f>
        <v>Knock Out Rangers</v>
      </c>
      <c r="W114" s="13" t="str">
        <f ca="1">Planning!$N56</f>
        <v>Eintracht Frankfurt</v>
      </c>
      <c r="X114" s="13" t="str">
        <f ca="1">IF(AND(PreliminaryRound!$I62&lt;&gt;"",PreliminaryRound!$K62&lt;&gt;"",PreliminaryRound!$F62&lt;&gt;PreliminaryRound!$H62,$V114&lt;&gt;"",$W114&lt;&gt;""),PreliminaryRound!$I62,"")</f>
        <v/>
      </c>
      <c r="Y114" s="36" t="str">
        <f ca="1">IF(AND(PreliminaryRound!$I62&lt;&gt;"",PreliminaryRound!$K62&lt;&gt;"",PreliminaryRound!$F62&lt;&gt;PreliminaryRound!$H62,$V114&lt;&gt;"",$W114&lt;&gt;""),PreliminaryRound!$K62,"")</f>
        <v/>
      </c>
      <c r="Z114" s="35" t="str">
        <f t="shared" ca="1" si="69"/>
        <v>Knock Out RangersEintracht Frankfurt</v>
      </c>
      <c r="AA114" s="13">
        <f t="shared" ca="1" si="70"/>
        <v>0</v>
      </c>
      <c r="AB114" s="13" t="str">
        <f ca="1">IF(AA114&gt;0,X114&amp;Language!$E$80&amp;Y114,"")</f>
        <v/>
      </c>
      <c r="AD114" s="144"/>
      <c r="AE114" s="149" t="str">
        <f ca="1">IF($AA114=0,"",IF($X114&gt;$Y114,Settings!$C$4,IF($X114=$Y114,1,0)))</f>
        <v/>
      </c>
      <c r="AF114" s="144" t="str">
        <f ca="1">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 ca="1">Planning!$L57</f>
        <v>Borussia Heine</v>
      </c>
      <c r="W115" s="13" t="str">
        <f ca="1">Planning!$N57</f>
        <v>SSV Wildbach</v>
      </c>
      <c r="X115" s="13" t="str">
        <f ca="1">IF(AND(PreliminaryRound!$I63&lt;&gt;"",PreliminaryRound!$K63&lt;&gt;"",PreliminaryRound!$F63&lt;&gt;PreliminaryRound!$H63,$V115&lt;&gt;"",$W115&lt;&gt;""),PreliminaryRound!$I63,"")</f>
        <v/>
      </c>
      <c r="Y115" s="36" t="str">
        <f ca="1">IF(AND(PreliminaryRound!$I63&lt;&gt;"",PreliminaryRound!$K63&lt;&gt;"",PreliminaryRound!$F63&lt;&gt;PreliminaryRound!$H63,$V115&lt;&gt;"",$W115&lt;&gt;""),PreliminaryRound!$K63,"")</f>
        <v/>
      </c>
      <c r="Z115" s="35" t="str">
        <f t="shared" ca="1" si="69"/>
        <v>Borussia HeineSSV Wildbach</v>
      </c>
      <c r="AA115" s="13">
        <f t="shared" ca="1" si="70"/>
        <v>0</v>
      </c>
      <c r="AB115" s="13" t="str">
        <f ca="1">IF(AA115&gt;0,X115&amp;Language!$E$80&amp;Y115,"")</f>
        <v/>
      </c>
      <c r="AD115" s="144"/>
      <c r="AE115" s="149" t="str">
        <f ca="1">IF($AA115=0,"",IF($X115&gt;$Y115,Settings!$C$4,IF($X115=$Y115,1,0)))</f>
        <v/>
      </c>
      <c r="AF115" s="144" t="str">
        <f ca="1">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 ca="1">Planning!$L58</f>
        <v>Maibach 1822 eV</v>
      </c>
      <c r="W116" s="13" t="str">
        <f ca="1">Planning!$N58</f>
        <v>Raslo Winners</v>
      </c>
      <c r="X116" s="13" t="str">
        <f ca="1">IF(AND(PreliminaryRound!$I64&lt;&gt;"",PreliminaryRound!$K64&lt;&gt;"",PreliminaryRound!$F64&lt;&gt;PreliminaryRound!$H64,$V116&lt;&gt;"",$W116&lt;&gt;""),PreliminaryRound!$I64,"")</f>
        <v/>
      </c>
      <c r="Y116" s="36" t="str">
        <f ca="1">IF(AND(PreliminaryRound!$I64&lt;&gt;"",PreliminaryRound!$K64&lt;&gt;"",PreliminaryRound!$F64&lt;&gt;PreliminaryRound!$H64,$V116&lt;&gt;"",$W116&lt;&gt;""),PreliminaryRound!$K64,"")</f>
        <v/>
      </c>
      <c r="Z116" s="35" t="str">
        <f t="shared" ca="1" si="69"/>
        <v>Maibach 1822 eVRaslo Winners</v>
      </c>
      <c r="AA116" s="13">
        <f t="shared" ca="1" si="70"/>
        <v>0</v>
      </c>
      <c r="AB116" s="13" t="str">
        <f ca="1">IF(AA116&gt;0,X116&amp;Language!$E$80&amp;Y116,"")</f>
        <v/>
      </c>
      <c r="AD116" s="144"/>
      <c r="AE116" s="149" t="str">
        <f ca="1">IF($AA116=0,"",IF($X116&gt;$Y116,Settings!$C$4,IF($X116=$Y116,1,0)))</f>
        <v/>
      </c>
      <c r="AF116" s="144" t="str">
        <f ca="1">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 ca="1">Planning!$L59</f>
        <v>Manchester City</v>
      </c>
      <c r="W117" s="13" t="str">
        <f ca="1">Planning!$N59</f>
        <v>VFL Ronsdorf</v>
      </c>
      <c r="X117" s="13" t="str">
        <f ca="1">IF(AND(PreliminaryRound!$I65&lt;&gt;"",PreliminaryRound!$K65&lt;&gt;"",PreliminaryRound!$F65&lt;&gt;PreliminaryRound!$H65,$V117&lt;&gt;"",$W117&lt;&gt;""),PreliminaryRound!$I65,"")</f>
        <v/>
      </c>
      <c r="Y117" s="36" t="str">
        <f ca="1">IF(AND(PreliminaryRound!$I65&lt;&gt;"",PreliminaryRound!$K65&lt;&gt;"",PreliminaryRound!$F65&lt;&gt;PreliminaryRound!$H65,$V117&lt;&gt;"",$W117&lt;&gt;""),PreliminaryRound!$K65,"")</f>
        <v/>
      </c>
      <c r="Z117" s="35" t="str">
        <f t="shared" ca="1" si="69"/>
        <v>Manchester CityVFL Ronsdorf</v>
      </c>
      <c r="AA117" s="13">
        <f t="shared" ca="1" si="70"/>
        <v>0</v>
      </c>
      <c r="AB117" s="13" t="str">
        <f ca="1">IF(AA117&gt;0,X117&amp;Language!$E$80&amp;Y117,"")</f>
        <v/>
      </c>
      <c r="AD117" s="144"/>
      <c r="AE117" s="149" t="str">
        <f ca="1">IF($AA117=0,"",IF($X117&gt;$Y117,Settings!$C$4,IF($X117=$Y117,1,0)))</f>
        <v/>
      </c>
      <c r="AF117" s="144" t="str">
        <f ca="1">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 ca="1">Planning!$L60</f>
        <v>Fun Kickers Oes</v>
      </c>
      <c r="W118" s="13" t="str">
        <f ca="1">Planning!$N60</f>
        <v>VFB Essenheim</v>
      </c>
      <c r="X118" s="13" t="str">
        <f ca="1">IF(AND(PreliminaryRound!$I66&lt;&gt;"",PreliminaryRound!$K66&lt;&gt;"",PreliminaryRound!$F66&lt;&gt;PreliminaryRound!$H66,$V118&lt;&gt;"",$W118&lt;&gt;""),PreliminaryRound!$I66,"")</f>
        <v/>
      </c>
      <c r="Y118" s="36" t="str">
        <f ca="1">IF(AND(PreliminaryRound!$I66&lt;&gt;"",PreliminaryRound!$K66&lt;&gt;"",PreliminaryRound!$F66&lt;&gt;PreliminaryRound!$H66,$V118&lt;&gt;"",$W118&lt;&gt;""),PreliminaryRound!$K66,"")</f>
        <v/>
      </c>
      <c r="Z118" s="35" t="str">
        <f t="shared" ca="1" si="69"/>
        <v>Fun Kickers OesVFB Essenheim</v>
      </c>
      <c r="AA118" s="13">
        <f t="shared" ca="1" si="70"/>
        <v>0</v>
      </c>
      <c r="AB118" s="13" t="str">
        <f ca="1">IF(AA118&gt;0,X118&amp;Language!$E$80&amp;Y118,"")</f>
        <v/>
      </c>
      <c r="AD118" s="144"/>
      <c r="AE118" s="149" t="str">
        <f ca="1">IF($AA118=0,"",IF($X118&gt;$Y118,Settings!$C$4,IF($X118=$Y118,1,0)))</f>
        <v/>
      </c>
      <c r="AF118" s="144" t="str">
        <f ca="1">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 ca="1">Planning!$L61</f>
        <v>AC Roma</v>
      </c>
      <c r="W119" s="13" t="str">
        <f ca="1">Planning!$N61</f>
        <v>FC Grönlingen</v>
      </c>
      <c r="X119" s="13" t="str">
        <f ca="1">IF(AND(PreliminaryRound!$I67&lt;&gt;"",PreliminaryRound!$K67&lt;&gt;"",PreliminaryRound!$F67&lt;&gt;PreliminaryRound!$H67,$V119&lt;&gt;"",$W119&lt;&gt;""),PreliminaryRound!$I67,"")</f>
        <v/>
      </c>
      <c r="Y119" s="36" t="str">
        <f ca="1">IF(AND(PreliminaryRound!$I67&lt;&gt;"",PreliminaryRound!$K67&lt;&gt;"",PreliminaryRound!$F67&lt;&gt;PreliminaryRound!$H67,$V119&lt;&gt;"",$W119&lt;&gt;""),PreliminaryRound!$K67,"")</f>
        <v/>
      </c>
      <c r="Z119" s="35" t="str">
        <f t="shared" ca="1" si="69"/>
        <v>AC RomaFC Grönlingen</v>
      </c>
      <c r="AA119" s="13">
        <f t="shared" ca="1" si="70"/>
        <v>0</v>
      </c>
      <c r="AB119" s="13" t="str">
        <f ca="1">IF(AA119&gt;0,X119&amp;Language!$E$80&amp;Y119,"")</f>
        <v/>
      </c>
      <c r="AD119" s="144"/>
      <c r="AE119" s="149" t="str">
        <f ca="1">IF($AA119=0,"",IF($X119&gt;$Y119,Settings!$C$4,IF($X119=$Y119,1,0)))</f>
        <v/>
      </c>
      <c r="AF119" s="144" t="str">
        <f ca="1">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 ca="1">Planning!$L62</f>
        <v/>
      </c>
      <c r="W120" s="13" t="str">
        <f ca="1">Planning!$N62</f>
        <v/>
      </c>
      <c r="X120" s="13" t="str">
        <f ca="1">IF(AND(PreliminaryRound!$I68&lt;&gt;"",PreliminaryRound!$K68&lt;&gt;"",PreliminaryRound!$F68&lt;&gt;PreliminaryRound!$H68,$V120&lt;&gt;"",$W120&lt;&gt;""),PreliminaryRound!$I68,"")</f>
        <v/>
      </c>
      <c r="Y120" s="36" t="str">
        <f ca="1">IF(AND(PreliminaryRound!$I68&lt;&gt;"",PreliminaryRound!$K68&lt;&gt;"",PreliminaryRound!$F68&lt;&gt;PreliminaryRound!$H68,$V120&lt;&gt;"",$W120&lt;&gt;""),PreliminaryRound!$K68,"")</f>
        <v/>
      </c>
      <c r="Z120" s="35" t="str">
        <f t="shared" ca="1" si="69"/>
        <v/>
      </c>
      <c r="AA120" s="13">
        <f t="shared" ca="1" si="70"/>
        <v>0</v>
      </c>
      <c r="AB120" s="13" t="str">
        <f ca="1">IF(AA120&gt;0,X120&amp;Language!$E$80&amp;Y120,"")</f>
        <v/>
      </c>
      <c r="AD120" s="144"/>
      <c r="AE120" s="149" t="str">
        <f ca="1">IF($AA120=0,"",IF($X120&gt;$Y120,Settings!$C$4,IF($X120=$Y120,1,0)))</f>
        <v/>
      </c>
      <c r="AF120" s="144" t="str">
        <f ca="1">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 ca="1">Planning!$L63</f>
        <v/>
      </c>
      <c r="W121" s="13" t="str">
        <f ca="1">Planning!$N63</f>
        <v/>
      </c>
      <c r="X121" s="13" t="str">
        <f ca="1">IF(AND(PreliminaryRound!$I69&lt;&gt;"",PreliminaryRound!$K69&lt;&gt;"",PreliminaryRound!$F69&lt;&gt;PreliminaryRound!$H69,$V121&lt;&gt;"",$W121&lt;&gt;""),PreliminaryRound!$I69,"")</f>
        <v/>
      </c>
      <c r="Y121" s="36" t="str">
        <f ca="1">IF(AND(PreliminaryRound!$I69&lt;&gt;"",PreliminaryRound!$K69&lt;&gt;"",PreliminaryRound!$F69&lt;&gt;PreliminaryRound!$H69,$V121&lt;&gt;"",$W121&lt;&gt;""),PreliminaryRound!$K69,"")</f>
        <v/>
      </c>
      <c r="Z121" s="35" t="str">
        <f t="shared" ca="1" si="69"/>
        <v/>
      </c>
      <c r="AA121" s="13">
        <f t="shared" ca="1" si="70"/>
        <v>0</v>
      </c>
      <c r="AB121" s="13" t="str">
        <f ca="1">IF(AA121&gt;0,X121&amp;Language!$E$80&amp;Y121,"")</f>
        <v/>
      </c>
      <c r="AD121" s="144"/>
      <c r="AE121" s="149" t="str">
        <f ca="1">IF($AA121=0,"",IF($X121&gt;$Y121,Settings!$C$4,IF($X121=$Y121,1,0)))</f>
        <v/>
      </c>
      <c r="AF121" s="144" t="str">
        <f ca="1">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 ca="1">Planning!$L64</f>
        <v/>
      </c>
      <c r="W122" s="13" t="str">
        <f ca="1">Planning!$N64</f>
        <v/>
      </c>
      <c r="X122" s="13" t="str">
        <f ca="1">IF(AND(PreliminaryRound!$I70&lt;&gt;"",PreliminaryRound!$K70&lt;&gt;"",PreliminaryRound!$F70&lt;&gt;PreliminaryRound!$H70,$V122&lt;&gt;"",$W122&lt;&gt;""),PreliminaryRound!$I70,"")</f>
        <v/>
      </c>
      <c r="Y122" s="36" t="str">
        <f ca="1">IF(AND(PreliminaryRound!$I70&lt;&gt;"",PreliminaryRound!$K70&lt;&gt;"",PreliminaryRound!$F70&lt;&gt;PreliminaryRound!$H70,$V122&lt;&gt;"",$W122&lt;&gt;""),PreliminaryRound!$K70,"")</f>
        <v/>
      </c>
      <c r="Z122" s="35" t="str">
        <f t="shared" ca="1" si="69"/>
        <v/>
      </c>
      <c r="AA122" s="13">
        <f t="shared" ca="1" si="70"/>
        <v>0</v>
      </c>
      <c r="AB122" s="13" t="str">
        <f ca="1">IF(AA122&gt;0,X122&amp;Language!$E$80&amp;Y122,"")</f>
        <v/>
      </c>
      <c r="AD122" s="144"/>
      <c r="AE122" s="149" t="str">
        <f ca="1">IF($AA122=0,"",IF($X122&gt;$Y122,Settings!$C$4,IF($X122=$Y122,1,0)))</f>
        <v/>
      </c>
      <c r="AF122" s="144" t="str">
        <f ca="1">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 ca="1">Planning!$L65</f>
        <v/>
      </c>
      <c r="W123" s="13" t="str">
        <f ca="1">Planning!$N65</f>
        <v/>
      </c>
      <c r="X123" s="13" t="str">
        <f ca="1">IF(AND(PreliminaryRound!$I71&lt;&gt;"",PreliminaryRound!$K71&lt;&gt;"",PreliminaryRound!$F71&lt;&gt;PreliminaryRound!$H71,$V123&lt;&gt;"",$W123&lt;&gt;""),PreliminaryRound!$I71,"")</f>
        <v/>
      </c>
      <c r="Y123" s="36" t="str">
        <f ca="1">IF(AND(PreliminaryRound!$I71&lt;&gt;"",PreliminaryRound!$K71&lt;&gt;"",PreliminaryRound!$F71&lt;&gt;PreliminaryRound!$H71,$V123&lt;&gt;"",$W123&lt;&gt;""),PreliminaryRound!$K71,"")</f>
        <v/>
      </c>
      <c r="Z123" s="35" t="str">
        <f t="shared" ca="1" si="69"/>
        <v/>
      </c>
      <c r="AA123" s="13">
        <f t="shared" ca="1" si="70"/>
        <v>0</v>
      </c>
      <c r="AB123" s="13" t="str">
        <f ca="1">IF(AA123&gt;0,X123&amp;Language!$E$80&amp;Y123,"")</f>
        <v/>
      </c>
      <c r="AD123" s="144"/>
      <c r="AE123" s="149" t="str">
        <f ca="1">IF($AA123=0,"",IF($X123&gt;$Y123,Settings!$C$4,IF($X123=$Y123,1,0)))</f>
        <v/>
      </c>
      <c r="AF123" s="144" t="str">
        <f ca="1">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 ca="1">Planning!$L66</f>
        <v/>
      </c>
      <c r="W124" s="13" t="str">
        <f ca="1">Planning!$N66</f>
        <v/>
      </c>
      <c r="X124" s="13" t="str">
        <f ca="1">IF(AND(PreliminaryRound!$I72&lt;&gt;"",PreliminaryRound!$K72&lt;&gt;"",PreliminaryRound!$F72&lt;&gt;PreliminaryRound!$H72,$V124&lt;&gt;"",$W124&lt;&gt;""),PreliminaryRound!$I72,"")</f>
        <v/>
      </c>
      <c r="Y124" s="36" t="str">
        <f ca="1">IF(AND(PreliminaryRound!$I72&lt;&gt;"",PreliminaryRound!$K72&lt;&gt;"",PreliminaryRound!$F72&lt;&gt;PreliminaryRound!$H72,$V124&lt;&gt;"",$W124&lt;&gt;""),PreliminaryRound!$K72,"")</f>
        <v/>
      </c>
      <c r="Z124" s="35" t="str">
        <f t="shared" ca="1" si="69"/>
        <v/>
      </c>
      <c r="AA124" s="13">
        <f t="shared" ca="1" si="70"/>
        <v>0</v>
      </c>
      <c r="AB124" s="13" t="str">
        <f ca="1">IF(AA124&gt;0,X124&amp;Language!$E$80&amp;Y124,"")</f>
        <v/>
      </c>
      <c r="AD124" s="144"/>
      <c r="AE124" s="149" t="str">
        <f ca="1">IF($AA124=0,"",IF($X124&gt;$Y124,Settings!$C$4,IF($X124=$Y124,1,0)))</f>
        <v/>
      </c>
      <c r="AF124" s="144" t="str">
        <f ca="1">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 ca="1">Planning!$L67</f>
        <v/>
      </c>
      <c r="W125" s="13" t="str">
        <f ca="1">Planning!$N67</f>
        <v/>
      </c>
      <c r="X125" s="13" t="str">
        <f ca="1">IF(AND(PreliminaryRound!$I73&lt;&gt;"",PreliminaryRound!$K73&lt;&gt;"",PreliminaryRound!$F73&lt;&gt;PreliminaryRound!$H73,$V125&lt;&gt;"",$W125&lt;&gt;""),PreliminaryRound!$I73,"")</f>
        <v/>
      </c>
      <c r="Y125" s="36" t="str">
        <f ca="1">IF(AND(PreliminaryRound!$I73&lt;&gt;"",PreliminaryRound!$K73&lt;&gt;"",PreliminaryRound!$F73&lt;&gt;PreliminaryRound!$H73,$V125&lt;&gt;"",$W125&lt;&gt;""),PreliminaryRound!$K73,"")</f>
        <v/>
      </c>
      <c r="Z125" s="35" t="str">
        <f t="shared" ca="1" si="69"/>
        <v/>
      </c>
      <c r="AA125" s="13">
        <f t="shared" ca="1" si="70"/>
        <v>0</v>
      </c>
      <c r="AB125" s="13" t="str">
        <f ca="1">IF(AA125&gt;0,X125&amp;Language!$E$80&amp;Y125,"")</f>
        <v/>
      </c>
      <c r="AD125" s="144"/>
      <c r="AE125" s="149" t="str">
        <f ca="1">IF($AA125=0,"",IF($X125&gt;$Y125,Settings!$C$4,IF($X125=$Y125,1,0)))</f>
        <v/>
      </c>
      <c r="AF125" s="144" t="str">
        <f ca="1">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 ca="1">Planning!$L68</f>
        <v/>
      </c>
      <c r="W126" s="13" t="str">
        <f ca="1">Planning!$N68</f>
        <v/>
      </c>
      <c r="X126" s="13" t="str">
        <f ca="1">IF(AND(PreliminaryRound!$I74&lt;&gt;"",PreliminaryRound!$K74&lt;&gt;"",PreliminaryRound!$F74&lt;&gt;PreliminaryRound!$H74,$V126&lt;&gt;"",$W126&lt;&gt;""),PreliminaryRound!$I74,"")</f>
        <v/>
      </c>
      <c r="Y126" s="36" t="str">
        <f ca="1">IF(AND(PreliminaryRound!$I74&lt;&gt;"",PreliminaryRound!$K74&lt;&gt;"",PreliminaryRound!$F74&lt;&gt;PreliminaryRound!$H74,$V126&lt;&gt;"",$W126&lt;&gt;""),PreliminaryRound!$K74,"")</f>
        <v/>
      </c>
      <c r="Z126" s="35" t="str">
        <f t="shared" ca="1" si="69"/>
        <v/>
      </c>
      <c r="AA126" s="13">
        <f t="shared" ca="1" si="70"/>
        <v>0</v>
      </c>
      <c r="AB126" s="13" t="str">
        <f ca="1">IF(AA126&gt;0,X126&amp;Language!$E$80&amp;Y126,"")</f>
        <v/>
      </c>
      <c r="AD126" s="144"/>
      <c r="AE126" s="149" t="str">
        <f ca="1">IF($AA126=0,"",IF($X126&gt;$Y126,Settings!$C$4,IF($X126=$Y126,1,0)))</f>
        <v/>
      </c>
      <c r="AF126" s="144" t="str">
        <f ca="1">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 ca="1">Planning!$L69</f>
        <v/>
      </c>
      <c r="W127" s="13" t="str">
        <f ca="1">Planning!$N69</f>
        <v/>
      </c>
      <c r="X127" s="13" t="str">
        <f ca="1">IF(AND(PreliminaryRound!$I75&lt;&gt;"",PreliminaryRound!$K75&lt;&gt;"",PreliminaryRound!$F75&lt;&gt;PreliminaryRound!$H75,$V127&lt;&gt;"",$W127&lt;&gt;""),PreliminaryRound!$I75,"")</f>
        <v/>
      </c>
      <c r="Y127" s="36" t="str">
        <f ca="1">IF(AND(PreliminaryRound!$I75&lt;&gt;"",PreliminaryRound!$K75&lt;&gt;"",PreliminaryRound!$F75&lt;&gt;PreliminaryRound!$H75,$V127&lt;&gt;"",$W127&lt;&gt;""),PreliminaryRound!$K75,"")</f>
        <v/>
      </c>
      <c r="Z127" s="35" t="str">
        <f t="shared" ca="1" si="69"/>
        <v/>
      </c>
      <c r="AA127" s="13">
        <f t="shared" ca="1" si="70"/>
        <v>0</v>
      </c>
      <c r="AB127" s="13" t="str">
        <f ca="1">IF(AA127&gt;0,X127&amp;Language!$E$80&amp;Y127,"")</f>
        <v/>
      </c>
      <c r="AD127" s="144"/>
      <c r="AE127" s="149" t="str">
        <f ca="1">IF($AA127=0,"",IF($X127&gt;$Y127,Settings!$C$4,IF($X127=$Y127,1,0)))</f>
        <v/>
      </c>
      <c r="AF127" s="144" t="str">
        <f ca="1">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 ca="1">Planning!$L70</f>
        <v/>
      </c>
      <c r="W128" s="13" t="str">
        <f ca="1">Planning!$N70</f>
        <v/>
      </c>
      <c r="X128" s="13" t="str">
        <f ca="1">IF(AND(PreliminaryRound!$I76&lt;&gt;"",PreliminaryRound!$K76&lt;&gt;"",PreliminaryRound!$F76&lt;&gt;PreliminaryRound!$H76,$V128&lt;&gt;"",$W128&lt;&gt;""),PreliminaryRound!$I76,"")</f>
        <v/>
      </c>
      <c r="Y128" s="36" t="str">
        <f ca="1">IF(AND(PreliminaryRound!$I76&lt;&gt;"",PreliminaryRound!$K76&lt;&gt;"",PreliminaryRound!$F76&lt;&gt;PreliminaryRound!$H76,$V128&lt;&gt;"",$W128&lt;&gt;""),PreliminaryRound!$K76,"")</f>
        <v/>
      </c>
      <c r="Z128" s="35" t="str">
        <f t="shared" ca="1" si="69"/>
        <v/>
      </c>
      <c r="AA128" s="13">
        <f t="shared" ca="1" si="70"/>
        <v>0</v>
      </c>
      <c r="AB128" s="13" t="str">
        <f ca="1">IF(AA128&gt;0,X128&amp;Language!$E$80&amp;Y128,"")</f>
        <v/>
      </c>
      <c r="AD128" s="144"/>
      <c r="AE128" s="149" t="str">
        <f ca="1">IF($AA128=0,"",IF($X128&gt;$Y128,Settings!$C$4,IF($X128=$Y128,1,0)))</f>
        <v/>
      </c>
      <c r="AF128" s="144" t="str">
        <f ca="1">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 ca="1">Planning!$L71</f>
        <v/>
      </c>
      <c r="W129" s="13" t="str">
        <f ca="1">Planning!$N71</f>
        <v/>
      </c>
      <c r="X129" s="13" t="str">
        <f ca="1">IF(AND(PreliminaryRound!$I77&lt;&gt;"",PreliminaryRound!$K77&lt;&gt;"",PreliminaryRound!$F77&lt;&gt;PreliminaryRound!$H77,$V129&lt;&gt;"",$W129&lt;&gt;""),PreliminaryRound!$I77,"")</f>
        <v/>
      </c>
      <c r="Y129" s="36" t="str">
        <f ca="1">IF(AND(PreliminaryRound!$I77&lt;&gt;"",PreliminaryRound!$K77&lt;&gt;"",PreliminaryRound!$F77&lt;&gt;PreliminaryRound!$H77,$V129&lt;&gt;"",$W129&lt;&gt;""),PreliminaryRound!$K77,"")</f>
        <v/>
      </c>
      <c r="Z129" s="35" t="str">
        <f t="shared" ca="1" si="69"/>
        <v/>
      </c>
      <c r="AA129" s="13">
        <f t="shared" ca="1" si="70"/>
        <v>0</v>
      </c>
      <c r="AB129" s="13" t="str">
        <f ca="1">IF(AA129&gt;0,X129&amp;Language!$E$80&amp;Y129,"")</f>
        <v/>
      </c>
      <c r="AC129" s="4"/>
      <c r="AD129" s="144"/>
      <c r="AE129" s="149" t="str">
        <f ca="1">IF($AA129=0,"",IF($X129&gt;$Y129,Settings!$C$4,IF($X129=$Y129,1,0)))</f>
        <v/>
      </c>
      <c r="AF129" s="144" t="str">
        <f ca="1">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 ca="1">Planning!$L72</f>
        <v/>
      </c>
      <c r="W130" s="13" t="str">
        <f ca="1">Planning!$N72</f>
        <v/>
      </c>
      <c r="X130" s="13" t="str">
        <f ca="1">IF(AND(PreliminaryRound!$I78&lt;&gt;"",PreliminaryRound!$K78&lt;&gt;"",PreliminaryRound!$F78&lt;&gt;PreliminaryRound!$H78,$V130&lt;&gt;"",$W130&lt;&gt;""),PreliminaryRound!$I78,"")</f>
        <v/>
      </c>
      <c r="Y130" s="36" t="str">
        <f ca="1">IF(AND(PreliminaryRound!$I78&lt;&gt;"",PreliminaryRound!$K78&lt;&gt;"",PreliminaryRound!$F78&lt;&gt;PreliminaryRound!$H78,$V130&lt;&gt;"",$W130&lt;&gt;""),PreliminaryRound!$K78,"")</f>
        <v/>
      </c>
      <c r="Z130" s="35" t="str">
        <f t="shared" ca="1" si="69"/>
        <v/>
      </c>
      <c r="AA130" s="13">
        <f t="shared" ca="1" si="70"/>
        <v>0</v>
      </c>
      <c r="AB130" s="13" t="str">
        <f ca="1">IF(AA130&gt;0,X130&amp;Language!$E$80&amp;Y130,"")</f>
        <v/>
      </c>
      <c r="AC130" s="4"/>
      <c r="AD130" s="144"/>
      <c r="AE130" s="149" t="str">
        <f ca="1">IF($AA130=0,"",IF($X130&gt;$Y130,Settings!$C$4,IF($X130=$Y130,1,0)))</f>
        <v/>
      </c>
      <c r="AF130" s="144" t="str">
        <f ca="1">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 ca="1">Planning!$L73</f>
        <v/>
      </c>
      <c r="W131" s="13" t="str">
        <f ca="1">Planning!$N73</f>
        <v/>
      </c>
      <c r="X131" s="13" t="str">
        <f ca="1">IF(AND(PreliminaryRound!$I79&lt;&gt;"",PreliminaryRound!$K79&lt;&gt;"",PreliminaryRound!$F79&lt;&gt;PreliminaryRound!$H79,$V131&lt;&gt;"",$W131&lt;&gt;""),PreliminaryRound!$I79,"")</f>
        <v/>
      </c>
      <c r="Y131" s="36" t="str">
        <f ca="1">IF(AND(PreliminaryRound!$I79&lt;&gt;"",PreliminaryRound!$K79&lt;&gt;"",PreliminaryRound!$F79&lt;&gt;PreliminaryRound!$H79,$V131&lt;&gt;"",$W131&lt;&gt;""),PreliminaryRound!$K79,"")</f>
        <v/>
      </c>
      <c r="Z131" s="35" t="str">
        <f t="shared" ca="1" si="69"/>
        <v/>
      </c>
      <c r="AA131" s="13">
        <f t="shared" ca="1" si="70"/>
        <v>0</v>
      </c>
      <c r="AB131" s="13" t="str">
        <f ca="1">IF(AA131&gt;0,X131&amp;Language!$E$80&amp;Y131,"")</f>
        <v/>
      </c>
      <c r="AC131" s="4"/>
      <c r="AD131" s="144"/>
      <c r="AE131" s="149" t="str">
        <f ca="1">IF($AA131=0,"",IF($X131&gt;$Y131,Settings!$C$4,IF($X131=$Y131,1,0)))</f>
        <v/>
      </c>
      <c r="AF131" s="144" t="str">
        <f ca="1">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 ca="1">Planning!$L74</f>
        <v/>
      </c>
      <c r="W132" s="13" t="str">
        <f ca="1">Planning!$N74</f>
        <v/>
      </c>
      <c r="X132" s="13" t="str">
        <f ca="1">IF(AND(PreliminaryRound!$I80&lt;&gt;"",PreliminaryRound!$K80&lt;&gt;"",PreliminaryRound!$F80&lt;&gt;PreliminaryRound!$H80,$V132&lt;&gt;"",$W132&lt;&gt;""),PreliminaryRound!$I80,"")</f>
        <v/>
      </c>
      <c r="Y132" s="36" t="str">
        <f ca="1">IF(AND(PreliminaryRound!$I80&lt;&gt;"",PreliminaryRound!$K80&lt;&gt;"",PreliminaryRound!$F80&lt;&gt;PreliminaryRound!$H80,$V132&lt;&gt;"",$W132&lt;&gt;""),PreliminaryRound!$K80,"")</f>
        <v/>
      </c>
      <c r="Z132" s="35" t="str">
        <f t="shared" ca="1" si="69"/>
        <v/>
      </c>
      <c r="AA132" s="13">
        <f t="shared" ca="1" si="70"/>
        <v>0</v>
      </c>
      <c r="AB132" s="13" t="str">
        <f ca="1">IF(AA132&gt;0,X132&amp;Language!$E$80&amp;Y132,"")</f>
        <v/>
      </c>
      <c r="AC132" s="4"/>
      <c r="AD132" s="144"/>
      <c r="AE132" s="149" t="str">
        <f ca="1">IF($AA132=0,"",IF($X132&gt;$Y132,Settings!$C$4,IF($X132=$Y132,1,0)))</f>
        <v/>
      </c>
      <c r="AF132" s="144" t="str">
        <f ca="1">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 ca="1">Planning!$L75</f>
        <v/>
      </c>
      <c r="W133" s="13" t="str">
        <f ca="1">Planning!$N75</f>
        <v/>
      </c>
      <c r="X133" s="13" t="str">
        <f ca="1">IF(AND(PreliminaryRound!$I81&lt;&gt;"",PreliminaryRound!$K81&lt;&gt;"",PreliminaryRound!$F81&lt;&gt;PreliminaryRound!$H81,$V133&lt;&gt;"",$W133&lt;&gt;""),PreliminaryRound!$I81,"")</f>
        <v/>
      </c>
      <c r="Y133" s="36" t="str">
        <f ca="1">IF(AND(PreliminaryRound!$I81&lt;&gt;"",PreliminaryRound!$K81&lt;&gt;"",PreliminaryRound!$F81&lt;&gt;PreliminaryRound!$H81,$V133&lt;&gt;"",$W133&lt;&gt;""),PreliminaryRound!$K81,"")</f>
        <v/>
      </c>
      <c r="Z133" s="35" t="str">
        <f t="shared" ca="1" si="69"/>
        <v/>
      </c>
      <c r="AA133" s="13">
        <f t="shared" ca="1" si="70"/>
        <v>0</v>
      </c>
      <c r="AB133" s="13" t="str">
        <f ca="1">IF(AA133&gt;0,X133&amp;Language!$E$80&amp;Y133,"")</f>
        <v/>
      </c>
      <c r="AC133" s="4"/>
      <c r="AD133" s="144"/>
      <c r="AE133" s="149" t="str">
        <f ca="1">IF($AA133=0,"",IF($X133&gt;$Y133,Settings!$C$4,IF($X133=$Y133,1,0)))</f>
        <v/>
      </c>
      <c r="AF133" s="144" t="str">
        <f ca="1">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 ca="1">Planning!$L76</f>
        <v/>
      </c>
      <c r="W134" s="13" t="str">
        <f ca="1">Planning!$N76</f>
        <v/>
      </c>
      <c r="X134" s="13" t="str">
        <f ca="1">IF(AND(PreliminaryRound!$I82&lt;&gt;"",PreliminaryRound!$K82&lt;&gt;"",PreliminaryRound!$F82&lt;&gt;PreliminaryRound!$H82,$V134&lt;&gt;"",$W134&lt;&gt;""),PreliminaryRound!$I82,"")</f>
        <v/>
      </c>
      <c r="Y134" s="36" t="str">
        <f ca="1">IF(AND(PreliminaryRound!$I82&lt;&gt;"",PreliminaryRound!$K82&lt;&gt;"",PreliminaryRound!$F82&lt;&gt;PreliminaryRound!$H82,$V134&lt;&gt;"",$W134&lt;&gt;""),PreliminaryRound!$K82,"")</f>
        <v/>
      </c>
      <c r="Z134" s="35" t="str">
        <f t="shared" ca="1" si="69"/>
        <v/>
      </c>
      <c r="AA134" s="13">
        <f t="shared" ca="1" si="70"/>
        <v>0</v>
      </c>
      <c r="AB134" s="13" t="str">
        <f ca="1">IF(AA134&gt;0,X134&amp;Language!$E$80&amp;Y134,"")</f>
        <v/>
      </c>
      <c r="AC134" s="4"/>
      <c r="AD134" s="144"/>
      <c r="AE134" s="149" t="str">
        <f ca="1">IF($AA134=0,"",IF($X134&gt;$Y134,Settings!$C$4,IF($X134=$Y134,1,0)))</f>
        <v/>
      </c>
      <c r="AF134" s="144" t="str">
        <f ca="1">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 ca="1">Planning!$L77</f>
        <v/>
      </c>
      <c r="W135" s="38" t="str">
        <f ca="1">Planning!$N77</f>
        <v/>
      </c>
      <c r="X135" s="38" t="str">
        <f ca="1">IF(AND(PreliminaryRound!$I83&lt;&gt;"",PreliminaryRound!$K83&lt;&gt;"",PreliminaryRound!$F83&lt;&gt;PreliminaryRound!$H83,$V135&lt;&gt;"",$W135&lt;&gt;""),PreliminaryRound!$I83,"")</f>
        <v/>
      </c>
      <c r="Y135" s="39" t="str">
        <f ca="1">IF(AND(PreliminaryRound!$I83&lt;&gt;"",PreliminaryRound!$K83&lt;&gt;"",PreliminaryRound!$F83&lt;&gt;PreliminaryRound!$H83,$V135&lt;&gt;"",$W135&lt;&gt;""),PreliminaryRound!$K83,"")</f>
        <v/>
      </c>
      <c r="Z135" s="37" t="str">
        <f t="shared" ca="1" si="69"/>
        <v/>
      </c>
      <c r="AA135" s="38">
        <f t="shared" ca="1" si="70"/>
        <v>0</v>
      </c>
      <c r="AB135" s="38" t="str">
        <f ca="1">IF(AA135&gt;0,X135&amp;Language!$E$80&amp;Y135,"")</f>
        <v/>
      </c>
      <c r="AC135" s="542"/>
      <c r="AD135" s="543"/>
      <c r="AE135" s="150" t="str">
        <f ca="1">IF($AA135=0,"",IF($X135&gt;$Y135,Settings!$C$4,IF($X135=$Y135,1,0)))</f>
        <v/>
      </c>
      <c r="AF135" s="146" t="str">
        <f ca="1">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5" t="str">
        <f ca="1">W64&amp;V64</f>
        <v>Knock Out Rangers1. FC Riedwald</v>
      </c>
      <c r="AA136" s="13">
        <f ca="1">AA64</f>
        <v>1</v>
      </c>
      <c r="AB136" s="13" t="str">
        <f ca="1">IF(AA136&gt;0,Y64&amp;Language!$E$80&amp;X64,"")</f>
        <v>6-2</v>
      </c>
      <c r="AD136" s="144"/>
    </row>
    <row r="137" spans="2:32" x14ac:dyDescent="0.2">
      <c r="Y137" s="67" t="s">
        <v>8</v>
      </c>
      <c r="Z137" s="35" t="str">
        <f ca="1">W65&amp;V65</f>
        <v>Borussia HeineMainz 05</v>
      </c>
      <c r="AA137" s="13">
        <f t="shared" ref="AA137:AA200" ca="1" si="71">AA65</f>
        <v>1</v>
      </c>
      <c r="AB137" s="13" t="str">
        <f ca="1">IF(AA137&gt;0,Y65&amp;Language!$E$80&amp;X65,"")</f>
        <v>4-2</v>
      </c>
      <c r="AC137" s="2"/>
      <c r="AD137" s="144"/>
    </row>
    <row r="138" spans="2:32" x14ac:dyDescent="0.2">
      <c r="Y138" s="67" t="s">
        <v>9</v>
      </c>
      <c r="Z138" s="35" t="str">
        <f t="shared" ref="Z138:Z201" ca="1" si="72">W66&amp;V66</f>
        <v>FC BarcelonaRaslo Winners</v>
      </c>
      <c r="AA138" s="13">
        <f t="shared" ca="1" si="71"/>
        <v>1</v>
      </c>
      <c r="AB138" s="13" t="str">
        <f ca="1">IF(AA138&gt;0,Y66&amp;Language!$E$80&amp;X66,"")</f>
        <v>4-1</v>
      </c>
      <c r="AC138" s="2"/>
      <c r="AD138" s="144"/>
    </row>
    <row r="139" spans="2:32" x14ac:dyDescent="0.2">
      <c r="Y139" s="67" t="s">
        <v>10</v>
      </c>
      <c r="Z139" s="35" t="str">
        <f t="shared" ca="1" si="72"/>
        <v>Inter MailandVFL Ronsdorf</v>
      </c>
      <c r="AA139" s="13">
        <f t="shared" ca="1" si="71"/>
        <v>1</v>
      </c>
      <c r="AB139" s="13" t="str">
        <f ca="1">IF(AA139&gt;0,Y67&amp;Language!$E$80&amp;X67,"")</f>
        <v>5-2</v>
      </c>
      <c r="AC139" s="2"/>
      <c r="AD139" s="144"/>
    </row>
    <row r="140" spans="2:32" x14ac:dyDescent="0.2">
      <c r="Y140" s="67" t="s">
        <v>11</v>
      </c>
      <c r="Z140" s="35" t="str">
        <f t="shared" ca="1" si="72"/>
        <v>Fun Kickers OesEintracht Frankfurt</v>
      </c>
      <c r="AA140" s="13">
        <f t="shared" ca="1" si="71"/>
        <v>1</v>
      </c>
      <c r="AB140" s="13" t="str">
        <f ca="1">IF(AA140&gt;0,Y68&amp;Language!$E$80&amp;X68,"")</f>
        <v>2-4</v>
      </c>
      <c r="AC140" s="2"/>
      <c r="AD140" s="144"/>
    </row>
    <row r="141" spans="2:32" x14ac:dyDescent="0.2">
      <c r="Y141" s="67" t="s">
        <v>12</v>
      </c>
      <c r="Z141" s="35" t="str">
        <f t="shared" ca="1" si="72"/>
        <v>AC RomaSSV Wildbach</v>
      </c>
      <c r="AA141" s="13">
        <f t="shared" ca="1" si="71"/>
        <v>1</v>
      </c>
      <c r="AB141" s="13" t="str">
        <f ca="1">IF(AA141&gt;0,Y69&amp;Language!$E$80&amp;X69,"")</f>
        <v>5-0</v>
      </c>
      <c r="AC141" s="2"/>
      <c r="AD141" s="144"/>
    </row>
    <row r="142" spans="2:32" x14ac:dyDescent="0.2">
      <c r="Y142" s="67" t="s">
        <v>17</v>
      </c>
      <c r="Z142" s="35" t="str">
        <f t="shared" ca="1" si="72"/>
        <v>Maibach 1822 eVVFB Essenheim</v>
      </c>
      <c r="AA142" s="13">
        <f t="shared" ca="1" si="71"/>
        <v>1</v>
      </c>
      <c r="AB142" s="13" t="str">
        <f ca="1">IF(AA142&gt;0,Y70&amp;Language!$E$80&amp;X70,"")</f>
        <v>2-2</v>
      </c>
      <c r="AC142" s="2"/>
      <c r="AD142" s="144"/>
    </row>
    <row r="143" spans="2:32" x14ac:dyDescent="0.2">
      <c r="Y143" s="67" t="s">
        <v>18</v>
      </c>
      <c r="Z143" s="35" t="str">
        <f t="shared" ca="1" si="72"/>
        <v>Manchester CityFC Grönlingen</v>
      </c>
      <c r="AA143" s="13">
        <f t="shared" ca="1" si="71"/>
        <v>1</v>
      </c>
      <c r="AB143" s="13" t="str">
        <f ca="1">IF(AA143&gt;0,Y71&amp;Language!$E$80&amp;X71,"")</f>
        <v>5-2</v>
      </c>
      <c r="AC143" s="2"/>
      <c r="AD143" s="144"/>
    </row>
    <row r="144" spans="2:32" x14ac:dyDescent="0.2">
      <c r="Y144" s="67" t="s">
        <v>19</v>
      </c>
      <c r="Z144" s="35" t="str">
        <f t="shared" ca="1" si="72"/>
        <v>1. FC RiedwaldRaslo Winners</v>
      </c>
      <c r="AA144" s="13">
        <f t="shared" ca="1" si="71"/>
        <v>1</v>
      </c>
      <c r="AB144" s="13" t="str">
        <f ca="1">IF(AA144&gt;0,Y72&amp;Language!$E$80&amp;X72,"")</f>
        <v>0-2</v>
      </c>
      <c r="AC144" s="2"/>
      <c r="AD144" s="144"/>
    </row>
    <row r="145" spans="25:30" x14ac:dyDescent="0.2">
      <c r="Y145" s="67" t="s">
        <v>25</v>
      </c>
      <c r="Z145" s="35" t="str">
        <f t="shared" ca="1" si="72"/>
        <v>Mainz 05VFL Ronsdorf</v>
      </c>
      <c r="AA145" s="13">
        <f t="shared" ca="1" si="71"/>
        <v>1</v>
      </c>
      <c r="AB145" s="13" t="str">
        <f ca="1">IF(AA145&gt;0,Y73&amp;Language!$E$80&amp;X73,"")</f>
        <v>6-2</v>
      </c>
      <c r="AC145" s="2"/>
      <c r="AD145" s="144"/>
    </row>
    <row r="146" spans="25:30" x14ac:dyDescent="0.2">
      <c r="Y146" s="67" t="s">
        <v>26</v>
      </c>
      <c r="Z146" s="35" t="str">
        <f t="shared" ca="1" si="72"/>
        <v>Knock Out RangersFun Kickers Oes</v>
      </c>
      <c r="AA146" s="13">
        <f t="shared" ca="1" si="71"/>
        <v>1</v>
      </c>
      <c r="AB146" s="13" t="str">
        <f ca="1">IF(AA146&gt;0,Y74&amp;Language!$E$80&amp;X74,"")</f>
        <v>2-3</v>
      </c>
      <c r="AC146" s="2"/>
      <c r="AD146" s="144"/>
    </row>
    <row r="147" spans="25:30" x14ac:dyDescent="0.2">
      <c r="Y147" s="67" t="s">
        <v>27</v>
      </c>
      <c r="Z147" s="35" t="str">
        <f t="shared" ca="1" si="72"/>
        <v>Borussia HeineAC Roma</v>
      </c>
      <c r="AA147" s="13">
        <f t="shared" ca="1" si="71"/>
        <v>1</v>
      </c>
      <c r="AB147" s="13" t="str">
        <f ca="1">IF(AA147&gt;0,Y75&amp;Language!$E$80&amp;X75,"")</f>
        <v>1-2</v>
      </c>
      <c r="AC147" s="2"/>
      <c r="AD147" s="144"/>
    </row>
    <row r="148" spans="25:30" x14ac:dyDescent="0.2">
      <c r="Y148" s="67" t="s">
        <v>28</v>
      </c>
      <c r="Z148" s="35" t="str">
        <f t="shared" ca="1" si="72"/>
        <v>VFB EssenheimFC Barcelona</v>
      </c>
      <c r="AA148" s="13">
        <f t="shared" ca="1" si="71"/>
        <v>1</v>
      </c>
      <c r="AB148" s="13" t="str">
        <f ca="1">IF(AA148&gt;0,Y76&amp;Language!$E$80&amp;X76,"")</f>
        <v>0-6</v>
      </c>
      <c r="AC148" s="2"/>
      <c r="AD148" s="144"/>
    </row>
    <row r="149" spans="25:30" x14ac:dyDescent="0.2">
      <c r="Y149" s="67" t="s">
        <v>29</v>
      </c>
      <c r="Z149" s="35" t="str">
        <f t="shared" ca="1" si="72"/>
        <v>FC GrönlingenInter Mailand</v>
      </c>
      <c r="AA149" s="13">
        <f t="shared" ca="1" si="71"/>
        <v>1</v>
      </c>
      <c r="AB149" s="13" t="str">
        <f ca="1">IF(AA149&gt;0,Y77&amp;Language!$E$80&amp;X77,"")</f>
        <v>0-2</v>
      </c>
      <c r="AC149" s="2"/>
      <c r="AD149" s="144"/>
    </row>
    <row r="150" spans="25:30" x14ac:dyDescent="0.2">
      <c r="Y150" s="67" t="s">
        <v>30</v>
      </c>
      <c r="Z150" s="35" t="str">
        <f t="shared" ca="1" si="72"/>
        <v>Eintracht FrankfurtMaibach 1822 eV</v>
      </c>
      <c r="AA150" s="13">
        <f t="shared" ca="1" si="71"/>
        <v>1</v>
      </c>
      <c r="AB150" s="13" t="str">
        <f ca="1">IF(AA150&gt;0,Y78&amp;Language!$E$80&amp;X78,"")</f>
        <v>3-1</v>
      </c>
      <c r="AC150" s="2"/>
      <c r="AD150" s="144"/>
    </row>
    <row r="151" spans="25:30" x14ac:dyDescent="0.2">
      <c r="Y151" s="67" t="s">
        <v>31</v>
      </c>
      <c r="Z151" s="35" t="str">
        <f t="shared" ca="1" si="72"/>
        <v>SSV WildbachManchester City</v>
      </c>
      <c r="AA151" s="13">
        <f t="shared" ca="1" si="71"/>
        <v>1</v>
      </c>
      <c r="AB151" s="13" t="str">
        <f ca="1">IF(AA151&gt;0,Y79&amp;Language!$E$80&amp;X79,"")</f>
        <v>2-7</v>
      </c>
      <c r="AC151" s="2"/>
      <c r="AD151" s="144"/>
    </row>
    <row r="152" spans="25:30" x14ac:dyDescent="0.2">
      <c r="Y152" s="67" t="s">
        <v>32</v>
      </c>
      <c r="Z152" s="35" t="str">
        <f t="shared" ca="1" si="72"/>
        <v>Fun Kickers Oes1. FC Riedwald</v>
      </c>
      <c r="AA152" s="13">
        <f t="shared" ca="1" si="71"/>
        <v>1</v>
      </c>
      <c r="AB152" s="13" t="str">
        <f ca="1">IF(AA152&gt;0,Y80&amp;Language!$E$80&amp;X80,"")</f>
        <v>4-2</v>
      </c>
      <c r="AC152" s="2"/>
      <c r="AD152" s="144"/>
    </row>
    <row r="153" spans="25:30" x14ac:dyDescent="0.2">
      <c r="Y153" s="67" t="s">
        <v>33</v>
      </c>
      <c r="Z153" s="35" t="str">
        <f t="shared" ca="1" si="72"/>
        <v>AC RomaMainz 05</v>
      </c>
      <c r="AA153" s="13">
        <f t="shared" ca="1" si="71"/>
        <v>1</v>
      </c>
      <c r="AB153" s="13" t="str">
        <f ca="1">IF(AA153&gt;0,Y81&amp;Language!$E$80&amp;X81,"")</f>
        <v>5-1</v>
      </c>
      <c r="AC153" s="2"/>
      <c r="AD153" s="144"/>
    </row>
    <row r="154" spans="25:30" x14ac:dyDescent="0.2">
      <c r="Y154" s="67" t="s">
        <v>34</v>
      </c>
      <c r="Z154" s="35" t="str">
        <f t="shared" ca="1" si="72"/>
        <v>Raslo WinnersVFB Essenheim</v>
      </c>
      <c r="AA154" s="13">
        <f t="shared" ca="1" si="71"/>
        <v>1</v>
      </c>
      <c r="AB154" s="13" t="str">
        <f ca="1">IF(AA154&gt;0,Y82&amp;Language!$E$80&amp;X82,"")</f>
        <v>3-0</v>
      </c>
      <c r="AC154" s="2"/>
      <c r="AD154" s="144"/>
    </row>
    <row r="155" spans="25:30" x14ac:dyDescent="0.2">
      <c r="Y155" s="67" t="s">
        <v>35</v>
      </c>
      <c r="Z155" s="35" t="str">
        <f t="shared" ca="1" si="72"/>
        <v>VFL RonsdorfFC Grönlingen</v>
      </c>
      <c r="AA155" s="13">
        <f t="shared" ca="1" si="71"/>
        <v>1</v>
      </c>
      <c r="AB155" s="13" t="str">
        <f ca="1">IF(AA155&gt;0,Y83&amp;Language!$E$80&amp;X83,"")</f>
        <v>1-1</v>
      </c>
      <c r="AC155" s="2"/>
      <c r="AD155" s="144"/>
    </row>
    <row r="156" spans="25:30" x14ac:dyDescent="0.2">
      <c r="Y156" s="67" t="s">
        <v>36</v>
      </c>
      <c r="Z156" s="35" t="str">
        <f t="shared" ca="1" si="72"/>
        <v>Maibach 1822 eVKnock Out Rangers</v>
      </c>
      <c r="AA156" s="13">
        <f t="shared" ca="1" si="71"/>
        <v>1</v>
      </c>
      <c r="AB156" s="13" t="str">
        <f ca="1">IF(AA156&gt;0,Y84&amp;Language!$E$80&amp;X84,"")</f>
        <v>1-1</v>
      </c>
      <c r="AC156" s="2"/>
      <c r="AD156" s="144"/>
    </row>
    <row r="157" spans="25:30" x14ac:dyDescent="0.2">
      <c r="Y157" s="67" t="s">
        <v>37</v>
      </c>
      <c r="Z157" s="35" t="str">
        <f t="shared" ca="1" si="72"/>
        <v>Manchester CityBorussia Heine</v>
      </c>
      <c r="AA157" s="13">
        <f t="shared" ca="1" si="71"/>
        <v>1</v>
      </c>
      <c r="AB157" s="13" t="str">
        <f ca="1">IF(AA157&gt;0,Y85&amp;Language!$E$80&amp;X85,"")</f>
        <v>4-1</v>
      </c>
      <c r="AC157" s="2"/>
      <c r="AD157" s="144"/>
    </row>
    <row r="158" spans="25:30" x14ac:dyDescent="0.2">
      <c r="Y158" s="67" t="s">
        <v>38</v>
      </c>
      <c r="Z158" s="35" t="str">
        <f t="shared" ca="1" si="72"/>
        <v>FC BarcelonaEintracht Frankfurt</v>
      </c>
      <c r="AA158" s="13">
        <f t="shared" ca="1" si="71"/>
        <v>0</v>
      </c>
      <c r="AB158" s="13" t="str">
        <f ca="1">IF(AA158&gt;0,Y86&amp;Language!$E$80&amp;X86,"")</f>
        <v/>
      </c>
      <c r="AC158" s="2"/>
      <c r="AD158" s="144"/>
    </row>
    <row r="159" spans="25:30" x14ac:dyDescent="0.2">
      <c r="Y159" s="67" t="s">
        <v>39</v>
      </c>
      <c r="Z159" s="35" t="str">
        <f t="shared" ca="1" si="72"/>
        <v>Inter MailandSSV Wildbach</v>
      </c>
      <c r="AA159" s="13">
        <f t="shared" ca="1" si="71"/>
        <v>0</v>
      </c>
      <c r="AB159" s="13" t="str">
        <f ca="1">IF(AA159&gt;0,Y87&amp;Language!$E$80&amp;X87,"")</f>
        <v/>
      </c>
      <c r="AC159" s="2"/>
      <c r="AD159" s="144"/>
    </row>
    <row r="160" spans="25:30" x14ac:dyDescent="0.2">
      <c r="Y160" s="67" t="s">
        <v>40</v>
      </c>
      <c r="Z160" s="35" t="str">
        <f t="shared" ca="1" si="72"/>
        <v>1. FC RiedwaldVFB Essenheim</v>
      </c>
      <c r="AA160" s="13">
        <f t="shared" ca="1" si="71"/>
        <v>0</v>
      </c>
      <c r="AB160" s="13" t="str">
        <f ca="1">IF(AA160&gt;0,Y88&amp;Language!$E$80&amp;X88,"")</f>
        <v/>
      </c>
      <c r="AC160" s="2"/>
      <c r="AD160" s="144"/>
    </row>
    <row r="161" spans="25:30" x14ac:dyDescent="0.2">
      <c r="Y161" s="67" t="s">
        <v>41</v>
      </c>
      <c r="Z161" s="35" t="str">
        <f t="shared" ca="1" si="72"/>
        <v>Mainz 05FC Grönlingen</v>
      </c>
      <c r="AA161" s="13">
        <f t="shared" ca="1" si="71"/>
        <v>0</v>
      </c>
      <c r="AB161" s="13" t="str">
        <f ca="1">IF(AA161&gt;0,Y89&amp;Language!$E$80&amp;X89,"")</f>
        <v/>
      </c>
      <c r="AC161" s="2"/>
      <c r="AD161" s="144"/>
    </row>
    <row r="162" spans="25:30" x14ac:dyDescent="0.2">
      <c r="Y162" s="67" t="s">
        <v>42</v>
      </c>
      <c r="Z162" s="35" t="str">
        <f t="shared" ca="1" si="72"/>
        <v>Fun Kickers OesMaibach 1822 eV</v>
      </c>
      <c r="AA162" s="13">
        <f t="shared" ca="1" si="71"/>
        <v>0</v>
      </c>
      <c r="AB162" s="13" t="str">
        <f ca="1">IF(AA162&gt;0,Y90&amp;Language!$E$80&amp;X90,"")</f>
        <v/>
      </c>
      <c r="AC162" s="2"/>
      <c r="AD162" s="144"/>
    </row>
    <row r="163" spans="25:30" x14ac:dyDescent="0.2">
      <c r="Y163" s="67" t="s">
        <v>43</v>
      </c>
      <c r="Z163" s="35" t="str">
        <f t="shared" ca="1" si="72"/>
        <v>AC RomaManchester City</v>
      </c>
      <c r="AA163" s="13">
        <f t="shared" ca="1" si="71"/>
        <v>0</v>
      </c>
      <c r="AB163" s="13" t="str">
        <f ca="1">IF(AA163&gt;0,Y91&amp;Language!$E$80&amp;X91,"")</f>
        <v/>
      </c>
      <c r="AC163" s="2"/>
      <c r="AD163" s="144"/>
    </row>
    <row r="164" spans="25:30" x14ac:dyDescent="0.2">
      <c r="Y164" s="67" t="s">
        <v>44</v>
      </c>
      <c r="Z164" s="35" t="str">
        <f t="shared" ca="1" si="72"/>
        <v>Eintracht FrankfurtRaslo Winners</v>
      </c>
      <c r="AA164" s="13">
        <f t="shared" ca="1" si="71"/>
        <v>0</v>
      </c>
      <c r="AB164" s="13" t="str">
        <f ca="1">IF(AA164&gt;0,Y92&amp;Language!$E$80&amp;X92,"")</f>
        <v/>
      </c>
      <c r="AC164" s="2"/>
      <c r="AD164" s="144"/>
    </row>
    <row r="165" spans="25:30" x14ac:dyDescent="0.2">
      <c r="Y165" s="67" t="s">
        <v>45</v>
      </c>
      <c r="Z165" s="35" t="str">
        <f t="shared" ca="1" si="72"/>
        <v>SSV WildbachVFL Ronsdorf</v>
      </c>
      <c r="AA165" s="13">
        <f t="shared" ca="1" si="71"/>
        <v>0</v>
      </c>
      <c r="AB165" s="13" t="str">
        <f ca="1">IF(AA165&gt;0,Y93&amp;Language!$E$80&amp;X93,"")</f>
        <v/>
      </c>
      <c r="AC165" s="2"/>
      <c r="AD165" s="144"/>
    </row>
    <row r="166" spans="25:30" x14ac:dyDescent="0.2">
      <c r="Y166" s="67" t="s">
        <v>46</v>
      </c>
      <c r="Z166" s="35" t="str">
        <f t="shared" ca="1" si="72"/>
        <v>Knock Out RangersFC Barcelona</v>
      </c>
      <c r="AA166" s="13">
        <f t="shared" ca="1" si="71"/>
        <v>0</v>
      </c>
      <c r="AB166" s="13" t="str">
        <f ca="1">IF(AA166&gt;0,Y94&amp;Language!$E$80&amp;X94,"")</f>
        <v/>
      </c>
      <c r="AC166" s="2"/>
      <c r="AD166" s="144"/>
    </row>
    <row r="167" spans="25:30" x14ac:dyDescent="0.2">
      <c r="Y167" s="67" t="s">
        <v>47</v>
      </c>
      <c r="Z167" s="35" t="str">
        <f t="shared" ca="1" si="72"/>
        <v>Borussia HeineInter Mailand</v>
      </c>
      <c r="AA167" s="13">
        <f t="shared" ca="1" si="71"/>
        <v>0</v>
      </c>
      <c r="AB167" s="13" t="str">
        <f ca="1">IF(AA167&gt;0,Y95&amp;Language!$E$80&amp;X95,"")</f>
        <v/>
      </c>
      <c r="AC167" s="2"/>
      <c r="AD167" s="144"/>
    </row>
    <row r="168" spans="25:30" x14ac:dyDescent="0.2">
      <c r="Y168" s="67" t="s">
        <v>48</v>
      </c>
      <c r="Z168" s="35" t="str">
        <f t="shared" ca="1" si="72"/>
        <v>Maibach 1822 eV1. FC Riedwald</v>
      </c>
      <c r="AA168" s="13">
        <f t="shared" ca="1" si="71"/>
        <v>0</v>
      </c>
      <c r="AB168" s="13" t="str">
        <f ca="1">IF(AA168&gt;0,Y96&amp;Language!$E$80&amp;X96,"")</f>
        <v/>
      </c>
      <c r="AC168" s="2"/>
      <c r="AD168" s="144"/>
    </row>
    <row r="169" spans="25:30" x14ac:dyDescent="0.2">
      <c r="Y169" s="67" t="s">
        <v>49</v>
      </c>
      <c r="Z169" s="35" t="str">
        <f t="shared" ca="1" si="72"/>
        <v>Manchester CityMainz 05</v>
      </c>
      <c r="AA169" s="13">
        <f t="shared" ca="1" si="71"/>
        <v>0</v>
      </c>
      <c r="AB169" s="13" t="str">
        <f ca="1">IF(AA169&gt;0,Y97&amp;Language!$E$80&amp;X97,"")</f>
        <v/>
      </c>
      <c r="AC169" s="2"/>
      <c r="AD169" s="144"/>
    </row>
    <row r="170" spans="25:30" x14ac:dyDescent="0.2">
      <c r="Y170" s="67" t="s">
        <v>50</v>
      </c>
      <c r="Z170" s="35" t="str">
        <f t="shared" ca="1" si="72"/>
        <v>VFB EssenheimEintracht Frankfurt</v>
      </c>
      <c r="AA170" s="13">
        <f t="shared" ca="1" si="71"/>
        <v>0</v>
      </c>
      <c r="AB170" s="13" t="str">
        <f ca="1">IF(AA170&gt;0,Y98&amp;Language!$E$80&amp;X98,"")</f>
        <v/>
      </c>
      <c r="AC170" s="2"/>
      <c r="AD170" s="144"/>
    </row>
    <row r="171" spans="25:30" x14ac:dyDescent="0.2">
      <c r="Y171" s="67" t="s">
        <v>51</v>
      </c>
      <c r="Z171" s="35" t="str">
        <f t="shared" ca="1" si="72"/>
        <v>FC GrönlingenSSV Wildbach</v>
      </c>
      <c r="AA171" s="13">
        <f t="shared" ca="1" si="71"/>
        <v>0</v>
      </c>
      <c r="AB171" s="13" t="str">
        <f ca="1">IF(AA171&gt;0,Y99&amp;Language!$E$80&amp;X99,"")</f>
        <v/>
      </c>
      <c r="AC171" s="2"/>
      <c r="AD171" s="144"/>
    </row>
    <row r="172" spans="25:30" x14ac:dyDescent="0.2">
      <c r="Y172" s="67" t="s">
        <v>60</v>
      </c>
      <c r="Z172" s="35" t="str">
        <f t="shared" ca="1" si="72"/>
        <v>FC BarcelonaFun Kickers Oes</v>
      </c>
      <c r="AA172" s="13">
        <f t="shared" ca="1" si="71"/>
        <v>0</v>
      </c>
      <c r="AB172" s="13" t="str">
        <f ca="1">IF(AA172&gt;0,Y100&amp;Language!$E$80&amp;X100,"")</f>
        <v/>
      </c>
      <c r="AC172" s="2"/>
      <c r="AD172" s="144"/>
    </row>
    <row r="173" spans="25:30" x14ac:dyDescent="0.2">
      <c r="Y173" s="67" t="s">
        <v>61</v>
      </c>
      <c r="Z173" s="35" t="str">
        <f t="shared" ca="1" si="72"/>
        <v>Inter MailandAC Roma</v>
      </c>
      <c r="AA173" s="13">
        <f t="shared" ca="1" si="71"/>
        <v>0</v>
      </c>
      <c r="AB173" s="13" t="str">
        <f ca="1">IF(AA173&gt;0,Y101&amp;Language!$E$80&amp;X101,"")</f>
        <v/>
      </c>
      <c r="AC173" s="2"/>
      <c r="AD173" s="144"/>
    </row>
    <row r="174" spans="25:30" x14ac:dyDescent="0.2">
      <c r="Y174" s="67" t="s">
        <v>62</v>
      </c>
      <c r="Z174" s="35" t="str">
        <f t="shared" ca="1" si="72"/>
        <v>Raslo WinnersKnock Out Rangers</v>
      </c>
      <c r="AA174" s="13">
        <f t="shared" ca="1" si="71"/>
        <v>0</v>
      </c>
      <c r="AB174" s="13" t="str">
        <f ca="1">IF(AA174&gt;0,Y102&amp;Language!$E$80&amp;X102,"")</f>
        <v/>
      </c>
      <c r="AC174" s="2"/>
      <c r="AD174" s="144"/>
    </row>
    <row r="175" spans="25:30" x14ac:dyDescent="0.2">
      <c r="Y175" s="67" t="s">
        <v>63</v>
      </c>
      <c r="Z175" s="35" t="str">
        <f t="shared" ca="1" si="72"/>
        <v>VFL RonsdorfBorussia Heine</v>
      </c>
      <c r="AA175" s="13">
        <f t="shared" ca="1" si="71"/>
        <v>0</v>
      </c>
      <c r="AB175" s="13" t="str">
        <f ca="1">IF(AA175&gt;0,Y103&amp;Language!$E$80&amp;X103,"")</f>
        <v/>
      </c>
      <c r="AC175" s="2"/>
      <c r="AD175" s="144"/>
    </row>
    <row r="176" spans="25:30" x14ac:dyDescent="0.2">
      <c r="Y176" s="67" t="s">
        <v>64</v>
      </c>
      <c r="Z176" s="35" t="str">
        <f t="shared" ca="1" si="72"/>
        <v>1. FC RiedwaldEintracht Frankfurt</v>
      </c>
      <c r="AA176" s="13">
        <f t="shared" ca="1" si="71"/>
        <v>0</v>
      </c>
      <c r="AB176" s="13" t="str">
        <f ca="1">IF(AA176&gt;0,Y104&amp;Language!$E$80&amp;X104,"")</f>
        <v/>
      </c>
      <c r="AC176" s="2"/>
      <c r="AD176" s="144"/>
    </row>
    <row r="177" spans="25:30" x14ac:dyDescent="0.2">
      <c r="Y177" s="67" t="s">
        <v>65</v>
      </c>
      <c r="Z177" s="35" t="str">
        <f t="shared" ca="1" si="72"/>
        <v>Mainz 05SSV Wildbach</v>
      </c>
      <c r="AA177" s="13">
        <f t="shared" ca="1" si="71"/>
        <v>0</v>
      </c>
      <c r="AB177" s="13" t="str">
        <f ca="1">IF(AA177&gt;0,Y105&amp;Language!$E$80&amp;X105,"")</f>
        <v/>
      </c>
      <c r="AC177" s="2"/>
      <c r="AD177" s="144"/>
    </row>
    <row r="178" spans="25:30" x14ac:dyDescent="0.2">
      <c r="Y178" s="67" t="s">
        <v>66</v>
      </c>
      <c r="Z178" s="35" t="str">
        <f t="shared" ca="1" si="72"/>
        <v>Maibach 1822 eVFC Barcelona</v>
      </c>
      <c r="AA178" s="13">
        <f t="shared" ca="1" si="71"/>
        <v>0</v>
      </c>
      <c r="AB178" s="13" t="str">
        <f ca="1">IF(AA178&gt;0,Y106&amp;Language!$E$80&amp;X106,"")</f>
        <v/>
      </c>
      <c r="AC178" s="2"/>
      <c r="AD178" s="144"/>
    </row>
    <row r="179" spans="25:30" x14ac:dyDescent="0.2">
      <c r="Y179" s="67" t="s">
        <v>67</v>
      </c>
      <c r="Z179" s="35" t="str">
        <f t="shared" ca="1" si="72"/>
        <v>Manchester CityInter Mailand</v>
      </c>
      <c r="AA179" s="13">
        <f t="shared" ca="1" si="71"/>
        <v>0</v>
      </c>
      <c r="AB179" s="13" t="str">
        <f ca="1">IF(AA179&gt;0,Y107&amp;Language!$E$80&amp;X107,"")</f>
        <v/>
      </c>
      <c r="AC179" s="2"/>
      <c r="AD179" s="144"/>
    </row>
    <row r="180" spans="25:30" x14ac:dyDescent="0.2">
      <c r="Y180" s="67" t="s">
        <v>68</v>
      </c>
      <c r="Z180" s="35" t="str">
        <f t="shared" ca="1" si="72"/>
        <v>Knock Out RangersVFB Essenheim</v>
      </c>
      <c r="AA180" s="13">
        <f t="shared" ca="1" si="71"/>
        <v>0</v>
      </c>
      <c r="AB180" s="13" t="str">
        <f ca="1">IF(AA180&gt;0,Y108&amp;Language!$E$80&amp;X108,"")</f>
        <v/>
      </c>
      <c r="AC180" s="2"/>
      <c r="AD180" s="144"/>
    </row>
    <row r="181" spans="25:30" x14ac:dyDescent="0.2">
      <c r="Y181" s="67" t="s">
        <v>69</v>
      </c>
      <c r="Z181" s="35" t="str">
        <f t="shared" ca="1" si="72"/>
        <v>Borussia HeineFC Grönlingen</v>
      </c>
      <c r="AA181" s="13">
        <f t="shared" ca="1" si="71"/>
        <v>0</v>
      </c>
      <c r="AB181" s="13" t="str">
        <f ca="1">IF(AA181&gt;0,Y109&amp;Language!$E$80&amp;X109,"")</f>
        <v/>
      </c>
      <c r="AC181" s="2"/>
      <c r="AD181" s="144"/>
    </row>
    <row r="182" spans="25:30" x14ac:dyDescent="0.2">
      <c r="Y182" s="67" t="s">
        <v>70</v>
      </c>
      <c r="Z182" s="35" t="str">
        <f t="shared" ca="1" si="72"/>
        <v>Fun Kickers OesRaslo Winners</v>
      </c>
      <c r="AA182" s="13">
        <f t="shared" ca="1" si="71"/>
        <v>0</v>
      </c>
      <c r="AB182" s="13" t="str">
        <f ca="1">IF(AA182&gt;0,Y110&amp;Language!$E$80&amp;X110,"")</f>
        <v/>
      </c>
      <c r="AC182" s="2"/>
      <c r="AD182" s="144"/>
    </row>
    <row r="183" spans="25:30" x14ac:dyDescent="0.2">
      <c r="Y183" s="67" t="s">
        <v>71</v>
      </c>
      <c r="Z183" s="35" t="str">
        <f t="shared" ca="1" si="72"/>
        <v>AC RomaVFL Ronsdorf</v>
      </c>
      <c r="AA183" s="13">
        <f t="shared" ca="1" si="71"/>
        <v>0</v>
      </c>
      <c r="AB183" s="13" t="str">
        <f ca="1">IF(AA183&gt;0,Y111&amp;Language!$E$80&amp;X111,"")</f>
        <v/>
      </c>
      <c r="AC183" s="2"/>
      <c r="AD183" s="144"/>
    </row>
    <row r="184" spans="25:30" x14ac:dyDescent="0.2">
      <c r="Y184" s="67" t="s">
        <v>72</v>
      </c>
      <c r="Z184" s="35" t="str">
        <f t="shared" ca="1" si="72"/>
        <v>FC Barcelona1. FC Riedwald</v>
      </c>
      <c r="AA184" s="13">
        <f t="shared" ca="1" si="71"/>
        <v>0</v>
      </c>
      <c r="AB184" s="13" t="str">
        <f ca="1">IF(AA184&gt;0,Y112&amp;Language!$E$80&amp;X112,"")</f>
        <v/>
      </c>
      <c r="AC184" s="2"/>
      <c r="AD184" s="144"/>
    </row>
    <row r="185" spans="25:30" x14ac:dyDescent="0.2">
      <c r="Y185" s="67" t="s">
        <v>73</v>
      </c>
      <c r="Z185" s="35" t="str">
        <f t="shared" ca="1" si="72"/>
        <v>Inter MailandMainz 05</v>
      </c>
      <c r="AA185" s="13">
        <f t="shared" ca="1" si="71"/>
        <v>0</v>
      </c>
      <c r="AB185" s="13" t="str">
        <f ca="1">IF(AA185&gt;0,Y113&amp;Language!$E$80&amp;X113,"")</f>
        <v/>
      </c>
      <c r="AC185" s="2"/>
      <c r="AD185" s="144"/>
    </row>
    <row r="186" spans="25:30" x14ac:dyDescent="0.2">
      <c r="Y186" s="67" t="s">
        <v>74</v>
      </c>
      <c r="Z186" s="35" t="str">
        <f t="shared" ca="1" si="72"/>
        <v>Eintracht FrankfurtKnock Out Rangers</v>
      </c>
      <c r="AA186" s="13">
        <f t="shared" ca="1" si="71"/>
        <v>0</v>
      </c>
      <c r="AB186" s="13" t="str">
        <f ca="1">IF(AA186&gt;0,Y114&amp;Language!$E$80&amp;X114,"")</f>
        <v/>
      </c>
      <c r="AC186" s="2"/>
      <c r="AD186" s="144"/>
    </row>
    <row r="187" spans="25:30" x14ac:dyDescent="0.2">
      <c r="Y187" s="67" t="s">
        <v>75</v>
      </c>
      <c r="Z187" s="35" t="str">
        <f t="shared" ca="1" si="72"/>
        <v>SSV WildbachBorussia Heine</v>
      </c>
      <c r="AA187" s="13">
        <f t="shared" ca="1" si="71"/>
        <v>0</v>
      </c>
      <c r="AB187" s="13" t="str">
        <f ca="1">IF(AA187&gt;0,Y115&amp;Language!$E$80&amp;X115,"")</f>
        <v/>
      </c>
      <c r="AC187" s="2"/>
      <c r="AD187" s="144"/>
    </row>
    <row r="188" spans="25:30" x14ac:dyDescent="0.2">
      <c r="Y188" s="67" t="s">
        <v>76</v>
      </c>
      <c r="Z188" s="35" t="str">
        <f t="shared" ca="1" si="72"/>
        <v>Raslo WinnersMaibach 1822 eV</v>
      </c>
      <c r="AA188" s="13">
        <f t="shared" ca="1" si="71"/>
        <v>0</v>
      </c>
      <c r="AB188" s="13" t="str">
        <f ca="1">IF(AA188&gt;0,Y116&amp;Language!$E$80&amp;X116,"")</f>
        <v/>
      </c>
      <c r="AC188" s="2"/>
      <c r="AD188" s="144"/>
    </row>
    <row r="189" spans="25:30" x14ac:dyDescent="0.2">
      <c r="Y189" s="67" t="s">
        <v>77</v>
      </c>
      <c r="Z189" s="35" t="str">
        <f t="shared" ca="1" si="72"/>
        <v>VFL RonsdorfManchester City</v>
      </c>
      <c r="AA189" s="13">
        <f t="shared" ca="1" si="71"/>
        <v>0</v>
      </c>
      <c r="AB189" s="13" t="str">
        <f ca="1">IF(AA189&gt;0,Y117&amp;Language!$E$80&amp;X117,"")</f>
        <v/>
      </c>
      <c r="AC189" s="2"/>
      <c r="AD189" s="144"/>
    </row>
    <row r="190" spans="25:30" x14ac:dyDescent="0.2">
      <c r="Y190" s="67" t="s">
        <v>78</v>
      </c>
      <c r="Z190" s="35" t="str">
        <f t="shared" ca="1" si="72"/>
        <v>VFB EssenheimFun Kickers Oes</v>
      </c>
      <c r="AA190" s="13">
        <f t="shared" ca="1" si="71"/>
        <v>0</v>
      </c>
      <c r="AB190" s="13" t="str">
        <f ca="1">IF(AA190&gt;0,Y118&amp;Language!$E$80&amp;X118,"")</f>
        <v/>
      </c>
      <c r="AC190" s="2"/>
      <c r="AD190" s="144"/>
    </row>
    <row r="191" spans="25:30" x14ac:dyDescent="0.2">
      <c r="Y191" s="67" t="s">
        <v>79</v>
      </c>
      <c r="Z191" s="35" t="str">
        <f t="shared" ca="1" si="72"/>
        <v>FC GrönlingenAC Roma</v>
      </c>
      <c r="AA191" s="13">
        <f t="shared" ca="1" si="71"/>
        <v>0</v>
      </c>
      <c r="AB191" s="13" t="str">
        <f ca="1">IF(AA191&gt;0,Y119&amp;Language!$E$80&amp;X119,"")</f>
        <v/>
      </c>
      <c r="AC191" s="2"/>
      <c r="AD191" s="144"/>
    </row>
    <row r="192" spans="25:30" x14ac:dyDescent="0.2">
      <c r="Y192" s="67" t="s">
        <v>80</v>
      </c>
      <c r="Z192" s="35" t="str">
        <f t="shared" ca="1" si="72"/>
        <v/>
      </c>
      <c r="AA192" s="13">
        <f t="shared" ca="1" si="71"/>
        <v>0</v>
      </c>
      <c r="AB192" s="13" t="str">
        <f ca="1">IF(AA192&gt;0,Y120&amp;Language!$E$80&amp;X120,"")</f>
        <v/>
      </c>
      <c r="AC192" s="2"/>
      <c r="AD192" s="144"/>
    </row>
    <row r="193" spans="25:30" x14ac:dyDescent="0.2">
      <c r="Y193" s="67" t="s">
        <v>81</v>
      </c>
      <c r="Z193" s="35" t="str">
        <f t="shared" ca="1" si="72"/>
        <v/>
      </c>
      <c r="AA193" s="13">
        <f t="shared" ca="1" si="71"/>
        <v>0</v>
      </c>
      <c r="AB193" s="13" t="str">
        <f ca="1">IF(AA193&gt;0,Y121&amp;Language!$E$80&amp;X121,"")</f>
        <v/>
      </c>
      <c r="AC193" s="2"/>
      <c r="AD193" s="144"/>
    </row>
    <row r="194" spans="25:30" x14ac:dyDescent="0.2">
      <c r="Y194" s="67" t="s">
        <v>82</v>
      </c>
      <c r="Z194" s="35" t="str">
        <f t="shared" ca="1" si="72"/>
        <v/>
      </c>
      <c r="AA194" s="13">
        <f t="shared" ca="1" si="71"/>
        <v>0</v>
      </c>
      <c r="AB194" s="13" t="str">
        <f ca="1">IF(AA194&gt;0,Y122&amp;Language!$E$80&amp;X122,"")</f>
        <v/>
      </c>
      <c r="AC194" s="2"/>
      <c r="AD194" s="144"/>
    </row>
    <row r="195" spans="25:30" x14ac:dyDescent="0.2">
      <c r="Y195" s="67" t="s">
        <v>83</v>
      </c>
      <c r="Z195" s="35" t="str">
        <f t="shared" ca="1" si="72"/>
        <v/>
      </c>
      <c r="AA195" s="13">
        <f t="shared" ca="1" si="71"/>
        <v>0</v>
      </c>
      <c r="AB195" s="13" t="str">
        <f ca="1">IF(AA195&gt;0,Y123&amp;Language!$E$80&amp;X123,"")</f>
        <v/>
      </c>
      <c r="AC195" s="2"/>
      <c r="AD195" s="144"/>
    </row>
    <row r="196" spans="25:30" x14ac:dyDescent="0.2">
      <c r="Y196" s="67" t="s">
        <v>84</v>
      </c>
      <c r="Z196" s="35" t="str">
        <f t="shared" ca="1" si="72"/>
        <v/>
      </c>
      <c r="AA196" s="13">
        <f t="shared" ca="1" si="71"/>
        <v>0</v>
      </c>
      <c r="AB196" s="13" t="str">
        <f ca="1">IF(AA196&gt;0,Y124&amp;Language!$E$80&amp;X124,"")</f>
        <v/>
      </c>
      <c r="AC196" s="2"/>
      <c r="AD196" s="144"/>
    </row>
    <row r="197" spans="25:30" x14ac:dyDescent="0.2">
      <c r="Y197" s="67" t="s">
        <v>85</v>
      </c>
      <c r="Z197" s="35" t="str">
        <f t="shared" ca="1" si="72"/>
        <v/>
      </c>
      <c r="AA197" s="13">
        <f t="shared" ca="1" si="71"/>
        <v>0</v>
      </c>
      <c r="AB197" s="13" t="str">
        <f ca="1">IF(AA197&gt;0,Y125&amp;Language!$E$80&amp;X125,"")</f>
        <v/>
      </c>
      <c r="AC197" s="2"/>
      <c r="AD197" s="144"/>
    </row>
    <row r="198" spans="25:30" x14ac:dyDescent="0.2">
      <c r="Y198" s="67" t="s">
        <v>86</v>
      </c>
      <c r="Z198" s="35" t="str">
        <f t="shared" ca="1" si="72"/>
        <v/>
      </c>
      <c r="AA198" s="13">
        <f t="shared" ca="1" si="71"/>
        <v>0</v>
      </c>
      <c r="AB198" s="13" t="str">
        <f ca="1">IF(AA198&gt;0,Y126&amp;Language!$E$80&amp;X126,"")</f>
        <v/>
      </c>
      <c r="AC198" s="2"/>
      <c r="AD198" s="144"/>
    </row>
    <row r="199" spans="25:30" x14ac:dyDescent="0.2">
      <c r="Y199" s="67" t="s">
        <v>87</v>
      </c>
      <c r="Z199" s="35" t="str">
        <f t="shared" ca="1" si="72"/>
        <v/>
      </c>
      <c r="AA199" s="13">
        <f t="shared" ca="1" si="71"/>
        <v>0</v>
      </c>
      <c r="AB199" s="13" t="str">
        <f ca="1">IF(AA199&gt;0,Y127&amp;Language!$E$80&amp;X127,"")</f>
        <v/>
      </c>
      <c r="AC199" s="2"/>
      <c r="AD199" s="144"/>
    </row>
    <row r="200" spans="25:30" x14ac:dyDescent="0.2">
      <c r="Y200" s="67" t="s">
        <v>88</v>
      </c>
      <c r="Z200" s="35" t="str">
        <f t="shared" ca="1" si="72"/>
        <v/>
      </c>
      <c r="AA200" s="13">
        <f t="shared" ca="1" si="71"/>
        <v>0</v>
      </c>
      <c r="AB200" s="13" t="str">
        <f ca="1">IF(AA200&gt;0,Y128&amp;Language!$E$80&amp;X128,"")</f>
        <v/>
      </c>
      <c r="AC200" s="2"/>
      <c r="AD200" s="144"/>
    </row>
    <row r="201" spans="25:30" x14ac:dyDescent="0.2">
      <c r="Y201" s="67" t="s">
        <v>89</v>
      </c>
      <c r="Z201" s="35" t="str">
        <f t="shared" ca="1" si="72"/>
        <v/>
      </c>
      <c r="AA201" s="13">
        <f t="shared" ref="AA201:AA207" ca="1" si="73">AA129</f>
        <v>0</v>
      </c>
      <c r="AB201" s="13" t="str">
        <f ca="1">IF(AA201&gt;0,Y129&amp;Language!$E$80&amp;X129,"")</f>
        <v/>
      </c>
      <c r="AC201" s="2"/>
      <c r="AD201" s="144"/>
    </row>
    <row r="202" spans="25:30" x14ac:dyDescent="0.2">
      <c r="Y202" s="67" t="s">
        <v>90</v>
      </c>
      <c r="Z202" s="35" t="str">
        <f t="shared" ref="Z202:Z206" ca="1" si="74">W130&amp;V130</f>
        <v/>
      </c>
      <c r="AA202" s="13">
        <f t="shared" ca="1" si="73"/>
        <v>0</v>
      </c>
      <c r="AB202" s="13" t="str">
        <f ca="1">IF(AA202&gt;0,Y130&amp;Language!$E$80&amp;X130,"")</f>
        <v/>
      </c>
      <c r="AC202" s="2"/>
      <c r="AD202" s="144"/>
    </row>
    <row r="203" spans="25:30" x14ac:dyDescent="0.2">
      <c r="Y203" s="67" t="s">
        <v>91</v>
      </c>
      <c r="Z203" s="35" t="str">
        <f t="shared" ca="1" si="74"/>
        <v/>
      </c>
      <c r="AA203" s="13">
        <f t="shared" ca="1" si="73"/>
        <v>0</v>
      </c>
      <c r="AB203" s="13" t="str">
        <f ca="1">IF(AA203&gt;0,Y131&amp;Language!$E$80&amp;X131,"")</f>
        <v/>
      </c>
      <c r="AC203" s="2"/>
      <c r="AD203" s="144"/>
    </row>
    <row r="204" spans="25:30" x14ac:dyDescent="0.2">
      <c r="Y204" s="67" t="s">
        <v>92</v>
      </c>
      <c r="Z204" s="35" t="str">
        <f t="shared" ca="1" si="74"/>
        <v/>
      </c>
      <c r="AA204" s="13">
        <f t="shared" ca="1" si="73"/>
        <v>0</v>
      </c>
      <c r="AB204" s="13" t="str">
        <f ca="1">IF(AA204&gt;0,Y132&amp;Language!$E$80&amp;X132,"")</f>
        <v/>
      </c>
      <c r="AC204" s="2"/>
      <c r="AD204" s="144"/>
    </row>
    <row r="205" spans="25:30" x14ac:dyDescent="0.2">
      <c r="Y205" s="67" t="s">
        <v>93</v>
      </c>
      <c r="Z205" s="35" t="str">
        <f t="shared" ca="1" si="74"/>
        <v/>
      </c>
      <c r="AA205" s="13">
        <f t="shared" ca="1" si="73"/>
        <v>0</v>
      </c>
      <c r="AB205" s="13" t="str">
        <f ca="1">IF(AA205&gt;0,Y133&amp;Language!$E$80&amp;X133,"")</f>
        <v/>
      </c>
      <c r="AC205" s="2"/>
      <c r="AD205" s="144"/>
    </row>
    <row r="206" spans="25:30" x14ac:dyDescent="0.2">
      <c r="Y206" s="67" t="s">
        <v>94</v>
      </c>
      <c r="Z206" s="35" t="str">
        <f t="shared" ca="1" si="74"/>
        <v/>
      </c>
      <c r="AA206" s="13">
        <f t="shared" ca="1" si="73"/>
        <v>0</v>
      </c>
      <c r="AB206" s="13" t="str">
        <f ca="1">IF(AA206&gt;0,Y134&amp;Language!$E$80&amp;X134,"")</f>
        <v/>
      </c>
      <c r="AC206" s="2"/>
      <c r="AD206" s="144"/>
    </row>
    <row r="207" spans="25:30" ht="12.75" thickBot="1" x14ac:dyDescent="0.25">
      <c r="Y207" s="68" t="s">
        <v>95</v>
      </c>
      <c r="Z207" s="37" t="str">
        <f ca="1">W135&amp;V135</f>
        <v/>
      </c>
      <c r="AA207" s="38">
        <f t="shared" ca="1" si="73"/>
        <v>0</v>
      </c>
      <c r="AB207" s="145" t="str">
        <f ca="1">IF(AA207&gt;0,Y135&amp;Language!$E$80&amp;X135,"")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796"/>
      <c r="X3" s="797"/>
      <c r="Y3" s="797"/>
      <c r="Z3" s="797"/>
      <c r="AA3" s="797"/>
      <c r="AB3" s="796"/>
      <c r="AC3" s="797"/>
      <c r="AD3" s="797"/>
      <c r="AE3" s="797"/>
      <c r="AF3" s="797"/>
      <c r="AG3" s="796"/>
      <c r="AH3" s="797"/>
      <c r="AI3" s="797"/>
      <c r="AJ3" s="797"/>
      <c r="AK3" s="797"/>
      <c r="AL3" s="796"/>
      <c r="AM3" s="797"/>
      <c r="AN3" s="797"/>
      <c r="AO3" s="797"/>
      <c r="AP3" s="797"/>
    </row>
    <row r="4" spans="1:42" s="2" customFormat="1" ht="12.75" thickTop="1" x14ac:dyDescent="0.2">
      <c r="A4" s="237"/>
      <c r="B4" s="1">
        <v>1</v>
      </c>
      <c r="C4" s="21">
        <f ca="1">RANK(D4,$D$4:$D$12,1)</f>
        <v>1</v>
      </c>
      <c r="D4" s="13">
        <f ca="1">E4+ROW()/1000+(F4="")*10</f>
        <v>1.004</v>
      </c>
      <c r="E4" s="248">
        <f ca="1">IF($AI$15,RANK(AH17,AH$17:AH$25,1),RANK(X17,X$17:X$25,1))</f>
        <v>1</v>
      </c>
      <c r="F4" s="1" t="str">
        <f ca="1">$Q64</f>
        <v>FC Barcelona</v>
      </c>
      <c r="G4" s="1">
        <f t="shared" ref="G4:G12" ca="1" si="0">SUMIFS($X$64:$X$135,$V$64:$V$135,$F4)+SUMIFS($Y$64:$Y$135,$W$64:$W$135,$F4)</f>
        <v>9</v>
      </c>
      <c r="H4" s="1">
        <f t="shared" ref="H4:H12" ca="1" si="1">SUMIFS($Y$64:$Y$135,$V$64:$V$135,$F4)+SUMIFS($X$64:$X$135,$W$64:$W$135,$F4)</f>
        <v>1</v>
      </c>
      <c r="I4" s="13">
        <f t="shared" ref="I4:I12" ca="1" si="2">G4-H4</f>
        <v>8</v>
      </c>
      <c r="J4" s="1">
        <f ca="1">SUMIF($V$64:$V$135,F4,$AE$64:$AE$135)+SUMIF($W$64:$W$135,F4,$AF$64:$AF$135)</f>
        <v>7</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1</v>
      </c>
      <c r="N4" s="1">
        <f t="shared" ref="N4:N12" ca="1" si="6">SUMPRODUCT(($V$64:$V$135=F4)*($X$64:$X$135&lt;$Y$64:$Y$135))+SUMPRODUCT(($W$64:$W$135=F4)*($X$64:$X$135&gt;$Y$64:$Y$135))</f>
        <v>0</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3</v>
      </c>
      <c r="D5" s="13">
        <f t="shared" ref="D5:D12" ca="1" si="8">E5+ROW()/1000+(F5="")*10</f>
        <v>3.0049999999999999</v>
      </c>
      <c r="E5" s="248">
        <f t="shared" ref="E5:E12" ca="1" si="9">IF($AI$15,RANK(AH18,AH$17:AH$25,1),RANK(X18,X$17:X$25,1))</f>
        <v>3</v>
      </c>
      <c r="F5" s="1" t="str">
        <f t="shared" ref="F5:F12" ca="1" si="10">$Q65</f>
        <v>Manchester City</v>
      </c>
      <c r="G5" s="1">
        <f t="shared" ca="1" si="0"/>
        <v>4</v>
      </c>
      <c r="H5" s="1">
        <f t="shared" ca="1" si="1"/>
        <v>13</v>
      </c>
      <c r="I5" s="13">
        <f t="shared" ca="1" si="2"/>
        <v>-9</v>
      </c>
      <c r="J5" s="1">
        <f t="shared" ref="J5:J12" ca="1" si="11">SUMIF($V$64:$V$135,F5,$AE$64:$AE$135)+SUMIF($W$64:$W$135,F5,$AF$64:$AF$135)</f>
        <v>3</v>
      </c>
      <c r="K5" s="1">
        <f t="shared" ca="1" si="3"/>
        <v>3</v>
      </c>
      <c r="L5" s="1">
        <f t="shared" ca="1" si="4"/>
        <v>1</v>
      </c>
      <c r="M5" s="1">
        <f t="shared" ca="1" si="5"/>
        <v>0</v>
      </c>
      <c r="N5" s="1">
        <f t="shared" ca="1" si="6"/>
        <v>2</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Eintracht Frankfurt</v>
      </c>
      <c r="G6" s="1">
        <f t="shared" ca="1" si="0"/>
        <v>7</v>
      </c>
      <c r="H6" s="1">
        <f t="shared" ca="1" si="1"/>
        <v>14</v>
      </c>
      <c r="I6" s="13">
        <f t="shared" ca="1" si="2"/>
        <v>-7</v>
      </c>
      <c r="J6" s="1">
        <f t="shared" ca="1" si="11"/>
        <v>1</v>
      </c>
      <c r="K6" s="1">
        <f t="shared" ca="1" si="3"/>
        <v>3</v>
      </c>
      <c r="L6" s="1">
        <f t="shared" ca="1" si="4"/>
        <v>0</v>
      </c>
      <c r="M6" s="1">
        <f t="shared" ca="1" si="5"/>
        <v>1</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2</v>
      </c>
      <c r="D7" s="13">
        <f t="shared" ca="1" si="8"/>
        <v>2.0070000000000001</v>
      </c>
      <c r="E7" s="248">
        <f t="shared" ca="1" si="9"/>
        <v>2</v>
      </c>
      <c r="F7" s="1" t="str">
        <f t="shared" ca="1" si="10"/>
        <v>AC Roma</v>
      </c>
      <c r="G7" s="1">
        <f t="shared" ca="1" si="0"/>
        <v>21</v>
      </c>
      <c r="H7" s="1">
        <f t="shared" ca="1" si="1"/>
        <v>13</v>
      </c>
      <c r="I7" s="13">
        <f t="shared" ca="1" si="2"/>
        <v>8</v>
      </c>
      <c r="J7" s="1">
        <f t="shared" ca="1" si="11"/>
        <v>6</v>
      </c>
      <c r="K7" s="1">
        <f t="shared" ca="1" si="3"/>
        <v>3</v>
      </c>
      <c r="L7" s="1">
        <f t="shared" ca="1" si="4"/>
        <v>2</v>
      </c>
      <c r="M7" s="1">
        <f t="shared" ca="1" si="5"/>
        <v>0</v>
      </c>
      <c r="N7" s="1">
        <f t="shared" ca="1" si="6"/>
        <v>1</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FC Barcelona</v>
      </c>
      <c r="D17" s="1">
        <f t="shared" ref="D17:G25" ca="1" si="12">K4</f>
        <v>3</v>
      </c>
      <c r="E17" s="1">
        <f t="shared" ca="1" si="12"/>
        <v>2</v>
      </c>
      <c r="F17" s="1">
        <f t="shared" ca="1" si="12"/>
        <v>1</v>
      </c>
      <c r="G17" s="1">
        <f t="shared" ca="1" si="12"/>
        <v>0</v>
      </c>
      <c r="H17" s="1">
        <f t="shared" ref="H17:K25" ca="1" si="13">G4</f>
        <v>9</v>
      </c>
      <c r="I17" s="1">
        <f t="shared" ca="1" si="13"/>
        <v>1</v>
      </c>
      <c r="J17" s="13">
        <f t="shared" ca="1" si="13"/>
        <v>8</v>
      </c>
      <c r="K17" s="1">
        <f t="shared" ca="1" si="13"/>
        <v>7</v>
      </c>
      <c r="L17" s="30">
        <f t="shared" ref="L17:L25" ca="1" si="14">K17*$F$64+(J17+$H$65)*$F$65+H17*$F$66</f>
        <v>7508009</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'Finals 4'!$AF12</f>
        <v>0</v>
      </c>
      <c r="Z17" s="1">
        <f ca="1">RANK($W17,$W$17:$W$25)+(9-$Y17)/10</f>
        <v>1.9</v>
      </c>
      <c r="AA17" s="1">
        <f ca="1">SUM(E30:BP30)</f>
        <v>0</v>
      </c>
      <c r="AB17" s="1">
        <f ca="1">SUM(E41:BP41)</f>
        <v>0</v>
      </c>
      <c r="AC17" s="1">
        <f ca="1">SUM(E52:BP52)</f>
        <v>0</v>
      </c>
      <c r="AD17" s="242">
        <f ca="1">RANK($K17,$K$17:$K$25)</f>
        <v>1</v>
      </c>
      <c r="AE17" s="30">
        <f ca="1">(J17+$H$65)*$F$65+H17*$F$66</f>
        <v>508009</v>
      </c>
      <c r="AF17" s="1">
        <f ca="1">RANK($AE17,$AE$17:$AE$25)</f>
        <v>2</v>
      </c>
      <c r="AG17" s="1">
        <f ca="1">RANK($W17,$W$17:$W$25)</f>
        <v>1</v>
      </c>
      <c r="AH17" s="244">
        <f ca="1">AD17+AG17/100+AF17/10000+(10-Y17)/1000000</f>
        <v>1.0102100000000001</v>
      </c>
      <c r="AI17" s="1"/>
    </row>
    <row r="18" spans="2:80" s="2" customFormat="1" x14ac:dyDescent="0.2">
      <c r="C18" s="2" t="str">
        <f t="shared" ref="C18:C25" ca="1" si="23">$Q65</f>
        <v>Manchester City</v>
      </c>
      <c r="D18" s="1">
        <f t="shared" ca="1" si="12"/>
        <v>3</v>
      </c>
      <c r="E18" s="1">
        <f t="shared" ca="1" si="12"/>
        <v>1</v>
      </c>
      <c r="F18" s="1">
        <f t="shared" ca="1" si="12"/>
        <v>0</v>
      </c>
      <c r="G18" s="1">
        <f t="shared" ca="1" si="12"/>
        <v>2</v>
      </c>
      <c r="H18" s="1">
        <f t="shared" ca="1" si="13"/>
        <v>4</v>
      </c>
      <c r="I18" s="1">
        <f t="shared" ca="1" si="13"/>
        <v>13</v>
      </c>
      <c r="J18" s="13">
        <f t="shared" ca="1" si="13"/>
        <v>-9</v>
      </c>
      <c r="K18" s="1">
        <f t="shared" ca="1" si="13"/>
        <v>3</v>
      </c>
      <c r="L18" s="30">
        <f t="shared" ca="1" si="14"/>
        <v>3491004</v>
      </c>
      <c r="M18" s="14">
        <f t="shared" ref="M18:M25" ca="1" si="24">IF($AI$15,COUNTIF($K$17:$K$25,K18),COUNTIF($L$17:$L$25,L18))</f>
        <v>1</v>
      </c>
      <c r="N18" s="14">
        <f t="array" aca="1" ref="N18" ca="1">IF($AI$15,SUM(($K$17:$K$25&gt;=K18)/COUNTIF($K$17:$K$25,$K$17:$K$25)),SUM(($L$17:$L$25&gt;=L18)/COUNTIF($L$17:$L$25,$L$17:$L$25)))</f>
        <v>3</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3.0108999999999999</v>
      </c>
      <c r="Y18" s="13">
        <f>'Finals 4'!$AF13</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3</v>
      </c>
      <c r="AE18" s="30">
        <f ca="1">(J18+$H$65)*$F$65+H18*$F$66</f>
        <v>491004</v>
      </c>
      <c r="AF18" s="1">
        <f t="shared" ref="AF18:AF25" ca="1" si="31">RANK($AE18,$AE$17:$AE$25)</f>
        <v>4</v>
      </c>
      <c r="AG18" s="1">
        <f t="shared" ref="AG18:AG25" ca="1" si="32">RANK($W18,$W$17:$W$25)</f>
        <v>1</v>
      </c>
      <c r="AH18" s="245">
        <f t="shared" ref="AH18:AH25" ca="1" si="33">AD18+AG18/100+AF18/10000+(10-Y18)/1000000</f>
        <v>3.0104099999999998</v>
      </c>
      <c r="AI18" s="1"/>
    </row>
    <row r="19" spans="2:80" s="2" customFormat="1" x14ac:dyDescent="0.2">
      <c r="C19" s="2" t="str">
        <f t="shared" ca="1" si="23"/>
        <v>Eintracht Frankfurt</v>
      </c>
      <c r="D19" s="1">
        <f t="shared" ca="1" si="12"/>
        <v>3</v>
      </c>
      <c r="E19" s="1">
        <f t="shared" ca="1" si="12"/>
        <v>0</v>
      </c>
      <c r="F19" s="1">
        <f t="shared" ca="1" si="12"/>
        <v>1</v>
      </c>
      <c r="G19" s="1">
        <f t="shared" ca="1" si="12"/>
        <v>2</v>
      </c>
      <c r="H19" s="1">
        <f t="shared" ca="1" si="13"/>
        <v>7</v>
      </c>
      <c r="I19" s="1">
        <f t="shared" ca="1" si="13"/>
        <v>14</v>
      </c>
      <c r="J19" s="13">
        <f t="shared" ca="1" si="13"/>
        <v>-7</v>
      </c>
      <c r="K19" s="1">
        <f t="shared" ca="1" si="13"/>
        <v>1</v>
      </c>
      <c r="L19" s="30">
        <f t="shared" ca="1" si="14"/>
        <v>1493007</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'Finals 4'!$AF14</f>
        <v>0</v>
      </c>
      <c r="Z19" s="1">
        <f t="shared" ca="1" si="26"/>
        <v>1.9</v>
      </c>
      <c r="AA19" s="1">
        <f t="shared" ca="1" si="27"/>
        <v>0</v>
      </c>
      <c r="AB19" s="1">
        <f t="shared" ca="1" si="28"/>
        <v>0</v>
      </c>
      <c r="AC19" s="1">
        <f t="shared" ca="1" si="29"/>
        <v>0</v>
      </c>
      <c r="AD19" s="242">
        <f t="shared" ca="1" si="30"/>
        <v>4</v>
      </c>
      <c r="AE19" s="30">
        <f ca="1">(J19+$H$65)*$F$65+H19*$F$66</f>
        <v>493007</v>
      </c>
      <c r="AF19" s="1">
        <f t="shared" ca="1" si="31"/>
        <v>3</v>
      </c>
      <c r="AG19" s="1">
        <f t="shared" ca="1" si="32"/>
        <v>1</v>
      </c>
      <c r="AH19" s="245">
        <f t="shared" ca="1" si="33"/>
        <v>4.0103099999999996</v>
      </c>
      <c r="AI19" s="1"/>
    </row>
    <row r="20" spans="2:80" s="2" customFormat="1" x14ac:dyDescent="0.2">
      <c r="C20" s="2" t="str">
        <f t="shared" ca="1" si="23"/>
        <v>AC Roma</v>
      </c>
      <c r="D20" s="1">
        <f t="shared" ca="1" si="12"/>
        <v>3</v>
      </c>
      <c r="E20" s="1">
        <f t="shared" ca="1" si="12"/>
        <v>2</v>
      </c>
      <c r="F20" s="1">
        <f t="shared" ca="1" si="12"/>
        <v>0</v>
      </c>
      <c r="G20" s="1">
        <f t="shared" ca="1" si="12"/>
        <v>1</v>
      </c>
      <c r="H20" s="1">
        <f t="shared" ca="1" si="13"/>
        <v>21</v>
      </c>
      <c r="I20" s="1">
        <f t="shared" ca="1" si="13"/>
        <v>13</v>
      </c>
      <c r="J20" s="13">
        <f t="shared" ca="1" si="13"/>
        <v>8</v>
      </c>
      <c r="K20" s="1">
        <f t="shared" ca="1" si="13"/>
        <v>6</v>
      </c>
      <c r="L20" s="30">
        <f t="shared" ca="1" si="14"/>
        <v>6508021</v>
      </c>
      <c r="M20" s="14">
        <f t="shared" ca="1" si="24"/>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'Finals 4'!$AF15</f>
        <v>0</v>
      </c>
      <c r="Z20" s="1">
        <f t="shared" ca="1" si="26"/>
        <v>1.9</v>
      </c>
      <c r="AA20" s="1">
        <f t="shared" ca="1" si="27"/>
        <v>0</v>
      </c>
      <c r="AB20" s="1">
        <f t="shared" ca="1" si="28"/>
        <v>0</v>
      </c>
      <c r="AC20" s="1">
        <f t="shared" ca="1" si="29"/>
        <v>0</v>
      </c>
      <c r="AD20" s="242">
        <f t="shared" ca="1" si="30"/>
        <v>2</v>
      </c>
      <c r="AE20" s="30">
        <f ca="1">(J20+$H$65)*$F$65+H20*$F$66</f>
        <v>508021</v>
      </c>
      <c r="AF20" s="1">
        <f t="shared" ca="1" si="31"/>
        <v>1</v>
      </c>
      <c r="AG20" s="1">
        <f t="shared" ca="1" si="32"/>
        <v>1</v>
      </c>
      <c r="AH20" s="245">
        <f t="shared" ca="1" si="33"/>
        <v>2.0101100000000001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 ca="1">$F$4</f>
        <v>FC Barcelona</v>
      </c>
      <c r="BT29" s="2" t="str">
        <f ca="1">$F$5</f>
        <v>Manchester City</v>
      </c>
      <c r="BU29" s="2" t="str">
        <f ca="1">$F$6</f>
        <v>Eintracht Frankfurt</v>
      </c>
      <c r="BV29" s="2" t="str">
        <f ca="1">$F$7</f>
        <v>AC Roma</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FC Barcelona</v>
      </c>
      <c r="BS30" s="7"/>
      <c r="BT30" s="8">
        <f t="shared" ref="BT30:CA32" ca="1" si="35">SUMIFS($X$64:$X$135,$V$64:$V$135,$BR30,$W$64:$W$135,BT$29)+SUMIFS($Y$64:$Y$135,$W$64:$W$135,$BR30,$V$64:$V$135,BT$29)</f>
        <v>4</v>
      </c>
      <c r="BU30" s="8">
        <f t="shared" ca="1" si="35"/>
        <v>0</v>
      </c>
      <c r="BV30" s="8">
        <f t="shared" ca="1" si="35"/>
        <v>5</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Manchester City</v>
      </c>
      <c r="BS31" s="9">
        <f t="shared" ref="BS31:BU38" ca="1" si="37">SUMIFS($X$64:$X$135,$V$64:$V$135,$BR31,$W$64:$W$135,BS$29)+SUMIFS($Y$64:$Y$135,$W$64:$W$135,$BR31,$V$64:$V$135,BS$29)</f>
        <v>0</v>
      </c>
      <c r="BT31" s="7"/>
      <c r="BU31" s="8">
        <f t="shared" ca="1" si="35"/>
        <v>2</v>
      </c>
      <c r="BV31" s="8">
        <f t="shared" ca="1" si="35"/>
        <v>2</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Eintracht Frankfurt</v>
      </c>
      <c r="BS32" s="9">
        <f t="shared" ca="1" si="37"/>
        <v>0</v>
      </c>
      <c r="BT32" s="9">
        <f t="shared" ca="1" si="37"/>
        <v>1</v>
      </c>
      <c r="BU32" s="7"/>
      <c r="BV32" s="8">
        <f t="shared" ca="1" si="35"/>
        <v>6</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AC Roma</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AC Roma</v>
      </c>
      <c r="BS33" s="9">
        <f t="shared" ca="1" si="37"/>
        <v>1</v>
      </c>
      <c r="BT33" s="9">
        <f t="shared" ca="1" si="37"/>
        <v>8</v>
      </c>
      <c r="BU33" s="9">
        <f t="shared" ca="1" si="37"/>
        <v>12</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Eintracht Frankfurt</v>
      </c>
      <c r="BV40" s="2" t="str">
        <f ca="1">$F$7</f>
        <v>AC Roma</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FC Barcelona</v>
      </c>
      <c r="BS41" s="7"/>
      <c r="BT41" s="8">
        <f ca="1">BT30-BS31</f>
        <v>4</v>
      </c>
      <c r="BU41" s="8">
        <f ca="1">BU30-BS32</f>
        <v>0</v>
      </c>
      <c r="BV41" s="8">
        <f ca="1">BV30-BS33</f>
        <v>4</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Manchester City</v>
      </c>
      <c r="BS42" s="9">
        <f ca="1">IF(BT41="","",-1*BT41)</f>
        <v>-4</v>
      </c>
      <c r="BT42" s="7"/>
      <c r="BU42" s="8">
        <f ca="1">BU31-BT32</f>
        <v>1</v>
      </c>
      <c r="BV42" s="8">
        <f ca="1">BV31-BT33</f>
        <v>-6</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Eintracht Frankfurt</v>
      </c>
      <c r="BS43" s="9">
        <f ca="1">IF(BU41="","",-1*BU41)</f>
        <v>0</v>
      </c>
      <c r="BT43" s="9">
        <f ca="1">IF(BU42="","",-1*BU42)</f>
        <v>-1</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AC Roma</v>
      </c>
      <c r="BS44" s="9">
        <f ca="1">IF(BV41="","",-1*BV41)</f>
        <v>-4</v>
      </c>
      <c r="BT44" s="9">
        <f ca="1">IF(BV42="","",-1*BV42)</f>
        <v>6</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Eintracht Frankfurt</v>
      </c>
      <c r="BV51" s="2" t="str">
        <f ca="1">$F$7</f>
        <v>AC Roma</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FC Barcelona</v>
      </c>
      <c r="BS52" s="7"/>
      <c r="BT52" s="8">
        <f t="shared" ref="BT52:CA58" ca="1" si="41">SUMIFS($AE$64:$AE$135,$V$64:$V$135,$BR52,$W$64:$W$135,BT$51)+SUMIFS($AF$64:$AF$135,$W$64:$W$135,$BR52,$V$64:$V$135,BT$51)</f>
        <v>3</v>
      </c>
      <c r="BU52" s="8">
        <f t="shared" ca="1" si="41"/>
        <v>1</v>
      </c>
      <c r="BV52" s="8">
        <f t="shared" ca="1" si="41"/>
        <v>3</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Manchester City</v>
      </c>
      <c r="BS53" s="9">
        <f t="shared" ref="BS53:BU60" ca="1" si="42">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Eintracht Frankfurt</v>
      </c>
      <c r="BS54" s="9">
        <f t="shared" ca="1" si="42"/>
        <v>1</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AC Roma</v>
      </c>
      <c r="BS55" s="9">
        <f t="shared" ca="1" si="42"/>
        <v>0</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IF('Finals 4'!$AE12="","",'Finals 4'!$AE12)</f>
        <v>FC Barcelona</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IF(AA64&gt;0,X64&amp;Language!$E$80&amp;Y64,"")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 ca="1">IF('Finals 4'!$AE13="","",'Finals 4'!$AE13)</f>
        <v>Manchester City</v>
      </c>
      <c r="U65" s="67" t="s">
        <v>8</v>
      </c>
      <c r="V65" s="41" t="str">
        <f ca="1">'Finals 4'!$I13</f>
        <v>VFB Essenheim</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3">V65&amp;W65</f>
        <v>VFB EssenheimSSV Wildbach</v>
      </c>
      <c r="AA65" s="13">
        <f t="shared" ref="AA65:AA88" ca="1" si="44">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IF('Finals 4'!$AE14="","",'Finals 4'!$AE14)</f>
        <v>Eintracht Frankfurt</v>
      </c>
      <c r="U66" s="67" t="s">
        <v>9</v>
      </c>
      <c r="V66" s="41" t="str">
        <f ca="1">'Finals 4'!$I14</f>
        <v>Knock Out Rangers</v>
      </c>
      <c r="W66" s="13" t="str">
        <f ca="1">'Finals 4'!$K14</f>
        <v>FC Grönlingen</v>
      </c>
      <c r="X66" s="13">
        <f ca="1">IF(AND('Finals 4'!$L14&lt;&gt;"",'Finals 4'!$N14&lt;&gt;"",$V66&lt;&gt;$W66,$V66&lt;&gt;"",$W66&lt;&gt;""),'Finals 4'!$L14,"")</f>
        <v>2</v>
      </c>
      <c r="Y66" s="36">
        <f ca="1">IF(AND('Finals 4'!$L14&lt;&gt;"",'Finals 4'!$N14&lt;&gt;"",$V66&lt;&gt;$W66,$V66&lt;&gt;"",$W66&lt;&gt;""),'Finals 4'!$N14,"")</f>
        <v>1</v>
      </c>
      <c r="Z66" s="35" t="str">
        <f t="shared" ca="1" si="43"/>
        <v>Knock Out RangersFC Grönlingen</v>
      </c>
      <c r="AA66" s="13">
        <f t="shared" ca="1" si="44"/>
        <v>1</v>
      </c>
      <c r="AB66" s="13" t="str">
        <f ca="1">IF(AA66&gt;0,X66&amp;Language!$E$80&amp;Y66,"")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4'!$AE15="","",'Finals 4'!$AE15)</f>
        <v>AC Roma</v>
      </c>
      <c r="U67" s="67" t="s">
        <v>10</v>
      </c>
      <c r="V67" s="41" t="str">
        <f ca="1">'Finals 4'!$I15</f>
        <v>Raslo Winners</v>
      </c>
      <c r="W67" s="13" t="str">
        <f ca="1">'Finals 4'!$K15</f>
        <v>Mainz 05</v>
      </c>
      <c r="X67" s="13">
        <f ca="1">IF(AND('Finals 4'!$L15&lt;&gt;"",'Finals 4'!$N15&lt;&gt;"",$V67&lt;&gt;$W67,$V67&lt;&gt;"",$W67&lt;&gt;""),'Finals 4'!$L15,"")</f>
        <v>1</v>
      </c>
      <c r="Y67" s="36">
        <f ca="1">IF(AND('Finals 4'!$L15&lt;&gt;"",'Finals 4'!$N15&lt;&gt;"",$V67&lt;&gt;$W67,$V67&lt;&gt;"",$W67&lt;&gt;""),'Finals 4'!$N15,"")</f>
        <v>1</v>
      </c>
      <c r="Z67" s="35" t="str">
        <f t="shared" ca="1" si="43"/>
        <v>Raslo WinnersMainz 05</v>
      </c>
      <c r="AA67" s="13">
        <f t="shared" ca="1" si="44"/>
        <v>1</v>
      </c>
      <c r="AB67" s="13" t="str">
        <f ca="1">IF(AA67&gt;0,X67&amp;Language!$E$80&amp;Y67,"")</f>
        <v>1-1</v>
      </c>
      <c r="AD67" s="144"/>
      <c r="AE67" s="149">
        <f ca="1">IF($AA67=0,"",IF($X67&gt;$Y67,Settings!$C$4,IF($X67=$Y67,1,0)))</f>
        <v>1</v>
      </c>
      <c r="AF67" s="144">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FC Barcelona</v>
      </c>
      <c r="W68" s="13" t="str">
        <f ca="1">'Finals 4'!$K16</f>
        <v>AC Roma</v>
      </c>
      <c r="X68" s="13">
        <f ca="1">IF(AND('Finals 4'!$L16&lt;&gt;"",'Finals 4'!$N16&lt;&gt;"",$V68&lt;&gt;$W68,$V68&lt;&gt;"",$W68&lt;&gt;""),'Finals 4'!$L16,"")</f>
        <v>5</v>
      </c>
      <c r="Y68" s="36">
        <f ca="1">IF(AND('Finals 4'!$L16&lt;&gt;"",'Finals 4'!$N16&lt;&gt;"",$V68&lt;&gt;$W68,$V68&lt;&gt;"",$W68&lt;&gt;""),'Finals 4'!$N16,"")</f>
        <v>1</v>
      </c>
      <c r="Z68" s="35" t="str">
        <f t="shared" ca="1" si="43"/>
        <v>FC BarcelonaAC Roma</v>
      </c>
      <c r="AA68" s="13">
        <f t="shared" ca="1" si="44"/>
        <v>1</v>
      </c>
      <c r="AB68" s="13" t="str">
        <f ca="1">IF(AA68&gt;0,X68&amp;Language!$E$80&amp;Y68,"")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VFL Ronsdorf</v>
      </c>
      <c r="W69" s="13" t="str">
        <f ca="1">'Finals 4'!$K17</f>
        <v>1. FC Riedwald</v>
      </c>
      <c r="X69" s="13">
        <f ca="1">IF(AND('Finals 4'!$L17&lt;&gt;"",'Finals 4'!$N17&lt;&gt;"",$V69&lt;&gt;$W69,$V69&lt;&gt;"",$W69&lt;&gt;""),'Finals 4'!$L17,"")</f>
        <v>2</v>
      </c>
      <c r="Y69" s="36">
        <f ca="1">IF(AND('Finals 4'!$L17&lt;&gt;"",'Finals 4'!$N17&lt;&gt;"",$V69&lt;&gt;$W69,$V69&lt;&gt;"",$W69&lt;&gt;""),'Finals 4'!$N17,"")</f>
        <v>0</v>
      </c>
      <c r="Z69" s="35" t="str">
        <f t="shared" ca="1" si="43"/>
        <v>VFL Ronsdorf1. FC Riedwald</v>
      </c>
      <c r="AA69" s="13">
        <f t="shared" ca="1" si="44"/>
        <v>1</v>
      </c>
      <c r="AB69" s="13" t="str">
        <f ca="1">IF(AA69&gt;0,X69&amp;Language!$E$80&amp;Y69,"")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Borussia Heine</v>
      </c>
      <c r="W70" s="13" t="str">
        <f ca="1">'Finals 4'!$K18</f>
        <v>Maibach 1822 eV</v>
      </c>
      <c r="X70" s="13">
        <f ca="1">IF(AND('Finals 4'!$L18&lt;&gt;"",'Finals 4'!$N18&lt;&gt;"",$V70&lt;&gt;$W70,$V70&lt;&gt;"",$W70&lt;&gt;""),'Finals 4'!$L18,"")</f>
        <v>1</v>
      </c>
      <c r="Y70" s="36">
        <f ca="1">IF(AND('Finals 4'!$L18&lt;&gt;"",'Finals 4'!$N18&lt;&gt;"",$V70&lt;&gt;$W70,$V70&lt;&gt;"",$W70&lt;&gt;""),'Finals 4'!$N18,"")</f>
        <v>2</v>
      </c>
      <c r="Z70" s="35" t="str">
        <f t="shared" ca="1" si="43"/>
        <v>Borussia HeineMaibach 1822 eV</v>
      </c>
      <c r="AA70" s="13">
        <f t="shared" ca="1" si="44"/>
        <v>1</v>
      </c>
      <c r="AB70" s="13" t="str">
        <f ca="1">IF(AA70&gt;0,X70&amp;Language!$E$80&amp;Y70,"")</f>
        <v>1-2</v>
      </c>
      <c r="AD70" s="144"/>
      <c r="AE70" s="149">
        <f ca="1">IF($AA70=0,"",IF($X70&gt;$Y70,Settings!$C$4,IF($X70=$Y70,1,0)))</f>
        <v>0</v>
      </c>
      <c r="AF70" s="144">
        <f ca="1">IF($AA70=0,"",IF($X70&lt;$Y70,Settings!$C$4,IF($X70=$Y70,1,0)))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Inter Mailand</v>
      </c>
      <c r="W71" s="13" t="str">
        <f ca="1">'Finals 4'!$K19</f>
        <v>Fun Kickers Oes</v>
      </c>
      <c r="X71" s="13">
        <f ca="1">IF(AND('Finals 4'!$L19&lt;&gt;"",'Finals 4'!$N19&lt;&gt;"",$V71&lt;&gt;$W71,$V71&lt;&gt;"",$W71&lt;&gt;""),'Finals 4'!$L19,"")</f>
        <v>5</v>
      </c>
      <c r="Y71" s="36">
        <f ca="1">IF(AND('Finals 4'!$L19&lt;&gt;"",'Finals 4'!$N19&lt;&gt;"",$V71&lt;&gt;$W71,$V71&lt;&gt;"",$W71&lt;&gt;""),'Finals 4'!$N19,"")</f>
        <v>3</v>
      </c>
      <c r="Z71" s="35" t="str">
        <f t="shared" ca="1" si="43"/>
        <v>Inter MailandFun Kickers Oes</v>
      </c>
      <c r="AA71" s="13">
        <f t="shared" ca="1" si="44"/>
        <v>1</v>
      </c>
      <c r="AB71" s="13" t="str">
        <f ca="1">IF(AA71&gt;0,X71&amp;Language!$E$80&amp;Y71,"")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Manchester CityEintracht Frankfurt</v>
      </c>
      <c r="AA72" s="13">
        <f t="shared" ca="1" si="44"/>
        <v>1</v>
      </c>
      <c r="AB72" s="13" t="str">
        <f ca="1">IF(AA72&gt;0,X72&amp;Language!$E$80&amp;Y72,"")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VFB Essenheim</v>
      </c>
      <c r="W73" s="13" t="str">
        <f ca="1">'Finals 4'!$K21</f>
        <v>1. FC Riedwald</v>
      </c>
      <c r="X73" s="13">
        <f ca="1">IF(AND('Finals 4'!$L21&lt;&gt;"",'Finals 4'!$N21&lt;&gt;"",$V73&lt;&gt;$W73,$V73&lt;&gt;"",$W73&lt;&gt;""),'Finals 4'!$L21,"")</f>
        <v>2</v>
      </c>
      <c r="Y73" s="36">
        <f ca="1">IF(AND('Finals 4'!$L21&lt;&gt;"",'Finals 4'!$N21&lt;&gt;"",$V73&lt;&gt;$W73,$V73&lt;&gt;"",$W73&lt;&gt;""),'Finals 4'!$N21,"")</f>
        <v>2</v>
      </c>
      <c r="Z73" s="35" t="str">
        <f t="shared" ca="1" si="43"/>
        <v>VFB Essenheim1. FC Riedwald</v>
      </c>
      <c r="AA73" s="13">
        <f t="shared" ca="1" si="44"/>
        <v>1</v>
      </c>
      <c r="AB73" s="13" t="str">
        <f ca="1">IF(AA73&gt;0,X73&amp;Language!$E$80&amp;Y73,"")</f>
        <v>2-2</v>
      </c>
      <c r="AD73" s="144"/>
      <c r="AE73" s="149">
        <f ca="1">IF($AA73=0,"",IF($X73&gt;$Y73,Settings!$C$4,IF($X73=$Y73,1,0)))</f>
        <v>1</v>
      </c>
      <c r="AF73" s="144">
        <f ca="1">IF($AA73=0,"",IF($X73&lt;$Y73,Settings!$C$4,IF($X73=$Y73,1,0)))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Knock Out Rangers</v>
      </c>
      <c r="W74" s="13" t="str">
        <f ca="1">'Finals 4'!$K22</f>
        <v>Maibach 1822 eV</v>
      </c>
      <c r="X74" s="13">
        <f ca="1">IF(AND('Finals 4'!$L22&lt;&gt;"",'Finals 4'!$N22&lt;&gt;"",$V74&lt;&gt;$W74,$V74&lt;&gt;"",$W74&lt;&gt;""),'Finals 4'!$L22,"")</f>
        <v>4</v>
      </c>
      <c r="Y74" s="36">
        <f ca="1">IF(AND('Finals 4'!$L22&lt;&gt;"",'Finals 4'!$N22&lt;&gt;"",$V74&lt;&gt;$W74,$V74&lt;&gt;"",$W74&lt;&gt;""),'Finals 4'!$N22,"")</f>
        <v>2</v>
      </c>
      <c r="Z74" s="35" t="str">
        <f ca="1">V74&amp;W74</f>
        <v>Knock Out RangersMaibach 1822 eV</v>
      </c>
      <c r="AA74" s="13">
        <f t="shared" ca="1" si="44"/>
        <v>1</v>
      </c>
      <c r="AB74" s="13" t="str">
        <f ca="1">IF(AA74&gt;0,X74&amp;Language!$E$80&amp;Y74,"")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Raslo Winners</v>
      </c>
      <c r="W75" s="13" t="str">
        <f ca="1">'Finals 4'!$K23</f>
        <v>Fun Kickers Oes</v>
      </c>
      <c r="X75" s="13">
        <f ca="1">IF(AND('Finals 4'!$L23&lt;&gt;"",'Finals 4'!$N23&lt;&gt;"",$V75&lt;&gt;$W75,$V75&lt;&gt;"",$W75&lt;&gt;""),'Finals 4'!$L23,"")</f>
        <v>4</v>
      </c>
      <c r="Y75" s="36">
        <f ca="1">IF(AND('Finals 4'!$L23&lt;&gt;"",'Finals 4'!$N23&lt;&gt;"",$V75&lt;&gt;$W75,$V75&lt;&gt;"",$W75&lt;&gt;""),'Finals 4'!$N23,"")</f>
        <v>3</v>
      </c>
      <c r="Z75" s="35" t="str">
        <f t="shared" ref="Z75:Z88" ca="1" si="45">V75&amp;W75</f>
        <v>Raslo WinnersFun Kickers Oes</v>
      </c>
      <c r="AA75" s="13">
        <f t="shared" ca="1" si="44"/>
        <v>1</v>
      </c>
      <c r="AB75" s="13" t="str">
        <f ca="1">IF(AA75&gt;0,X75&amp;Language!$E$80&amp;Y75,"")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FC Barcelona</v>
      </c>
      <c r="W76" s="13" t="str">
        <f ca="1">'Finals 4'!$K24</f>
        <v>Eintracht Frankfurt</v>
      </c>
      <c r="X76" s="13">
        <f ca="1">IF(AND('Finals 4'!$L24&lt;&gt;"",'Finals 4'!$N24&lt;&gt;"",$V76&lt;&gt;$W76,$V76&lt;&gt;"",$W76&lt;&gt;""),'Finals 4'!$L24,"")</f>
        <v>0</v>
      </c>
      <c r="Y76" s="36">
        <f ca="1">IF(AND('Finals 4'!$L24&lt;&gt;"",'Finals 4'!$N24&lt;&gt;"",$V76&lt;&gt;$W76,$V76&lt;&gt;"",$W76&lt;&gt;""),'Finals 4'!$N24,"")</f>
        <v>0</v>
      </c>
      <c r="Z76" s="35" t="str">
        <f t="shared" ca="1" si="45"/>
        <v>FC BarcelonaEintracht Frankfurt</v>
      </c>
      <c r="AA76" s="13">
        <f t="shared" ca="1" si="44"/>
        <v>1</v>
      </c>
      <c r="AB76" s="13" t="str">
        <f ca="1">IF(AA76&gt;0,X76&amp;Language!$E$80&amp;Y76,"")</f>
        <v>0-0</v>
      </c>
      <c r="AD76" s="144"/>
      <c r="AE76" s="149">
        <f ca="1">IF($AA76=0,"",IF($X76&gt;$Y76,Settings!$C$4,IF($X76=$Y76,1,0)))</f>
        <v>1</v>
      </c>
      <c r="AF76" s="144">
        <f ca="1">IF($AA76=0,"",IF($X76&lt;$Y76,Settings!$C$4,IF($X76=$Y76,1,0)))</f>
        <v>1</v>
      </c>
    </row>
    <row r="77" spans="2:43" s="2" customFormat="1" x14ac:dyDescent="0.2">
      <c r="B77" s="4"/>
      <c r="C77" s="4"/>
      <c r="D77" s="4"/>
      <c r="E77" s="4"/>
      <c r="F77" s="13"/>
      <c r="G77" s="13"/>
      <c r="H77" s="13"/>
      <c r="I77" s="13"/>
      <c r="J77" s="13"/>
      <c r="K77" s="13"/>
      <c r="L77" s="13"/>
      <c r="M77" s="13"/>
      <c r="U77" s="67" t="s">
        <v>29</v>
      </c>
      <c r="V77" s="41" t="str">
        <f ca="1">'Finals 4'!$I25</f>
        <v>VFL Ronsdorf</v>
      </c>
      <c r="W77" s="13" t="str">
        <f ca="1">'Finals 4'!$K25</f>
        <v>SSV Wildbach</v>
      </c>
      <c r="X77" s="13">
        <f ca="1">IF(AND('Finals 4'!$L25&lt;&gt;"",'Finals 4'!$N25&lt;&gt;"",$V77&lt;&gt;$W77,$V77&lt;&gt;"",$W77&lt;&gt;""),'Finals 4'!$L25,"")</f>
        <v>1</v>
      </c>
      <c r="Y77" s="36">
        <f ca="1">IF(AND('Finals 4'!$L25&lt;&gt;"",'Finals 4'!$N25&lt;&gt;"",$V77&lt;&gt;$W77,$V77&lt;&gt;"",$W77&lt;&gt;""),'Finals 4'!$N25,"")</f>
        <v>5</v>
      </c>
      <c r="Z77" s="35" t="str">
        <f t="shared" ca="1" si="45"/>
        <v>VFL RonsdorfSSV Wildbach</v>
      </c>
      <c r="AA77" s="13">
        <f t="shared" ca="1" si="44"/>
        <v>1</v>
      </c>
      <c r="AB77" s="13" t="str">
        <f ca="1">IF(AA77&gt;0,X77&amp;Language!$E$80&amp;Y77,"")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Borussia Heine</v>
      </c>
      <c r="W78" s="13" t="str">
        <f ca="1">'Finals 4'!$K26</f>
        <v>FC Grönlingen</v>
      </c>
      <c r="X78" s="13">
        <f ca="1">IF(AND('Finals 4'!$L26&lt;&gt;"",'Finals 4'!$N26&lt;&gt;"",$V78&lt;&gt;$W78,$V78&lt;&gt;"",$W78&lt;&gt;""),'Finals 4'!$L26,"")</f>
        <v>4</v>
      </c>
      <c r="Y78" s="36">
        <f ca="1">IF(AND('Finals 4'!$L26&lt;&gt;"",'Finals 4'!$N26&lt;&gt;"",$V78&lt;&gt;$W78,$V78&lt;&gt;"",$W78&lt;&gt;""),'Finals 4'!$N26,"")</f>
        <v>4</v>
      </c>
      <c r="Z78" s="35" t="str">
        <f t="shared" ca="1" si="45"/>
        <v>Borussia HeineFC Grönlingen</v>
      </c>
      <c r="AA78" s="13">
        <f t="shared" ca="1" si="44"/>
        <v>1</v>
      </c>
      <c r="AB78" s="13" t="str">
        <f ca="1">IF(AA78&gt;0,X78&amp;Language!$E$80&amp;Y78,"")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Inter Mailand</v>
      </c>
      <c r="W79" s="13" t="str">
        <f ca="1">'Finals 4'!$K27</f>
        <v>Mainz 05</v>
      </c>
      <c r="X79" s="13">
        <f ca="1">IF(AND('Finals 4'!$L27&lt;&gt;"",'Finals 4'!$N27&lt;&gt;"",$V79&lt;&gt;$W79,$V79&lt;&gt;"",$W79&lt;&gt;""),'Finals 4'!$L27,"")</f>
        <v>0</v>
      </c>
      <c r="Y79" s="36">
        <f ca="1">IF(AND('Finals 4'!$L27&lt;&gt;"",'Finals 4'!$N27&lt;&gt;"",$V79&lt;&gt;$W79,$V79&lt;&gt;"",$W79&lt;&gt;""),'Finals 4'!$N27,"")</f>
        <v>7</v>
      </c>
      <c r="Z79" s="35" t="str">
        <f t="shared" ca="1" si="45"/>
        <v>Inter MailandMainz 05</v>
      </c>
      <c r="AA79" s="13">
        <f t="shared" ca="1" si="44"/>
        <v>1</v>
      </c>
      <c r="AB79" s="13" t="str">
        <f ca="1">IF(AA79&gt;0,X79&amp;Language!$E$80&amp;Y79,"")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Manchester City</v>
      </c>
      <c r="W80" s="13" t="str">
        <f ca="1">'Finals 4'!$K28</f>
        <v>AC Roma</v>
      </c>
      <c r="X80" s="13">
        <f ca="1">IF(AND('Finals 4'!$L28&lt;&gt;"",'Finals 4'!$N28&lt;&gt;"",$V80&lt;&gt;$W80,$V80&lt;&gt;"",$W80&lt;&gt;""),'Finals 4'!$L28,"")</f>
        <v>2</v>
      </c>
      <c r="Y80" s="36">
        <f ca="1">IF(AND('Finals 4'!$L28&lt;&gt;"",'Finals 4'!$N28&lt;&gt;"",$V80&lt;&gt;$W80,$V80&lt;&gt;"",$W80&lt;&gt;""),'Finals 4'!$N28,"")</f>
        <v>8</v>
      </c>
      <c r="Z80" s="35" t="str">
        <f t="shared" ca="1" si="45"/>
        <v>Manchester CityAC Roma</v>
      </c>
      <c r="AA80" s="13">
        <f t="shared" ca="1" si="44"/>
        <v>1</v>
      </c>
      <c r="AB80" s="13" t="str">
        <f ca="1">IF(AA80&gt;0,X80&amp;Language!$E$80&amp;Y80,"")</f>
        <v>2-8</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1. FC Riedwald</v>
      </c>
      <c r="W81" s="13" t="str">
        <f ca="1">'Finals 4'!$K29</f>
        <v>SSV Wildbach</v>
      </c>
      <c r="X81" s="13">
        <f ca="1">IF(AND('Finals 4'!$L29&lt;&gt;"",'Finals 4'!$N29&lt;&gt;"",$V81&lt;&gt;$W81,$V81&lt;&gt;"",$W81&lt;&gt;""),'Finals 4'!$L29,"")</f>
        <v>3</v>
      </c>
      <c r="Y81" s="36">
        <f ca="1">IF(AND('Finals 4'!$L29&lt;&gt;"",'Finals 4'!$N29&lt;&gt;"",$V81&lt;&gt;$W81,$V81&lt;&gt;"",$W81&lt;&gt;""),'Finals 4'!$N29,"")</f>
        <v>9</v>
      </c>
      <c r="Z81" s="35" t="str">
        <f t="shared" ca="1" si="45"/>
        <v>1. FC RiedwaldSSV Wildbach</v>
      </c>
      <c r="AA81" s="13">
        <f t="shared" ca="1" si="44"/>
        <v>1</v>
      </c>
      <c r="AB81" s="13" t="str">
        <f ca="1">IF(AA81&gt;0,X81&amp;Language!$E$80&amp;Y81,"")</f>
        <v>3-9</v>
      </c>
      <c r="AC81" s="4"/>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'Finals 4'!$I30</f>
        <v>Maibach 1822 eV</v>
      </c>
      <c r="W82" s="13" t="str">
        <f ca="1">'Finals 4'!$K30</f>
        <v>FC Grönlingen</v>
      </c>
      <c r="X82" s="13">
        <f ca="1">IF(AND('Finals 4'!$L30&lt;&gt;"",'Finals 4'!$N30&lt;&gt;"",$V82&lt;&gt;$W82,$V82&lt;&gt;"",$W82&lt;&gt;""),'Finals 4'!$L30,"")</f>
        <v>4</v>
      </c>
      <c r="Y82" s="36">
        <f ca="1">IF(AND('Finals 4'!$L30&lt;&gt;"",'Finals 4'!$N30&lt;&gt;"",$V82&lt;&gt;$W82,$V82&lt;&gt;"",$W82&lt;&gt;""),'Finals 4'!$N30,"")</f>
        <v>10</v>
      </c>
      <c r="Z82" s="35" t="str">
        <f t="shared" ca="1" si="45"/>
        <v>Maibach 1822 eVFC Grönlingen</v>
      </c>
      <c r="AA82" s="13">
        <f t="shared" ca="1" si="44"/>
        <v>1</v>
      </c>
      <c r="AB82" s="13" t="str">
        <f ca="1">IF(AA82&gt;0,X82&amp;Language!$E$80&amp;Y82,"")</f>
        <v>4-10</v>
      </c>
      <c r="AC82" s="4"/>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Fun Kickers Oes</v>
      </c>
      <c r="W83" s="13" t="str">
        <f ca="1">'Finals 4'!$K31</f>
        <v>Mainz 05</v>
      </c>
      <c r="X83" s="13">
        <f ca="1">IF(AND('Finals 4'!$L31&lt;&gt;"",'Finals 4'!$N31&lt;&gt;"",$V83&lt;&gt;$W83,$V83&lt;&gt;"",$W83&lt;&gt;""),'Finals 4'!$L31,"")</f>
        <v>5</v>
      </c>
      <c r="Y83" s="36">
        <f ca="1">IF(AND('Finals 4'!$L31&lt;&gt;"",'Finals 4'!$N31&lt;&gt;"",$V83&lt;&gt;$W83,$V83&lt;&gt;"",$W83&lt;&gt;""),'Finals 4'!$N31,"")</f>
        <v>11</v>
      </c>
      <c r="Z83" s="35" t="str">
        <f t="shared" ca="1" si="45"/>
        <v>Fun Kickers OesMainz 05</v>
      </c>
      <c r="AA83" s="13">
        <f t="shared" ca="1" si="44"/>
        <v>1</v>
      </c>
      <c r="AB83" s="13" t="str">
        <f ca="1">IF(AA83&gt;0,X83&amp;Language!$E$80&amp;Y83,"")</f>
        <v>5-11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'Finals 4'!$I32</f>
        <v>Eintracht Frankfurt</v>
      </c>
      <c r="W84" s="13" t="str">
        <f ca="1">'Finals 4'!$K32</f>
        <v>AC Roma</v>
      </c>
      <c r="X84" s="13">
        <f ca="1">IF(AND('Finals 4'!$L32&lt;&gt;"",'Finals 4'!$N32&lt;&gt;"",$V84&lt;&gt;$W84,$V84&lt;&gt;"",$W84&lt;&gt;""),'Finals 4'!$L32,"")</f>
        <v>6</v>
      </c>
      <c r="Y84" s="36">
        <f ca="1">IF(AND('Finals 4'!$L32&lt;&gt;"",'Finals 4'!$N32&lt;&gt;"",$V84&lt;&gt;$W84,$V84&lt;&gt;"",$W84&lt;&gt;""),'Finals 4'!$N32,"")</f>
        <v>12</v>
      </c>
      <c r="Z84" s="35" t="str">
        <f t="shared" ca="1" si="45"/>
        <v>Eintracht FrankfurtAC Roma</v>
      </c>
      <c r="AA84" s="13">
        <f t="shared" ca="1" si="44"/>
        <v>1</v>
      </c>
      <c r="AB84" s="13" t="str">
        <f ca="1">IF(AA84&gt;0,X84&amp;Language!$E$80&amp;Y84,"")</f>
        <v>6-12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VFL Ronsdorf</v>
      </c>
      <c r="X85" s="13">
        <f ca="1">IF(AND('Finals 4'!$L33&lt;&gt;"",'Finals 4'!$N33&lt;&gt;"",$V85&lt;&gt;$W85,$V85&lt;&gt;"",$W85&lt;&gt;""),'Finals 4'!$L33,"")</f>
        <v>7</v>
      </c>
      <c r="Y85" s="36">
        <f ca="1">IF(AND('Finals 4'!$L33&lt;&gt;"",'Finals 4'!$N33&lt;&gt;"",$V85&lt;&gt;$W85,$V85&lt;&gt;"",$W85&lt;&gt;""),'Finals 4'!$N33,"")</f>
        <v>13</v>
      </c>
      <c r="Z85" s="35" t="str">
        <f t="shared" ca="1" si="45"/>
        <v>VFB EssenheimVFL Ronsdorf</v>
      </c>
      <c r="AA85" s="13">
        <f t="shared" ca="1" si="44"/>
        <v>1</v>
      </c>
      <c r="AB85" s="13" t="str">
        <f ca="1">IF(AA85&gt;0,X85&amp;Language!$E$80&amp;Y85,"")</f>
        <v>7-13</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Knock Out Rangers</v>
      </c>
      <c r="W86" s="13" t="str">
        <f ca="1">'Finals 4'!$K34</f>
        <v>Borussia Heine</v>
      </c>
      <c r="X86" s="13">
        <f ca="1">IF(AND('Finals 4'!$L34&lt;&gt;"",'Finals 4'!$N34&lt;&gt;"",$V86&lt;&gt;$W86,$V86&lt;&gt;"",$W86&lt;&gt;""),'Finals 4'!$L34,"")</f>
        <v>8</v>
      </c>
      <c r="Y86" s="36">
        <f ca="1">IF(AND('Finals 4'!$L34&lt;&gt;"",'Finals 4'!$N34&lt;&gt;"",$V86&lt;&gt;$W86,$V86&lt;&gt;"",$W86&lt;&gt;""),'Finals 4'!$N34,"")</f>
        <v>14</v>
      </c>
      <c r="Z86" s="35" t="str">
        <f t="shared" ca="1" si="45"/>
        <v>Knock Out RangersBorussia Heine</v>
      </c>
      <c r="AA86" s="13">
        <f t="shared" ca="1" si="44"/>
        <v>1</v>
      </c>
      <c r="AB86" s="13" t="str">
        <f ca="1">IF(AA86&gt;0,X86&amp;Language!$E$80&amp;Y86,"")</f>
        <v>8-14</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'Finals 4'!$I35</f>
        <v>Raslo Winners</v>
      </c>
      <c r="W87" s="13" t="str">
        <f ca="1">'Finals 4'!$K35</f>
        <v>Inter Mailand</v>
      </c>
      <c r="X87" s="13">
        <f ca="1">IF(AND('Finals 4'!$L35&lt;&gt;"",'Finals 4'!$N35&lt;&gt;"",$V87&lt;&gt;$W87,$V87&lt;&gt;"",$W87&lt;&gt;""),'Finals 4'!$L35,"")</f>
        <v>9</v>
      </c>
      <c r="Y87" s="36">
        <f ca="1">IF(AND('Finals 4'!$L35&lt;&gt;"",'Finals 4'!$N35&lt;&gt;"",$V87&lt;&gt;$W87,$V87&lt;&gt;"",$W87&lt;&gt;""),'Finals 4'!$N35,"")</f>
        <v>15</v>
      </c>
      <c r="Z87" s="35" t="str">
        <f t="shared" ca="1" si="45"/>
        <v>Raslo WinnersInter Mailand</v>
      </c>
      <c r="AA87" s="13">
        <f t="shared" ca="1" si="44"/>
        <v>1</v>
      </c>
      <c r="AB87" s="13" t="str">
        <f ca="1">IF(AA87&gt;0,X87&amp;Language!$E$80&amp;Y87,"")</f>
        <v>9-15</v>
      </c>
      <c r="AD87" s="144"/>
      <c r="AE87" s="149">
        <f ca="1">IF($AA87=0,"",IF($X87&gt;$Y87,Settings!$C$4,IF($X87=$Y87,1,0)))</f>
        <v>0</v>
      </c>
      <c r="AF87" s="144">
        <f ca="1">IF($AA87=0,"",IF($X87&lt;$Y87,Settings!$C$4,IF($X87=$Y87,1,0)))</f>
        <v>3</v>
      </c>
    </row>
    <row r="88" spans="2:32" s="2" customFormat="1" x14ac:dyDescent="0.2">
      <c r="B88" s="4"/>
      <c r="C88" s="4"/>
      <c r="D88" s="4"/>
      <c r="E88" s="4"/>
      <c r="F88" s="13"/>
      <c r="G88" s="13"/>
      <c r="H88" s="13"/>
      <c r="I88" s="13"/>
      <c r="J88" s="13"/>
      <c r="K88" s="13"/>
      <c r="L88" s="13"/>
      <c r="M88" s="13"/>
      <c r="U88" s="67" t="s">
        <v>40</v>
      </c>
      <c r="V88" s="41" t="str">
        <f ca="1">'Finals 4'!$I36</f>
        <v>FC Barcelona</v>
      </c>
      <c r="W88" s="13" t="str">
        <f ca="1">'Finals 4'!$K36</f>
        <v>Manchester City</v>
      </c>
      <c r="X88" s="13">
        <f ca="1">IF(AND('Finals 4'!$L36&lt;&gt;"",'Finals 4'!$N36&lt;&gt;"",$V88&lt;&gt;$W88,$V88&lt;&gt;"",$W88&lt;&gt;""),'Finals 4'!$L36,"")</f>
        <v>4</v>
      </c>
      <c r="Y88" s="36">
        <f ca="1">IF(AND('Finals 4'!$L36&lt;&gt;"",'Finals 4'!$N36&lt;&gt;"",$V88&lt;&gt;$W88,$V88&lt;&gt;"",$W88&lt;&gt;""),'Finals 4'!$N36,"")</f>
        <v>0</v>
      </c>
      <c r="Z88" s="35" t="str">
        <f t="shared" ca="1" si="45"/>
        <v>FC BarcelonaManchester City</v>
      </c>
      <c r="AA88" s="13">
        <f t="shared" ca="1" si="44"/>
        <v>1</v>
      </c>
      <c r="AB88" s="13" t="str">
        <f ca="1">IF(AA88&gt;0,X88&amp;Language!$E$80&amp;Y88,"")</f>
        <v>4-0</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IF(AA89&gt;0,X89&amp;Language!$E$80&amp;Y89,"")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IF(AA90&gt;0,X90&amp;Language!$E$80&amp;Y90,"")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IF(AA91&gt;0,X91&amp;Language!$E$80&amp;Y91,"")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IF(AA92&gt;0,X92&amp;Language!$E$80&amp;Y92,"")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IF(AA93&gt;0,X93&amp;Language!$E$80&amp;Y93,"")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IF(AA136&gt;0,Y64&amp;Language!$E$80&amp;X64,"")</f>
        <v/>
      </c>
      <c r="AD136" s="144"/>
    </row>
    <row r="137" spans="2:32" x14ac:dyDescent="0.2">
      <c r="Y137" s="67" t="s">
        <v>8</v>
      </c>
      <c r="Z137" s="35" t="str">
        <f ca="1">W65&amp;V65</f>
        <v>SSV WildbachVFB Essenheim</v>
      </c>
      <c r="AA137" s="13">
        <f t="shared" ref="AA137:AA200" ca="1" si="49">AA65</f>
        <v>1</v>
      </c>
      <c r="AB137" s="13" t="str">
        <f ca="1">IF(AA137&gt;0,Y65&amp;Language!$E$80&amp;X65,"")</f>
        <v>4-2</v>
      </c>
      <c r="AC137" s="2"/>
      <c r="AD137" s="144"/>
    </row>
    <row r="138" spans="2:32" x14ac:dyDescent="0.2">
      <c r="Y138" s="67" t="s">
        <v>9</v>
      </c>
      <c r="Z138" s="35" t="str">
        <f t="shared" ref="Z138:Z201" ca="1" si="50">W66&amp;V66</f>
        <v>FC GrönlingenKnock Out Rangers</v>
      </c>
      <c r="AA138" s="13">
        <f t="shared" ca="1" si="49"/>
        <v>1</v>
      </c>
      <c r="AB138" s="13" t="str">
        <f ca="1">IF(AA138&gt;0,Y66&amp;Language!$E$80&amp;X66,"")</f>
        <v>1-2</v>
      </c>
      <c r="AC138" s="2"/>
      <c r="AD138" s="144"/>
    </row>
    <row r="139" spans="2:32" x14ac:dyDescent="0.2">
      <c r="Y139" s="67" t="s">
        <v>10</v>
      </c>
      <c r="Z139" s="35" t="str">
        <f t="shared" ca="1" si="50"/>
        <v>Mainz 05Raslo Winners</v>
      </c>
      <c r="AA139" s="13">
        <f t="shared" ca="1" si="49"/>
        <v>1</v>
      </c>
      <c r="AB139" s="13" t="str">
        <f ca="1">IF(AA139&gt;0,Y67&amp;Language!$E$80&amp;X67,"")</f>
        <v>1-1</v>
      </c>
      <c r="AC139" s="2"/>
      <c r="AD139" s="144"/>
    </row>
    <row r="140" spans="2:32" x14ac:dyDescent="0.2">
      <c r="Y140" s="67" t="s">
        <v>11</v>
      </c>
      <c r="Z140" s="35" t="str">
        <f t="shared" ca="1" si="50"/>
        <v>AC RomaFC Barcelona</v>
      </c>
      <c r="AA140" s="13">
        <f t="shared" ca="1" si="49"/>
        <v>1</v>
      </c>
      <c r="AB140" s="13" t="str">
        <f ca="1">IF(AA140&gt;0,Y68&amp;Language!$E$80&amp;X68,"")</f>
        <v>1-5</v>
      </c>
      <c r="AC140" s="2"/>
      <c r="AD140" s="144"/>
    </row>
    <row r="141" spans="2:32" x14ac:dyDescent="0.2">
      <c r="Y141" s="67" t="s">
        <v>12</v>
      </c>
      <c r="Z141" s="35" t="str">
        <f t="shared" ca="1" si="50"/>
        <v>1. FC RiedwaldVFL Ronsdorf</v>
      </c>
      <c r="AA141" s="13">
        <f t="shared" ca="1" si="49"/>
        <v>1</v>
      </c>
      <c r="AB141" s="13" t="str">
        <f ca="1">IF(AA141&gt;0,Y69&amp;Language!$E$80&amp;X69,"")</f>
        <v>0-2</v>
      </c>
      <c r="AC141" s="2"/>
      <c r="AD141" s="144"/>
    </row>
    <row r="142" spans="2:32" x14ac:dyDescent="0.2">
      <c r="Y142" s="67" t="s">
        <v>17</v>
      </c>
      <c r="Z142" s="35" t="str">
        <f t="shared" ca="1" si="50"/>
        <v>Maibach 1822 eVBorussia Heine</v>
      </c>
      <c r="AA142" s="13">
        <f t="shared" ca="1" si="49"/>
        <v>1</v>
      </c>
      <c r="AB142" s="13" t="str">
        <f ca="1">IF(AA142&gt;0,Y70&amp;Language!$E$80&amp;X70,"")</f>
        <v>2-1</v>
      </c>
      <c r="AC142" s="2"/>
      <c r="AD142" s="144"/>
    </row>
    <row r="143" spans="2:32" x14ac:dyDescent="0.2">
      <c r="Y143" s="67" t="s">
        <v>18</v>
      </c>
      <c r="Z143" s="35" t="str">
        <f t="shared" ca="1" si="50"/>
        <v>Fun Kickers OesInter Mailand</v>
      </c>
      <c r="AA143" s="13">
        <f t="shared" ca="1" si="49"/>
        <v>1</v>
      </c>
      <c r="AB143" s="13" t="str">
        <f ca="1">IF(AA143&gt;0,Y71&amp;Language!$E$80&amp;X71,"")</f>
        <v>3-5</v>
      </c>
      <c r="AC143" s="2"/>
      <c r="AD143" s="144"/>
    </row>
    <row r="144" spans="2:32" x14ac:dyDescent="0.2">
      <c r="Y144" s="67" t="s">
        <v>19</v>
      </c>
      <c r="Z144" s="35" t="str">
        <f t="shared" ca="1" si="50"/>
        <v>Eintracht FrankfurtManchester City</v>
      </c>
      <c r="AA144" s="13">
        <f t="shared" ca="1" si="49"/>
        <v>1</v>
      </c>
      <c r="AB144" s="13" t="str">
        <f ca="1">IF(AA144&gt;0,Y72&amp;Language!$E$80&amp;X72,"")</f>
        <v>1-2</v>
      </c>
      <c r="AC144" s="2"/>
      <c r="AD144" s="144"/>
    </row>
    <row r="145" spans="25:30" x14ac:dyDescent="0.2">
      <c r="Y145" s="67" t="s">
        <v>25</v>
      </c>
      <c r="Z145" s="35" t="str">
        <f t="shared" ca="1" si="50"/>
        <v>1. FC RiedwaldVFB Essenheim</v>
      </c>
      <c r="AA145" s="13">
        <f t="shared" ca="1" si="49"/>
        <v>1</v>
      </c>
      <c r="AB145" s="13" t="str">
        <f ca="1">IF(AA145&gt;0,Y73&amp;Language!$E$80&amp;X73,"")</f>
        <v>2-2</v>
      </c>
      <c r="AC145" s="2"/>
      <c r="AD145" s="144"/>
    </row>
    <row r="146" spans="25:30" x14ac:dyDescent="0.2">
      <c r="Y146" s="67" t="s">
        <v>26</v>
      </c>
      <c r="Z146" s="35" t="str">
        <f t="shared" ca="1" si="50"/>
        <v>Maibach 1822 eVKnock Out Rangers</v>
      </c>
      <c r="AA146" s="13">
        <f t="shared" ca="1" si="49"/>
        <v>1</v>
      </c>
      <c r="AB146" s="13" t="str">
        <f ca="1">IF(AA146&gt;0,Y74&amp;Language!$E$80&amp;X74,"")</f>
        <v>2-4</v>
      </c>
      <c r="AC146" s="2"/>
      <c r="AD146" s="144"/>
    </row>
    <row r="147" spans="25:30" x14ac:dyDescent="0.2">
      <c r="Y147" s="67" t="s">
        <v>27</v>
      </c>
      <c r="Z147" s="35" t="str">
        <f t="shared" ca="1" si="50"/>
        <v>Fun Kickers OesRaslo Winners</v>
      </c>
      <c r="AA147" s="13">
        <f t="shared" ca="1" si="49"/>
        <v>1</v>
      </c>
      <c r="AB147" s="13" t="str">
        <f ca="1">IF(AA147&gt;0,Y75&amp;Language!$E$80&amp;X75,"")</f>
        <v>3-4</v>
      </c>
      <c r="AC147" s="2"/>
      <c r="AD147" s="144"/>
    </row>
    <row r="148" spans="25:30" x14ac:dyDescent="0.2">
      <c r="Y148" s="67" t="s">
        <v>28</v>
      </c>
      <c r="Z148" s="35" t="str">
        <f t="shared" ca="1" si="50"/>
        <v>Eintracht FrankfurtFC Barcelona</v>
      </c>
      <c r="AA148" s="13">
        <f t="shared" ca="1" si="49"/>
        <v>1</v>
      </c>
      <c r="AB148" s="13" t="str">
        <f ca="1">IF(AA148&gt;0,Y76&amp;Language!$E$80&amp;X76,"")</f>
        <v>0-0</v>
      </c>
      <c r="AC148" s="2"/>
      <c r="AD148" s="144"/>
    </row>
    <row r="149" spans="25:30" x14ac:dyDescent="0.2">
      <c r="Y149" s="67" t="s">
        <v>29</v>
      </c>
      <c r="Z149" s="35" t="str">
        <f t="shared" ca="1" si="50"/>
        <v>SSV WildbachVFL Ronsdorf</v>
      </c>
      <c r="AA149" s="13">
        <f t="shared" ca="1" si="49"/>
        <v>1</v>
      </c>
      <c r="AB149" s="13" t="str">
        <f ca="1">IF(AA149&gt;0,Y77&amp;Language!$E$80&amp;X77,"")</f>
        <v>5-1</v>
      </c>
      <c r="AC149" s="2"/>
      <c r="AD149" s="144"/>
    </row>
    <row r="150" spans="25:30" x14ac:dyDescent="0.2">
      <c r="Y150" s="67" t="s">
        <v>30</v>
      </c>
      <c r="Z150" s="35" t="str">
        <f t="shared" ca="1" si="50"/>
        <v>FC GrönlingenBorussia Heine</v>
      </c>
      <c r="AA150" s="13">
        <f t="shared" ca="1" si="49"/>
        <v>1</v>
      </c>
      <c r="AB150" s="13" t="str">
        <f ca="1">IF(AA150&gt;0,Y78&amp;Language!$E$80&amp;X78,"")</f>
        <v>4-4</v>
      </c>
      <c r="AC150" s="2"/>
      <c r="AD150" s="144"/>
    </row>
    <row r="151" spans="25:30" x14ac:dyDescent="0.2">
      <c r="Y151" s="67" t="s">
        <v>31</v>
      </c>
      <c r="Z151" s="35" t="str">
        <f t="shared" ca="1" si="50"/>
        <v>Mainz 05Inter Mailand</v>
      </c>
      <c r="AA151" s="13">
        <f t="shared" ca="1" si="49"/>
        <v>1</v>
      </c>
      <c r="AB151" s="13" t="str">
        <f ca="1">IF(AA151&gt;0,Y79&amp;Language!$E$80&amp;X79,"")</f>
        <v>7-0</v>
      </c>
      <c r="AC151" s="2"/>
      <c r="AD151" s="144"/>
    </row>
    <row r="152" spans="25:30" x14ac:dyDescent="0.2">
      <c r="Y152" s="67" t="s">
        <v>32</v>
      </c>
      <c r="Z152" s="35" t="str">
        <f t="shared" ca="1" si="50"/>
        <v>AC RomaManchester City</v>
      </c>
      <c r="AA152" s="13">
        <f t="shared" ca="1" si="49"/>
        <v>1</v>
      </c>
      <c r="AB152" s="13" t="str">
        <f ca="1">IF(AA152&gt;0,Y80&amp;Language!$E$80&amp;X80,"")</f>
        <v>8-2</v>
      </c>
      <c r="AC152" s="2"/>
      <c r="AD152" s="144"/>
    </row>
    <row r="153" spans="25:30" x14ac:dyDescent="0.2">
      <c r="Y153" s="67" t="s">
        <v>33</v>
      </c>
      <c r="Z153" s="35" t="str">
        <f t="shared" ca="1" si="50"/>
        <v>SSV Wildbach1. FC Riedwald</v>
      </c>
      <c r="AA153" s="13">
        <f t="shared" ca="1" si="49"/>
        <v>1</v>
      </c>
      <c r="AB153" s="13" t="str">
        <f ca="1">IF(AA153&gt;0,Y81&amp;Language!$E$80&amp;X81,"")</f>
        <v>9-3</v>
      </c>
      <c r="AC153" s="2"/>
      <c r="AD153" s="144"/>
    </row>
    <row r="154" spans="25:30" x14ac:dyDescent="0.2">
      <c r="Y154" s="67" t="s">
        <v>34</v>
      </c>
      <c r="Z154" s="35" t="str">
        <f t="shared" ca="1" si="50"/>
        <v>FC GrönlingenMaibach 1822 eV</v>
      </c>
      <c r="AA154" s="13">
        <f t="shared" ca="1" si="49"/>
        <v>1</v>
      </c>
      <c r="AB154" s="13" t="str">
        <f ca="1">IF(AA154&gt;0,Y82&amp;Language!$E$80&amp;X82,"")</f>
        <v>10-4</v>
      </c>
      <c r="AC154" s="2"/>
      <c r="AD154" s="144"/>
    </row>
    <row r="155" spans="25:30" x14ac:dyDescent="0.2">
      <c r="Y155" s="67" t="s">
        <v>35</v>
      </c>
      <c r="Z155" s="35" t="str">
        <f t="shared" ca="1" si="50"/>
        <v>Mainz 05Fun Kickers Oes</v>
      </c>
      <c r="AA155" s="13">
        <f t="shared" ca="1" si="49"/>
        <v>1</v>
      </c>
      <c r="AB155" s="13" t="str">
        <f ca="1">IF(AA155&gt;0,Y83&amp;Language!$E$80&amp;X83,"")</f>
        <v>11-5</v>
      </c>
      <c r="AC155" s="2"/>
      <c r="AD155" s="144"/>
    </row>
    <row r="156" spans="25:30" x14ac:dyDescent="0.2">
      <c r="Y156" s="67" t="s">
        <v>36</v>
      </c>
      <c r="Z156" s="35" t="str">
        <f t="shared" ca="1" si="50"/>
        <v>AC RomaEintracht Frankfurt</v>
      </c>
      <c r="AA156" s="13">
        <f t="shared" ca="1" si="49"/>
        <v>1</v>
      </c>
      <c r="AB156" s="13" t="str">
        <f ca="1">IF(AA156&gt;0,Y84&amp;Language!$E$80&amp;X84,"")</f>
        <v>12-6</v>
      </c>
      <c r="AC156" s="2"/>
      <c r="AD156" s="144"/>
    </row>
    <row r="157" spans="25:30" x14ac:dyDescent="0.2">
      <c r="Y157" s="67" t="s">
        <v>37</v>
      </c>
      <c r="Z157" s="35" t="str">
        <f t="shared" ca="1" si="50"/>
        <v>VFL RonsdorfVFB Essenheim</v>
      </c>
      <c r="AA157" s="13">
        <f t="shared" ca="1" si="49"/>
        <v>1</v>
      </c>
      <c r="AB157" s="13" t="str">
        <f ca="1">IF(AA157&gt;0,Y85&amp;Language!$E$80&amp;X85,"")</f>
        <v>13-7</v>
      </c>
      <c r="AC157" s="2"/>
      <c r="AD157" s="144"/>
    </row>
    <row r="158" spans="25:30" x14ac:dyDescent="0.2">
      <c r="Y158" s="67" t="s">
        <v>38</v>
      </c>
      <c r="Z158" s="35" t="str">
        <f t="shared" ca="1" si="50"/>
        <v>Borussia HeineKnock Out Rangers</v>
      </c>
      <c r="AA158" s="13">
        <f t="shared" ca="1" si="49"/>
        <v>1</v>
      </c>
      <c r="AB158" s="13" t="str">
        <f ca="1">IF(AA158&gt;0,Y86&amp;Language!$E$80&amp;X86,"")</f>
        <v>14-8</v>
      </c>
      <c r="AC158" s="2"/>
      <c r="AD158" s="144"/>
    </row>
    <row r="159" spans="25:30" x14ac:dyDescent="0.2">
      <c r="Y159" s="67" t="s">
        <v>39</v>
      </c>
      <c r="Z159" s="35" t="str">
        <f t="shared" ca="1" si="50"/>
        <v>Inter MailandRaslo Winners</v>
      </c>
      <c r="AA159" s="13">
        <f t="shared" ca="1" si="49"/>
        <v>1</v>
      </c>
      <c r="AB159" s="13" t="str">
        <f ca="1">IF(AA159&gt;0,Y87&amp;Language!$E$80&amp;X87,"")</f>
        <v>15-9</v>
      </c>
      <c r="AC159" s="2"/>
      <c r="AD159" s="144"/>
    </row>
    <row r="160" spans="25:30" x14ac:dyDescent="0.2">
      <c r="Y160" s="67" t="s">
        <v>40</v>
      </c>
      <c r="Z160" s="35" t="str">
        <f t="shared" ca="1" si="50"/>
        <v>Manchester CityFC Barcelona</v>
      </c>
      <c r="AA160" s="13">
        <f t="shared" ca="1" si="49"/>
        <v>1</v>
      </c>
      <c r="AB160" s="13" t="str">
        <f ca="1">IF(AA160&gt;0,Y88&amp;Language!$E$80&amp;X88,"")</f>
        <v>0-4</v>
      </c>
      <c r="AC160" s="2"/>
      <c r="AD160" s="144"/>
    </row>
    <row r="161" spans="25:30" x14ac:dyDescent="0.2">
      <c r="Y161" s="67" t="s">
        <v>41</v>
      </c>
      <c r="Z161" s="35" t="str">
        <f t="shared" si="50"/>
        <v/>
      </c>
      <c r="AA161" s="13">
        <f t="shared" si="49"/>
        <v>0</v>
      </c>
      <c r="AB161" s="13" t="str">
        <f>IF(AA161&gt;0,Y89&amp;Language!$E$80&amp;X89,"")</f>
        <v/>
      </c>
      <c r="AC161" s="2"/>
      <c r="AD161" s="144"/>
    </row>
    <row r="162" spans="25:30" x14ac:dyDescent="0.2">
      <c r="Y162" s="67" t="s">
        <v>42</v>
      </c>
      <c r="Z162" s="35" t="str">
        <f t="shared" si="50"/>
        <v/>
      </c>
      <c r="AA162" s="13">
        <f t="shared" si="49"/>
        <v>0</v>
      </c>
      <c r="AB162" s="13" t="str">
        <f>IF(AA162&gt;0,Y90&amp;Language!$E$80&amp;X90,"")</f>
        <v/>
      </c>
      <c r="AC162" s="2"/>
      <c r="AD162" s="144"/>
    </row>
    <row r="163" spans="25:30" x14ac:dyDescent="0.2">
      <c r="Y163" s="67" t="s">
        <v>43</v>
      </c>
      <c r="Z163" s="35" t="str">
        <f t="shared" si="50"/>
        <v/>
      </c>
      <c r="AA163" s="13">
        <f t="shared" si="49"/>
        <v>0</v>
      </c>
      <c r="AB163" s="13" t="str">
        <f>IF(AA163&gt;0,Y91&amp;Language!$E$80&amp;X91,"")</f>
        <v/>
      </c>
      <c r="AC163" s="2"/>
      <c r="AD163" s="144"/>
    </row>
    <row r="164" spans="25:30" x14ac:dyDescent="0.2">
      <c r="Y164" s="67" t="s">
        <v>44</v>
      </c>
      <c r="Z164" s="35" t="str">
        <f t="shared" si="50"/>
        <v/>
      </c>
      <c r="AA164" s="13">
        <f t="shared" si="49"/>
        <v>0</v>
      </c>
      <c r="AB164" s="13" t="str">
        <f>IF(AA164&gt;0,Y92&amp;Language!$E$80&amp;X92,"")</f>
        <v/>
      </c>
      <c r="AC164" s="2"/>
      <c r="AD164" s="144"/>
    </row>
    <row r="165" spans="25:30" x14ac:dyDescent="0.2">
      <c r="Y165" s="67" t="s">
        <v>45</v>
      </c>
      <c r="Z165" s="35" t="str">
        <f t="shared" si="50"/>
        <v/>
      </c>
      <c r="AA165" s="13">
        <f t="shared" si="49"/>
        <v>0</v>
      </c>
      <c r="AB165" s="13" t="str">
        <f>IF(AA165&gt;0,Y93&amp;Language!$E$80&amp;X93,"")</f>
        <v/>
      </c>
      <c r="AC165" s="2"/>
      <c r="AD165" s="144"/>
    </row>
    <row r="166" spans="25:30" x14ac:dyDescent="0.2">
      <c r="Y166" s="67" t="s">
        <v>46</v>
      </c>
      <c r="Z166" s="35" t="str">
        <f t="shared" si="50"/>
        <v/>
      </c>
      <c r="AA166" s="13">
        <f t="shared" si="49"/>
        <v>0</v>
      </c>
      <c r="AB166" s="13" t="str">
        <f>IF(AA166&gt;0,Y94&amp;Language!$E$80&amp;X94,"")</f>
        <v/>
      </c>
      <c r="AC166" s="2"/>
      <c r="AD166" s="144"/>
    </row>
    <row r="167" spans="25:30" x14ac:dyDescent="0.2">
      <c r="Y167" s="67" t="s">
        <v>47</v>
      </c>
      <c r="Z167" s="35" t="str">
        <f t="shared" si="50"/>
        <v/>
      </c>
      <c r="AA167" s="13">
        <f t="shared" si="49"/>
        <v>0</v>
      </c>
      <c r="AB167" s="13" t="str">
        <f>IF(AA167&gt;0,Y95&amp;Language!$E$80&amp;X95,"")</f>
        <v/>
      </c>
      <c r="AC167" s="2"/>
      <c r="AD167" s="144"/>
    </row>
    <row r="168" spans="25:30" x14ac:dyDescent="0.2">
      <c r="Y168" s="67" t="s">
        <v>48</v>
      </c>
      <c r="Z168" s="35" t="str">
        <f t="shared" si="50"/>
        <v/>
      </c>
      <c r="AA168" s="13">
        <f t="shared" si="49"/>
        <v>0</v>
      </c>
      <c r="AB168" s="13" t="str">
        <f>IF(AA168&gt;0,Y96&amp;Language!$E$80&amp;X96,"")</f>
        <v/>
      </c>
      <c r="AC168" s="2"/>
      <c r="AD168" s="144"/>
    </row>
    <row r="169" spans="25:30" x14ac:dyDescent="0.2">
      <c r="Y169" s="67" t="s">
        <v>49</v>
      </c>
      <c r="Z169" s="35" t="str">
        <f t="shared" si="50"/>
        <v/>
      </c>
      <c r="AA169" s="13">
        <f t="shared" si="49"/>
        <v>0</v>
      </c>
      <c r="AB169" s="13" t="str">
        <f>IF(AA169&gt;0,Y97&amp;Language!$E$80&amp;X97,"")</f>
        <v/>
      </c>
      <c r="AC169" s="2"/>
      <c r="AD169" s="144"/>
    </row>
    <row r="170" spans="25:30" x14ac:dyDescent="0.2">
      <c r="Y170" s="67" t="s">
        <v>50</v>
      </c>
      <c r="Z170" s="35" t="str">
        <f t="shared" si="50"/>
        <v/>
      </c>
      <c r="AA170" s="13">
        <f t="shared" si="49"/>
        <v>0</v>
      </c>
      <c r="AB170" s="13" t="str">
        <f>IF(AA170&gt;0,Y98&amp;Language!$E$80&amp;X98,"")</f>
        <v/>
      </c>
      <c r="AC170" s="2"/>
      <c r="AD170" s="144"/>
    </row>
    <row r="171" spans="25:30" x14ac:dyDescent="0.2">
      <c r="Y171" s="67" t="s">
        <v>51</v>
      </c>
      <c r="Z171" s="35" t="str">
        <f t="shared" si="50"/>
        <v/>
      </c>
      <c r="AA171" s="13">
        <f t="shared" si="49"/>
        <v>0</v>
      </c>
      <c r="AB171" s="13" t="str">
        <f>IF(AA171&gt;0,Y99&amp;Language!$E$80&amp;X99,"")</f>
        <v/>
      </c>
      <c r="AC171" s="2"/>
      <c r="AD171" s="144"/>
    </row>
    <row r="172" spans="25:30" x14ac:dyDescent="0.2">
      <c r="Y172" s="67" t="s">
        <v>60</v>
      </c>
      <c r="Z172" s="35" t="str">
        <f t="shared" si="50"/>
        <v/>
      </c>
      <c r="AA172" s="13">
        <f t="shared" si="49"/>
        <v>0</v>
      </c>
      <c r="AB172" s="13" t="str">
        <f>IF(AA172&gt;0,Y100&amp;Language!$E$80&amp;X100,"")</f>
        <v/>
      </c>
      <c r="AC172" s="2"/>
      <c r="AD172" s="144"/>
    </row>
    <row r="173" spans="25:30" x14ac:dyDescent="0.2">
      <c r="Y173" s="67" t="s">
        <v>61</v>
      </c>
      <c r="Z173" s="35" t="str">
        <f t="shared" si="50"/>
        <v/>
      </c>
      <c r="AA173" s="13">
        <f t="shared" si="49"/>
        <v>0</v>
      </c>
      <c r="AB173" s="13" t="str">
        <f>IF(AA173&gt;0,Y101&amp;Language!$E$80&amp;X101,"")</f>
        <v/>
      </c>
      <c r="AC173" s="2"/>
      <c r="AD173" s="144"/>
    </row>
    <row r="174" spans="25:30" x14ac:dyDescent="0.2">
      <c r="Y174" s="67" t="s">
        <v>62</v>
      </c>
      <c r="Z174" s="35" t="str">
        <f t="shared" si="50"/>
        <v/>
      </c>
      <c r="AA174" s="13">
        <f t="shared" si="49"/>
        <v>0</v>
      </c>
      <c r="AB174" s="13" t="str">
        <f>IF(AA174&gt;0,Y102&amp;Language!$E$80&amp;X102,"")</f>
        <v/>
      </c>
      <c r="AC174" s="2"/>
      <c r="AD174" s="144"/>
    </row>
    <row r="175" spans="25:30" x14ac:dyDescent="0.2">
      <c r="Y175" s="67" t="s">
        <v>63</v>
      </c>
      <c r="Z175" s="35" t="str">
        <f t="shared" si="50"/>
        <v/>
      </c>
      <c r="AA175" s="13">
        <f t="shared" si="49"/>
        <v>0</v>
      </c>
      <c r="AB175" s="13" t="str">
        <f>IF(AA175&gt;0,Y103&amp;Language!$E$80&amp;X103,"")</f>
        <v/>
      </c>
      <c r="AC175" s="2"/>
      <c r="AD175" s="144"/>
    </row>
    <row r="176" spans="25:30" x14ac:dyDescent="0.2">
      <c r="Y176" s="67" t="s">
        <v>64</v>
      </c>
      <c r="Z176" s="35" t="str">
        <f t="shared" si="50"/>
        <v/>
      </c>
      <c r="AA176" s="13">
        <f t="shared" si="49"/>
        <v>0</v>
      </c>
      <c r="AB176" s="13" t="str">
        <f>IF(AA176&gt;0,Y104&amp;Language!$E$80&amp;X104,"")</f>
        <v/>
      </c>
      <c r="AC176" s="2"/>
      <c r="AD176" s="144"/>
    </row>
    <row r="177" spans="25:30" x14ac:dyDescent="0.2">
      <c r="Y177" s="67" t="s">
        <v>65</v>
      </c>
      <c r="Z177" s="35" t="str">
        <f t="shared" si="50"/>
        <v/>
      </c>
      <c r="AA177" s="13">
        <f t="shared" si="49"/>
        <v>0</v>
      </c>
      <c r="AB177" s="13" t="str">
        <f>IF(AA177&gt;0,Y105&amp;Language!$E$80&amp;X105,"")</f>
        <v/>
      </c>
      <c r="AC177" s="2"/>
      <c r="AD177" s="144"/>
    </row>
    <row r="178" spans="25:30" x14ac:dyDescent="0.2">
      <c r="Y178" s="67" t="s">
        <v>66</v>
      </c>
      <c r="Z178" s="35" t="str">
        <f t="shared" si="50"/>
        <v/>
      </c>
      <c r="AA178" s="13">
        <f t="shared" si="49"/>
        <v>0</v>
      </c>
      <c r="AB178" s="13" t="str">
        <f>IF(AA178&gt;0,Y106&amp;Language!$E$80&amp;X106,"")</f>
        <v/>
      </c>
      <c r="AC178" s="2"/>
      <c r="AD178" s="144"/>
    </row>
    <row r="179" spans="25:30" x14ac:dyDescent="0.2">
      <c r="Y179" s="67" t="s">
        <v>67</v>
      </c>
      <c r="Z179" s="35" t="str">
        <f t="shared" si="50"/>
        <v/>
      </c>
      <c r="AA179" s="13">
        <f t="shared" si="49"/>
        <v>0</v>
      </c>
      <c r="AB179" s="13" t="str">
        <f>IF(AA179&gt;0,Y107&amp;Language!$E$80&amp;X107,"")</f>
        <v/>
      </c>
      <c r="AC179" s="2"/>
      <c r="AD179" s="144"/>
    </row>
    <row r="180" spans="25:30" x14ac:dyDescent="0.2">
      <c r="Y180" s="67" t="s">
        <v>68</v>
      </c>
      <c r="Z180" s="35" t="str">
        <f t="shared" si="50"/>
        <v/>
      </c>
      <c r="AA180" s="13">
        <f t="shared" si="49"/>
        <v>0</v>
      </c>
      <c r="AB180" s="13" t="str">
        <f>IF(AA180&gt;0,Y108&amp;Language!$E$80&amp;X108,"")</f>
        <v/>
      </c>
      <c r="AC180" s="2"/>
      <c r="AD180" s="144"/>
    </row>
    <row r="181" spans="25:30" x14ac:dyDescent="0.2">
      <c r="Y181" s="67" t="s">
        <v>69</v>
      </c>
      <c r="Z181" s="35" t="str">
        <f t="shared" si="50"/>
        <v/>
      </c>
      <c r="AA181" s="13">
        <f t="shared" si="49"/>
        <v>0</v>
      </c>
      <c r="AB181" s="13" t="str">
        <f>IF(AA181&gt;0,Y109&amp;Language!$E$80&amp;X109,"")</f>
        <v/>
      </c>
      <c r="AC181" s="2"/>
      <c r="AD181" s="144"/>
    </row>
    <row r="182" spans="25:30" x14ac:dyDescent="0.2">
      <c r="Y182" s="67" t="s">
        <v>70</v>
      </c>
      <c r="Z182" s="35" t="str">
        <f t="shared" si="50"/>
        <v/>
      </c>
      <c r="AA182" s="13">
        <f t="shared" si="49"/>
        <v>0</v>
      </c>
      <c r="AB182" s="13" t="str">
        <f>IF(AA182&gt;0,Y110&amp;Language!$E$80&amp;X110,"")</f>
        <v/>
      </c>
      <c r="AC182" s="2"/>
      <c r="AD182" s="144"/>
    </row>
    <row r="183" spans="25:30" x14ac:dyDescent="0.2">
      <c r="Y183" s="67" t="s">
        <v>71</v>
      </c>
      <c r="Z183" s="35" t="str">
        <f t="shared" si="50"/>
        <v/>
      </c>
      <c r="AA183" s="13">
        <f t="shared" si="49"/>
        <v>0</v>
      </c>
      <c r="AB183" s="13" t="str">
        <f>IF(AA183&gt;0,Y111&amp;Language!$E$80&amp;X111,"")</f>
        <v/>
      </c>
      <c r="AC183" s="2"/>
      <c r="AD183" s="144"/>
    </row>
    <row r="184" spans="25:30" x14ac:dyDescent="0.2">
      <c r="Y184" s="67" t="s">
        <v>72</v>
      </c>
      <c r="Z184" s="35" t="str">
        <f t="shared" si="50"/>
        <v/>
      </c>
      <c r="AA184" s="13">
        <f t="shared" si="49"/>
        <v>0</v>
      </c>
      <c r="AB184" s="13" t="str">
        <f>IF(AA184&gt;0,Y112&amp;Language!$E$80&amp;X112,"")</f>
        <v/>
      </c>
      <c r="AC184" s="2"/>
      <c r="AD184" s="144"/>
    </row>
    <row r="185" spans="25:30" x14ac:dyDescent="0.2">
      <c r="Y185" s="67" t="s">
        <v>73</v>
      </c>
      <c r="Z185" s="35" t="str">
        <f t="shared" si="50"/>
        <v/>
      </c>
      <c r="AA185" s="13">
        <f t="shared" si="49"/>
        <v>0</v>
      </c>
      <c r="AB185" s="13" t="str">
        <f>IF(AA185&gt;0,Y113&amp;Language!$E$80&amp;X113,"")</f>
        <v/>
      </c>
      <c r="AC185" s="2"/>
      <c r="AD185" s="144"/>
    </row>
    <row r="186" spans="25:30" x14ac:dyDescent="0.2">
      <c r="Y186" s="67" t="s">
        <v>74</v>
      </c>
      <c r="Z186" s="35" t="str">
        <f t="shared" si="50"/>
        <v/>
      </c>
      <c r="AA186" s="13">
        <f t="shared" si="49"/>
        <v>0</v>
      </c>
      <c r="AB186" s="13" t="str">
        <f>IF(AA186&gt;0,Y114&amp;Language!$E$80&amp;X114,"")</f>
        <v/>
      </c>
      <c r="AC186" s="2"/>
      <c r="AD186" s="144"/>
    </row>
    <row r="187" spans="25:30" x14ac:dyDescent="0.2">
      <c r="Y187" s="67" t="s">
        <v>75</v>
      </c>
      <c r="Z187" s="35" t="str">
        <f t="shared" si="50"/>
        <v/>
      </c>
      <c r="AA187" s="13">
        <f t="shared" si="49"/>
        <v>0</v>
      </c>
      <c r="AB187" s="13" t="str">
        <f>IF(AA187&gt;0,Y115&amp;Language!$E$80&amp;X115,"")</f>
        <v/>
      </c>
      <c r="AC187" s="2"/>
      <c r="AD187" s="144"/>
    </row>
    <row r="188" spans="25:30" x14ac:dyDescent="0.2">
      <c r="Y188" s="67" t="s">
        <v>76</v>
      </c>
      <c r="Z188" s="35" t="str">
        <f t="shared" si="50"/>
        <v/>
      </c>
      <c r="AA188" s="13">
        <f t="shared" si="49"/>
        <v>0</v>
      </c>
      <c r="AB188" s="13" t="str">
        <f>IF(AA188&gt;0,Y116&amp;Language!$E$80&amp;X116,"")</f>
        <v/>
      </c>
      <c r="AC188" s="2"/>
      <c r="AD188" s="144"/>
    </row>
    <row r="189" spans="25:30" x14ac:dyDescent="0.2">
      <c r="Y189" s="67" t="s">
        <v>77</v>
      </c>
      <c r="Z189" s="35" t="str">
        <f t="shared" si="50"/>
        <v/>
      </c>
      <c r="AA189" s="13">
        <f t="shared" si="49"/>
        <v>0</v>
      </c>
      <c r="AB189" s="13" t="str">
        <f>IF(AA189&gt;0,Y117&amp;Language!$E$80&amp;X117,"")</f>
        <v/>
      </c>
      <c r="AC189" s="2"/>
      <c r="AD189" s="144"/>
    </row>
    <row r="190" spans="25:30" x14ac:dyDescent="0.2">
      <c r="Y190" s="67" t="s">
        <v>78</v>
      </c>
      <c r="Z190" s="35" t="str">
        <f t="shared" si="50"/>
        <v/>
      </c>
      <c r="AA190" s="13">
        <f t="shared" si="49"/>
        <v>0</v>
      </c>
      <c r="AB190" s="13" t="str">
        <f>IF(AA190&gt;0,Y118&amp;Language!$E$80&amp;X118,"")</f>
        <v/>
      </c>
      <c r="AC190" s="2"/>
      <c r="AD190" s="144"/>
    </row>
    <row r="191" spans="25:30" x14ac:dyDescent="0.2">
      <c r="Y191" s="67" t="s">
        <v>79</v>
      </c>
      <c r="Z191" s="35" t="str">
        <f t="shared" si="50"/>
        <v/>
      </c>
      <c r="AA191" s="13">
        <f t="shared" si="49"/>
        <v>0</v>
      </c>
      <c r="AB191" s="13" t="str">
        <f>IF(AA191&gt;0,Y119&amp;Language!$E$80&amp;X119,"")</f>
        <v/>
      </c>
      <c r="AC191" s="2"/>
      <c r="AD191" s="144"/>
    </row>
    <row r="192" spans="25:30" x14ac:dyDescent="0.2">
      <c r="Y192" s="67" t="s">
        <v>80</v>
      </c>
      <c r="Z192" s="35" t="str">
        <f t="shared" si="50"/>
        <v/>
      </c>
      <c r="AA192" s="13">
        <f t="shared" si="49"/>
        <v>0</v>
      </c>
      <c r="AB192" s="13" t="str">
        <f>IF(AA192&gt;0,Y120&amp;Language!$E$80&amp;X120,"")</f>
        <v/>
      </c>
      <c r="AC192" s="2"/>
      <c r="AD192" s="144"/>
    </row>
    <row r="193" spans="25:30" x14ac:dyDescent="0.2">
      <c r="Y193" s="67" t="s">
        <v>81</v>
      </c>
      <c r="Z193" s="35" t="str">
        <f t="shared" si="50"/>
        <v/>
      </c>
      <c r="AA193" s="13">
        <f t="shared" si="49"/>
        <v>0</v>
      </c>
      <c r="AB193" s="13" t="str">
        <f>IF(AA193&gt;0,Y121&amp;Language!$E$80&amp;X121,"")</f>
        <v/>
      </c>
      <c r="AC193" s="2"/>
      <c r="AD193" s="144"/>
    </row>
    <row r="194" spans="25:30" x14ac:dyDescent="0.2">
      <c r="Y194" s="67" t="s">
        <v>82</v>
      </c>
      <c r="Z194" s="35" t="str">
        <f t="shared" si="50"/>
        <v/>
      </c>
      <c r="AA194" s="13">
        <f t="shared" si="49"/>
        <v>0</v>
      </c>
      <c r="AB194" s="13" t="str">
        <f>IF(AA194&gt;0,Y122&amp;Language!$E$80&amp;X122,"")</f>
        <v/>
      </c>
      <c r="AC194" s="2"/>
      <c r="AD194" s="144"/>
    </row>
    <row r="195" spans="25:30" x14ac:dyDescent="0.2">
      <c r="Y195" s="67" t="s">
        <v>83</v>
      </c>
      <c r="Z195" s="35" t="str">
        <f t="shared" si="50"/>
        <v/>
      </c>
      <c r="AA195" s="13">
        <f t="shared" si="49"/>
        <v>0</v>
      </c>
      <c r="AB195" s="13" t="str">
        <f>IF(AA195&gt;0,Y123&amp;Language!$E$80&amp;X123,"")</f>
        <v/>
      </c>
      <c r="AC195" s="2"/>
      <c r="AD195" s="144"/>
    </row>
    <row r="196" spans="25:30" x14ac:dyDescent="0.2">
      <c r="Y196" s="67" t="s">
        <v>84</v>
      </c>
      <c r="Z196" s="35" t="str">
        <f t="shared" si="50"/>
        <v/>
      </c>
      <c r="AA196" s="13">
        <f t="shared" si="49"/>
        <v>0</v>
      </c>
      <c r="AB196" s="13" t="str">
        <f>IF(AA196&gt;0,Y124&amp;Language!$E$80&amp;X124,"")</f>
        <v/>
      </c>
      <c r="AC196" s="2"/>
      <c r="AD196" s="144"/>
    </row>
    <row r="197" spans="25:30" x14ac:dyDescent="0.2">
      <c r="Y197" s="67" t="s">
        <v>85</v>
      </c>
      <c r="Z197" s="35" t="str">
        <f t="shared" si="50"/>
        <v/>
      </c>
      <c r="AA197" s="13">
        <f t="shared" si="49"/>
        <v>0</v>
      </c>
      <c r="AB197" s="13" t="str">
        <f>IF(AA197&gt;0,Y125&amp;Language!$E$80&amp;X125,"")</f>
        <v/>
      </c>
      <c r="AC197" s="2"/>
      <c r="AD197" s="144"/>
    </row>
    <row r="198" spans="25:30" x14ac:dyDescent="0.2">
      <c r="Y198" s="67" t="s">
        <v>86</v>
      </c>
      <c r="Z198" s="35" t="str">
        <f t="shared" si="50"/>
        <v/>
      </c>
      <c r="AA198" s="13">
        <f t="shared" si="49"/>
        <v>0</v>
      </c>
      <c r="AB198" s="13" t="str">
        <f>IF(AA198&gt;0,Y126&amp;Language!$E$80&amp;X126,"")</f>
        <v/>
      </c>
      <c r="AC198" s="2"/>
      <c r="AD198" s="144"/>
    </row>
    <row r="199" spans="25:30" x14ac:dyDescent="0.2">
      <c r="Y199" s="67" t="s">
        <v>87</v>
      </c>
      <c r="Z199" s="35" t="str">
        <f t="shared" si="50"/>
        <v/>
      </c>
      <c r="AA199" s="13">
        <f t="shared" si="49"/>
        <v>0</v>
      </c>
      <c r="AB199" s="13" t="str">
        <f>IF(AA199&gt;0,Y127&amp;Language!$E$80&amp;X127,"")</f>
        <v/>
      </c>
      <c r="AC199" s="2"/>
      <c r="AD199" s="144"/>
    </row>
    <row r="200" spans="25:30" x14ac:dyDescent="0.2">
      <c r="Y200" s="67" t="s">
        <v>88</v>
      </c>
      <c r="Z200" s="35" t="str">
        <f t="shared" si="50"/>
        <v/>
      </c>
      <c r="AA200" s="13">
        <f t="shared" si="49"/>
        <v>0</v>
      </c>
      <c r="AB200" s="13" t="str">
        <f>IF(AA200&gt;0,Y128&amp;Language!$E$80&amp;X128,"")</f>
        <v/>
      </c>
      <c r="AC200" s="2"/>
      <c r="AD200" s="144"/>
    </row>
    <row r="201" spans="25:30" x14ac:dyDescent="0.2">
      <c r="Y201" s="67" t="s">
        <v>89</v>
      </c>
      <c r="Z201" s="35" t="str">
        <f t="shared" si="50"/>
        <v/>
      </c>
      <c r="AA201" s="13">
        <f t="shared" ref="AA201:AA207" si="51">AA129</f>
        <v>0</v>
      </c>
      <c r="AB201" s="13" t="str">
        <f>IF(AA201&gt;0,Y129&amp;Language!$E$80&amp;X129,"")</f>
        <v/>
      </c>
      <c r="AC201" s="2"/>
      <c r="AD201" s="144"/>
    </row>
    <row r="202" spans="25:30" x14ac:dyDescent="0.2">
      <c r="Y202" s="67" t="s">
        <v>90</v>
      </c>
      <c r="Z202" s="35" t="str">
        <f t="shared" ref="Z202:Z206" si="52">W130&amp;V130</f>
        <v/>
      </c>
      <c r="AA202" s="13">
        <f t="shared" si="51"/>
        <v>0</v>
      </c>
      <c r="AB202" s="13" t="str">
        <f>IF(AA202&gt;0,Y130&amp;Language!$E$80&amp;X130,"")</f>
        <v/>
      </c>
      <c r="AC202" s="2"/>
      <c r="AD202" s="144"/>
    </row>
    <row r="203" spans="25:30" x14ac:dyDescent="0.2">
      <c r="Y203" s="67" t="s">
        <v>91</v>
      </c>
      <c r="Z203" s="35" t="str">
        <f t="shared" si="52"/>
        <v/>
      </c>
      <c r="AA203" s="13">
        <f t="shared" si="51"/>
        <v>0</v>
      </c>
      <c r="AB203" s="13" t="str">
        <f>IF(AA203&gt;0,Y131&amp;Language!$E$80&amp;X131,"")</f>
        <v/>
      </c>
      <c r="AC203" s="2"/>
      <c r="AD203" s="144"/>
    </row>
    <row r="204" spans="25:30" x14ac:dyDescent="0.2">
      <c r="Y204" s="67" t="s">
        <v>92</v>
      </c>
      <c r="Z204" s="35" t="str">
        <f t="shared" si="52"/>
        <v/>
      </c>
      <c r="AA204" s="13">
        <f t="shared" si="51"/>
        <v>0</v>
      </c>
      <c r="AB204" s="13" t="str">
        <f>IF(AA204&gt;0,Y132&amp;Language!$E$80&amp;X132,"")</f>
        <v/>
      </c>
      <c r="AC204" s="2"/>
      <c r="AD204" s="144"/>
    </row>
    <row r="205" spans="25:30" x14ac:dyDescent="0.2">
      <c r="Y205" s="67" t="s">
        <v>93</v>
      </c>
      <c r="Z205" s="35" t="str">
        <f t="shared" si="52"/>
        <v/>
      </c>
      <c r="AA205" s="13">
        <f t="shared" si="51"/>
        <v>0</v>
      </c>
      <c r="AB205" s="13" t="str">
        <f>IF(AA205&gt;0,Y133&amp;Language!$E$80&amp;X133,"")</f>
        <v/>
      </c>
      <c r="AC205" s="2"/>
      <c r="AD205" s="144"/>
    </row>
    <row r="206" spans="25:30" x14ac:dyDescent="0.2">
      <c r="Y206" s="67" t="s">
        <v>94</v>
      </c>
      <c r="Z206" s="35" t="str">
        <f t="shared" si="52"/>
        <v/>
      </c>
      <c r="AA206" s="13">
        <f t="shared" si="51"/>
        <v>0</v>
      </c>
      <c r="AB206" s="13" t="str">
        <f>IF(AA206&gt;0,Y134&amp;Language!$E$80&amp;X134,"")</f>
        <v/>
      </c>
      <c r="AC206" s="2"/>
      <c r="AD206" s="144"/>
    </row>
    <row r="207" spans="25:30" ht="12.75" thickBot="1" x14ac:dyDescent="0.25">
      <c r="Y207" s="68" t="s">
        <v>95</v>
      </c>
      <c r="Z207" s="37" t="str">
        <f>W135&amp;V135</f>
        <v/>
      </c>
      <c r="AA207" s="38">
        <f t="shared" si="51"/>
        <v>0</v>
      </c>
      <c r="AB207" s="145" t="str">
        <f>IF(AA207&gt;0,Y135&amp;Language!$E$80&amp;X135,"")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796"/>
      <c r="X3" s="797"/>
      <c r="Y3" s="797"/>
      <c r="Z3" s="797"/>
      <c r="AA3" s="797"/>
      <c r="AB3" s="796"/>
      <c r="AC3" s="797"/>
      <c r="AD3" s="797"/>
      <c r="AE3" s="797"/>
      <c r="AF3" s="797"/>
      <c r="AG3" s="796"/>
      <c r="AH3" s="797"/>
      <c r="AI3" s="797"/>
      <c r="AJ3" s="797"/>
      <c r="AK3" s="797"/>
      <c r="AL3" s="796"/>
      <c r="AM3" s="797"/>
      <c r="AN3" s="797"/>
      <c r="AO3" s="797"/>
      <c r="AP3" s="797"/>
    </row>
    <row r="4" spans="1:42" s="2" customFormat="1" ht="12.75" thickTop="1" x14ac:dyDescent="0.2">
      <c r="A4" s="237"/>
      <c r="B4" s="1">
        <v>1</v>
      </c>
      <c r="C4" s="21">
        <f ca="1">RANK(D4,$D$4:$D$12,1)</f>
        <v>3</v>
      </c>
      <c r="D4" s="13">
        <f ca="1">E4+ROW()/1000+(F4="")*10</f>
        <v>3.004</v>
      </c>
      <c r="E4" s="248">
        <f ca="1">IF($AI$15,RANK(AH17,AH$17:AH$25,1),RANK(X17,X$17:X$25,1))</f>
        <v>3</v>
      </c>
      <c r="F4" s="1" t="str">
        <f ca="1">$Q64</f>
        <v>Raslo Winners</v>
      </c>
      <c r="G4" s="1">
        <f t="shared" ref="G4:G12" ca="1" si="0">SUMIFS($X$64:$X$135,$V$64:$V$135,$F4)+SUMIFS($Y$64:$Y$135,$W$64:$W$135,$F4)</f>
        <v>14</v>
      </c>
      <c r="H4" s="1">
        <f t="shared" ref="H4:H12" ca="1" si="1">SUMIFS($Y$64:$Y$135,$V$64:$V$135,$F4)+SUMIFS($X$64:$X$135,$W$64:$W$135,$F4)</f>
        <v>19</v>
      </c>
      <c r="I4" s="13">
        <f t="shared" ref="I4:I12" ca="1" si="2">G4-H4</f>
        <v>-5</v>
      </c>
      <c r="J4" s="1">
        <f ca="1">SUMIF($V$64:$V$135,F4,$AE$64:$AE$135)+SUMIF($W$64:$W$135,F4,$AF$64:$AF$135)</f>
        <v>4</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1</v>
      </c>
      <c r="N4" s="1">
        <f t="shared" ref="N4:N12" ca="1" si="6">SUMPRODUCT(($V$64:$V$135=F4)*($X$64:$X$135&lt;$Y$64:$Y$135))+SUMPRODUCT(($W$64:$W$135=F4)*($X$64:$X$135&gt;$Y$64:$Y$135))</f>
        <v>1</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Inter Mailand</v>
      </c>
      <c r="G5" s="1">
        <f t="shared" ca="1" si="0"/>
        <v>20</v>
      </c>
      <c r="H5" s="1">
        <f t="shared" ca="1" si="1"/>
        <v>19</v>
      </c>
      <c r="I5" s="13">
        <f t="shared" ca="1" si="2"/>
        <v>1</v>
      </c>
      <c r="J5" s="1">
        <f t="shared" ref="J5:J12" ca="1" si="11">SUMIF($V$64:$V$135,F5,$AE$64:$AE$135)+SUMIF($W$64:$W$135,F5,$AF$64:$AF$135)</f>
        <v>6</v>
      </c>
      <c r="K5" s="1">
        <f t="shared" ca="1" si="3"/>
        <v>3</v>
      </c>
      <c r="L5" s="1">
        <f t="shared" ca="1" si="4"/>
        <v>2</v>
      </c>
      <c r="M5" s="1">
        <f t="shared" ca="1" si="5"/>
        <v>0</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9.0060000000000002</v>
      </c>
      <c r="E6" s="248">
        <f t="shared" ca="1" si="9"/>
        <v>9</v>
      </c>
      <c r="F6" s="1" t="str">
        <f t="shared" ca="1" si="10"/>
        <v>Fun Kickers Oes</v>
      </c>
      <c r="G6" s="1">
        <f t="shared" ca="1" si="0"/>
        <v>11</v>
      </c>
      <c r="H6" s="1">
        <f t="shared" ca="1" si="1"/>
        <v>20</v>
      </c>
      <c r="I6" s="13">
        <f t="shared" ca="1" si="2"/>
        <v>-9</v>
      </c>
      <c r="J6" s="1">
        <f t="shared" ca="1" si="11"/>
        <v>0</v>
      </c>
      <c r="K6" s="1">
        <f t="shared" ca="1" si="3"/>
        <v>3</v>
      </c>
      <c r="L6" s="1">
        <f t="shared" ca="1" si="4"/>
        <v>0</v>
      </c>
      <c r="M6" s="1">
        <f t="shared" ca="1" si="5"/>
        <v>0</v>
      </c>
      <c r="N6" s="1">
        <f t="shared" ca="1" si="6"/>
        <v>3</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1</v>
      </c>
      <c r="D7" s="13">
        <f t="shared" ca="1" si="8"/>
        <v>1.0069999999999999</v>
      </c>
      <c r="E7" s="248">
        <f t="shared" ca="1" si="9"/>
        <v>1</v>
      </c>
      <c r="F7" s="1" t="str">
        <f t="shared" ca="1" si="10"/>
        <v>Mainz 05</v>
      </c>
      <c r="G7" s="1">
        <f t="shared" ca="1" si="0"/>
        <v>19</v>
      </c>
      <c r="H7" s="1">
        <f t="shared" ca="1" si="1"/>
        <v>6</v>
      </c>
      <c r="I7" s="13">
        <f t="shared" ca="1" si="2"/>
        <v>13</v>
      </c>
      <c r="J7" s="1">
        <f t="shared" ca="1" si="11"/>
        <v>7</v>
      </c>
      <c r="K7" s="1">
        <f t="shared" ca="1" si="3"/>
        <v>3</v>
      </c>
      <c r="L7" s="1">
        <f t="shared" ca="1" si="4"/>
        <v>2</v>
      </c>
      <c r="M7" s="1">
        <f t="shared" ca="1" si="5"/>
        <v>1</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14.007999999999999</v>
      </c>
      <c r="E8" s="248">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14.009</v>
      </c>
      <c r="E9" s="248">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14.01</v>
      </c>
      <c r="E10" s="248">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14.010999999999999</v>
      </c>
      <c r="E11" s="248">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14.012</v>
      </c>
      <c r="E12" s="248">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Raslo Winners</v>
      </c>
      <c r="D17" s="1">
        <f t="shared" ref="D17:G25" ca="1" si="12">K4</f>
        <v>3</v>
      </c>
      <c r="E17" s="1">
        <f t="shared" ca="1" si="12"/>
        <v>1</v>
      </c>
      <c r="F17" s="1">
        <f t="shared" ca="1" si="12"/>
        <v>1</v>
      </c>
      <c r="G17" s="1">
        <f t="shared" ca="1" si="12"/>
        <v>1</v>
      </c>
      <c r="H17" s="1">
        <f t="shared" ref="H17:K25" ca="1" si="13">G4</f>
        <v>14</v>
      </c>
      <c r="I17" s="1">
        <f t="shared" ca="1" si="13"/>
        <v>19</v>
      </c>
      <c r="J17" s="13">
        <f t="shared" ca="1" si="13"/>
        <v>-5</v>
      </c>
      <c r="K17" s="1">
        <f t="shared" ca="1" si="13"/>
        <v>4</v>
      </c>
      <c r="L17" s="30">
        <f t="shared" ref="L17:L25" ca="1" si="14">K17*$F$64+(J17+$H$65)*$F$65+H17*$F$66</f>
        <v>4495014</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'Finals 4'!$AF19</f>
        <v>0</v>
      </c>
      <c r="Z17" s="1">
        <f ca="1">RANK($W17,$W$17:$W$25)+(9-$Y17)/10</f>
        <v>1.9</v>
      </c>
      <c r="AA17" s="1">
        <f ca="1">SUM(E30:BP30)</f>
        <v>0</v>
      </c>
      <c r="AB17" s="1">
        <f ca="1">SUM(E41:BP41)</f>
        <v>0</v>
      </c>
      <c r="AC17" s="1">
        <f ca="1">SUM(E52:BP52)</f>
        <v>0</v>
      </c>
      <c r="AD17" s="242">
        <f ca="1">RANK($K17,$K$17:$K$25)</f>
        <v>3</v>
      </c>
      <c r="AE17" s="30">
        <f ca="1">(J17+$H$65)*$F$65+H17*$F$66</f>
        <v>495014</v>
      </c>
      <c r="AF17" s="1">
        <f ca="1">RANK($AE17,$AE$17:$AE$25)</f>
        <v>3</v>
      </c>
      <c r="AG17" s="1">
        <f ca="1">RANK($W17,$W$17:$W$25)</f>
        <v>1</v>
      </c>
      <c r="AH17" s="244">
        <f ca="1">AD17+AG17/100+AF17/10000+(10-Y17)/1000000</f>
        <v>3.01031</v>
      </c>
      <c r="AI17" s="1"/>
    </row>
    <row r="18" spans="2:80" s="2" customFormat="1" x14ac:dyDescent="0.2">
      <c r="C18" s="2" t="str">
        <f t="shared" ref="C18:C25" ca="1" si="23">$Q65</f>
        <v>Inter Mailand</v>
      </c>
      <c r="D18" s="1">
        <f t="shared" ca="1" si="12"/>
        <v>3</v>
      </c>
      <c r="E18" s="1">
        <f t="shared" ca="1" si="12"/>
        <v>2</v>
      </c>
      <c r="F18" s="1">
        <f t="shared" ca="1" si="12"/>
        <v>0</v>
      </c>
      <c r="G18" s="1">
        <f t="shared" ca="1" si="12"/>
        <v>1</v>
      </c>
      <c r="H18" s="1">
        <f t="shared" ca="1" si="13"/>
        <v>20</v>
      </c>
      <c r="I18" s="1">
        <f t="shared" ca="1" si="13"/>
        <v>19</v>
      </c>
      <c r="J18" s="13">
        <f t="shared" ca="1" si="13"/>
        <v>1</v>
      </c>
      <c r="K18" s="1">
        <f t="shared" ca="1" si="13"/>
        <v>6</v>
      </c>
      <c r="L18" s="30">
        <f t="shared" ca="1" si="14"/>
        <v>6501020</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'Finals 4'!$AF20</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501020</v>
      </c>
      <c r="AF18" s="1">
        <f t="shared" ref="AF18:AF25" ca="1" si="31">RANK($AE18,$AE$17:$AE$25)</f>
        <v>2</v>
      </c>
      <c r="AG18" s="1">
        <f t="shared" ref="AG18:AG25" ca="1" si="32">RANK($W18,$W$17:$W$25)</f>
        <v>1</v>
      </c>
      <c r="AH18" s="245">
        <f t="shared" ref="AH18:AH25" ca="1" si="33">AD18+AG18/100+AF18/10000+(10-Y18)/1000000</f>
        <v>2.0102099999999998</v>
      </c>
      <c r="AI18" s="1"/>
    </row>
    <row r="19" spans="2:80" s="2" customFormat="1" x14ac:dyDescent="0.2">
      <c r="C19" s="2" t="str">
        <f t="shared" ca="1" si="23"/>
        <v>Fun Kickers Oes</v>
      </c>
      <c r="D19" s="1">
        <f t="shared" ca="1" si="12"/>
        <v>3</v>
      </c>
      <c r="E19" s="1">
        <f t="shared" ca="1" si="12"/>
        <v>0</v>
      </c>
      <c r="F19" s="1">
        <f t="shared" ca="1" si="12"/>
        <v>0</v>
      </c>
      <c r="G19" s="1">
        <f t="shared" ca="1" si="12"/>
        <v>3</v>
      </c>
      <c r="H19" s="1">
        <f t="shared" ca="1" si="13"/>
        <v>11</v>
      </c>
      <c r="I19" s="1">
        <f t="shared" ca="1" si="13"/>
        <v>20</v>
      </c>
      <c r="J19" s="13">
        <f t="shared" ca="1" si="13"/>
        <v>-9</v>
      </c>
      <c r="K19" s="1">
        <f t="shared" ca="1" si="13"/>
        <v>0</v>
      </c>
      <c r="L19" s="30">
        <f t="shared" ca="1" si="14"/>
        <v>491011</v>
      </c>
      <c r="M19" s="14">
        <f t="shared" ca="1" si="24"/>
        <v>1</v>
      </c>
      <c r="N19" s="14">
        <f t="array" aca="1" ref="N19" ca="1">IF($AI$15,SUM(($K$17:$K$25&gt;=K19)/COUNTIF($K$17:$K$25,$K$17:$K$25)),SUM(($L$17:$L$25&gt;=L19)/COUNTIF($L$17:$L$25,$L$17:$L$25)))</f>
        <v>5.0000000000000009</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9.0108999999999995</v>
      </c>
      <c r="Y19" s="13">
        <f>'Finals 4'!$AF21</f>
        <v>0</v>
      </c>
      <c r="Z19" s="1">
        <f t="shared" ca="1" si="26"/>
        <v>1.9</v>
      </c>
      <c r="AA19" s="1">
        <f t="shared" ca="1" si="27"/>
        <v>0</v>
      </c>
      <c r="AB19" s="1">
        <f t="shared" ca="1" si="28"/>
        <v>0</v>
      </c>
      <c r="AC19" s="1">
        <f t="shared" ca="1" si="29"/>
        <v>0</v>
      </c>
      <c r="AD19" s="242">
        <f t="shared" ca="1" si="30"/>
        <v>4</v>
      </c>
      <c r="AE19" s="30">
        <f ca="1">(J19+$H$65)*$F$65+H19*$F$66</f>
        <v>491011</v>
      </c>
      <c r="AF19" s="1">
        <f t="shared" ca="1" si="31"/>
        <v>4</v>
      </c>
      <c r="AG19" s="1">
        <f t="shared" ca="1" si="32"/>
        <v>1</v>
      </c>
      <c r="AH19" s="245">
        <f t="shared" ca="1" si="33"/>
        <v>4.0104099999999994</v>
      </c>
      <c r="AI19" s="1"/>
    </row>
    <row r="20" spans="2:80" s="2" customFormat="1" x14ac:dyDescent="0.2">
      <c r="C20" s="2" t="str">
        <f t="shared" ca="1" si="23"/>
        <v>Mainz 05</v>
      </c>
      <c r="D20" s="1">
        <f t="shared" ca="1" si="12"/>
        <v>3</v>
      </c>
      <c r="E20" s="1">
        <f t="shared" ca="1" si="12"/>
        <v>2</v>
      </c>
      <c r="F20" s="1">
        <f t="shared" ca="1" si="12"/>
        <v>1</v>
      </c>
      <c r="G20" s="1">
        <f t="shared" ca="1" si="12"/>
        <v>0</v>
      </c>
      <c r="H20" s="1">
        <f t="shared" ca="1" si="13"/>
        <v>19</v>
      </c>
      <c r="I20" s="1">
        <f t="shared" ca="1" si="13"/>
        <v>6</v>
      </c>
      <c r="J20" s="13">
        <f t="shared" ca="1" si="13"/>
        <v>13</v>
      </c>
      <c r="K20" s="1">
        <f t="shared" ca="1" si="13"/>
        <v>7</v>
      </c>
      <c r="L20" s="30">
        <f t="shared" ca="1" si="14"/>
        <v>7513019</v>
      </c>
      <c r="M20" s="14">
        <f t="shared" ca="1" si="24"/>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1.0108999999999999</v>
      </c>
      <c r="Y20" s="13">
        <f>'Finals 4'!$AF22</f>
        <v>0</v>
      </c>
      <c r="Z20" s="1">
        <f t="shared" ca="1" si="26"/>
        <v>1.9</v>
      </c>
      <c r="AA20" s="1">
        <f t="shared" ca="1" si="27"/>
        <v>0</v>
      </c>
      <c r="AB20" s="1">
        <f t="shared" ca="1" si="28"/>
        <v>0</v>
      </c>
      <c r="AC20" s="1">
        <f t="shared" ca="1" si="29"/>
        <v>0</v>
      </c>
      <c r="AD20" s="242">
        <f t="shared" ca="1" si="30"/>
        <v>1</v>
      </c>
      <c r="AE20" s="30">
        <f ca="1">(J20+$H$65)*$F$65+H20*$F$66</f>
        <v>513019</v>
      </c>
      <c r="AF20" s="1">
        <f t="shared" ca="1" si="31"/>
        <v>1</v>
      </c>
      <c r="AG20" s="1">
        <f t="shared" ca="1" si="32"/>
        <v>1</v>
      </c>
      <c r="AH20" s="245">
        <f t="shared" ca="1" si="33"/>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4.0508999999999995</v>
      </c>
      <c r="Y21" s="13">
        <v>0</v>
      </c>
      <c r="Z21" s="1">
        <f t="shared" ca="1" si="26"/>
        <v>5.9</v>
      </c>
      <c r="AA21" s="1">
        <f t="shared" ca="1" si="27"/>
        <v>0</v>
      </c>
      <c r="AB21" s="1">
        <f t="shared" ca="1" si="28"/>
        <v>0</v>
      </c>
      <c r="AC21" s="1">
        <f t="shared" ca="1" si="29"/>
        <v>0</v>
      </c>
      <c r="AD21" s="242">
        <f t="shared" ca="1" si="30"/>
        <v>4</v>
      </c>
      <c r="AE21" s="30">
        <v>0</v>
      </c>
      <c r="AF21" s="1">
        <f t="shared" ca="1" si="31"/>
        <v>5</v>
      </c>
      <c r="AG21" s="1">
        <f t="shared" ca="1" si="32"/>
        <v>5</v>
      </c>
      <c r="AH21" s="245">
        <f t="shared" ca="1" si="33"/>
        <v>4.0505099999999992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4.0508999999999995</v>
      </c>
      <c r="Y22" s="13">
        <v>0</v>
      </c>
      <c r="Z22" s="1">
        <f t="shared" ca="1" si="26"/>
        <v>5.9</v>
      </c>
      <c r="AA22" s="1">
        <f t="shared" ca="1" si="27"/>
        <v>0</v>
      </c>
      <c r="AB22" s="1">
        <f t="shared" ca="1" si="28"/>
        <v>0</v>
      </c>
      <c r="AC22" s="1">
        <f t="shared" ca="1" si="29"/>
        <v>0</v>
      </c>
      <c r="AD22" s="242">
        <f t="shared" ca="1" si="30"/>
        <v>4</v>
      </c>
      <c r="AE22" s="30">
        <v>0</v>
      </c>
      <c r="AF22" s="1">
        <f t="shared" ca="1" si="31"/>
        <v>5</v>
      </c>
      <c r="AG22" s="1">
        <f t="shared" ca="1" si="32"/>
        <v>5</v>
      </c>
      <c r="AH22" s="245">
        <f t="shared" ca="1" si="33"/>
        <v>4.0505099999999992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4.0508999999999995</v>
      </c>
      <c r="Y23" s="13">
        <v>0</v>
      </c>
      <c r="Z23" s="1">
        <f t="shared" ca="1" si="26"/>
        <v>5.9</v>
      </c>
      <c r="AA23" s="1">
        <f t="shared" ca="1" si="27"/>
        <v>0</v>
      </c>
      <c r="AB23" s="1">
        <f t="shared" ca="1" si="28"/>
        <v>0</v>
      </c>
      <c r="AC23" s="1">
        <f t="shared" ca="1" si="29"/>
        <v>0</v>
      </c>
      <c r="AD23" s="242">
        <f t="shared" ca="1" si="30"/>
        <v>4</v>
      </c>
      <c r="AE23" s="30">
        <v>0</v>
      </c>
      <c r="AF23" s="1">
        <f t="shared" ca="1" si="31"/>
        <v>5</v>
      </c>
      <c r="AG23" s="1">
        <f t="shared" ca="1" si="32"/>
        <v>5</v>
      </c>
      <c r="AH23" s="245">
        <f t="shared" ca="1" si="33"/>
        <v>4.0505099999999992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4.0508999999999995</v>
      </c>
      <c r="Y24" s="13">
        <v>0</v>
      </c>
      <c r="Z24" s="1">
        <f t="shared" ca="1" si="26"/>
        <v>5.9</v>
      </c>
      <c r="AA24" s="1">
        <f t="shared" ca="1" si="27"/>
        <v>0</v>
      </c>
      <c r="AB24" s="1">
        <f t="shared" ca="1" si="28"/>
        <v>0</v>
      </c>
      <c r="AC24" s="1">
        <f t="shared" ca="1" si="29"/>
        <v>0</v>
      </c>
      <c r="AD24" s="242">
        <f t="shared" ca="1" si="30"/>
        <v>4</v>
      </c>
      <c r="AE24" s="30">
        <v>0</v>
      </c>
      <c r="AF24" s="1">
        <f t="shared" ca="1" si="31"/>
        <v>5</v>
      </c>
      <c r="AG24" s="1">
        <f t="shared" ca="1" si="32"/>
        <v>5</v>
      </c>
      <c r="AH24" s="245">
        <f t="shared" ca="1" si="33"/>
        <v>4.0505099999999992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4.0508999999999995</v>
      </c>
      <c r="Y25" s="13">
        <v>0</v>
      </c>
      <c r="Z25" s="1">
        <f t="shared" ca="1" si="26"/>
        <v>5.9</v>
      </c>
      <c r="AA25" s="1">
        <f t="shared" ca="1" si="27"/>
        <v>0</v>
      </c>
      <c r="AB25" s="1">
        <f t="shared" ca="1" si="28"/>
        <v>0</v>
      </c>
      <c r="AC25" s="1">
        <f t="shared" ca="1" si="29"/>
        <v>0</v>
      </c>
      <c r="AD25" s="242">
        <f t="shared" ca="1" si="30"/>
        <v>4</v>
      </c>
      <c r="AE25" s="30">
        <v>0</v>
      </c>
      <c r="AF25" s="1">
        <f t="shared" ca="1" si="31"/>
        <v>5</v>
      </c>
      <c r="AG25" s="1">
        <f t="shared" ca="1" si="32"/>
        <v>5</v>
      </c>
      <c r="AH25" s="246">
        <f t="shared" ca="1" si="33"/>
        <v>4.0505099999999992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 ca="1">$F$4</f>
        <v>Raslo Winners</v>
      </c>
      <c r="BT29" s="2" t="str">
        <f ca="1">$F$5</f>
        <v>Inter Mailand</v>
      </c>
      <c r="BU29" s="2" t="str">
        <f ca="1">$F$6</f>
        <v>Fun Kickers Oes</v>
      </c>
      <c r="BV29" s="2" t="str">
        <f ca="1">$F$7</f>
        <v>Mainz 05</v>
      </c>
      <c r="BW29" s="2" t="str">
        <f>$F$8</f>
        <v/>
      </c>
      <c r="BX29" s="2" t="str">
        <f>$F$9</f>
        <v/>
      </c>
      <c r="BY29" s="2" t="str">
        <f>$F$10</f>
        <v/>
      </c>
      <c r="BZ29" s="2" t="str">
        <f>$F$11</f>
        <v/>
      </c>
      <c r="CA29" s="2" t="str">
        <f>$F$12</f>
        <v/>
      </c>
      <c r="CB29" s="53"/>
    </row>
    <row r="30" spans="2:80" s="2" customFormat="1" x14ac:dyDescent="0.2">
      <c r="C30" s="2" t="str">
        <f ca="1">$Q64</f>
        <v>Raslo Winners</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Raslo Winners</v>
      </c>
      <c r="BS30" s="7"/>
      <c r="BT30" s="8">
        <f t="shared" ref="BT30:CA32" ca="1" si="35">SUMIFS($X$64:$X$135,$V$64:$V$135,$BR30,$W$64:$W$135,BT$29)+SUMIFS($Y$64:$Y$135,$W$64:$W$135,$BR30,$V$64:$V$135,BT$29)</f>
        <v>9</v>
      </c>
      <c r="BU30" s="8">
        <f t="shared" ca="1" si="35"/>
        <v>4</v>
      </c>
      <c r="BV30" s="8">
        <f t="shared" ca="1" si="35"/>
        <v>1</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Inter Mailand</v>
      </c>
      <c r="BS31" s="9">
        <f t="shared" ref="BS31:BU38" ca="1" si="37">SUMIFS($X$64:$X$135,$V$64:$V$135,$BR31,$W$64:$W$135,BS$29)+SUMIFS($Y$64:$Y$135,$W$64:$W$135,$BR31,$V$64:$V$135,BS$29)</f>
        <v>15</v>
      </c>
      <c r="BT31" s="7"/>
      <c r="BU31" s="8">
        <f t="shared" ca="1" si="35"/>
        <v>5</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Fun Kickers Oes</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Fun Kickers Oes</v>
      </c>
      <c r="BS32" s="9">
        <f t="shared" ca="1" si="37"/>
        <v>3</v>
      </c>
      <c r="BT32" s="9">
        <f t="shared" ca="1" si="37"/>
        <v>3</v>
      </c>
      <c r="BU32" s="7"/>
      <c r="BV32" s="8">
        <f t="shared" ca="1" si="35"/>
        <v>5</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Mainz 05</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Mainz 05</v>
      </c>
      <c r="BS33" s="9">
        <f t="shared" ca="1" si="37"/>
        <v>1</v>
      </c>
      <c r="BT33" s="9">
        <f t="shared" ca="1" si="37"/>
        <v>7</v>
      </c>
      <c r="BU33" s="9">
        <f t="shared" ca="1" si="37"/>
        <v>11</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Raslo Winners</v>
      </c>
      <c r="BT40" s="2" t="str">
        <f ca="1">$F$5</f>
        <v>Inter Mailand</v>
      </c>
      <c r="BU40" s="2" t="str">
        <f ca="1">$F$6</f>
        <v>Fun Kickers Oes</v>
      </c>
      <c r="BV40" s="2" t="str">
        <f ca="1">$F$7</f>
        <v>Mainz 05</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Raslo Winners</v>
      </c>
      <c r="BS41" s="7"/>
      <c r="BT41" s="8">
        <f ca="1">BT30-BS31</f>
        <v>-6</v>
      </c>
      <c r="BU41" s="8">
        <f ca="1">BU30-BS32</f>
        <v>1</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Inter Mailand</v>
      </c>
      <c r="BS42" s="9">
        <f ca="1">IF(BT41="","",-1*BT41)</f>
        <v>6</v>
      </c>
      <c r="BT42" s="7"/>
      <c r="BU42" s="8">
        <f ca="1">BU31-BT32</f>
        <v>2</v>
      </c>
      <c r="BV42" s="8">
        <f ca="1">BV31-BT33</f>
        <v>-7</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Fun Kickers Oes</v>
      </c>
      <c r="BS43" s="9">
        <f ca="1">IF(BU41="","",-1*BU41)</f>
        <v>-1</v>
      </c>
      <c r="BT43" s="9">
        <f ca="1">IF(BU42="","",-1*BU42)</f>
        <v>-2</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Mainz 05</v>
      </c>
      <c r="BS44" s="9">
        <f ca="1">IF(BV41="","",-1*BV41)</f>
        <v>0</v>
      </c>
      <c r="BT44" s="9">
        <f ca="1">IF(BV42="","",-1*BV42)</f>
        <v>7</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Raslo Winners</v>
      </c>
      <c r="BT51" s="2" t="str">
        <f ca="1">$F$5</f>
        <v>Inter Mailand</v>
      </c>
      <c r="BU51" s="2" t="str">
        <f ca="1">$F$6</f>
        <v>Fun Kickers Oes</v>
      </c>
      <c r="BV51" s="2" t="str">
        <f ca="1">$F$7</f>
        <v>Mainz 05</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Raslo Winners</v>
      </c>
      <c r="BS52" s="7"/>
      <c r="BT52" s="8">
        <f t="shared" ref="BT52:CA58" ca="1" si="41">SUMIFS($AE$64:$AE$135,$V$64:$V$135,$BR52,$W$64:$W$135,BT$51)+SUMIFS($AF$64:$AF$135,$W$64:$W$135,$BR52,$V$64:$V$135,BT$51)</f>
        <v>0</v>
      </c>
      <c r="BU52" s="8">
        <f t="shared" ca="1" si="41"/>
        <v>3</v>
      </c>
      <c r="BV52" s="8">
        <f t="shared" ca="1" si="41"/>
        <v>1</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Inter Mailand</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Fun Kickers Oes</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Mainz 05</v>
      </c>
      <c r="BS55" s="9">
        <f t="shared" ca="1" si="42"/>
        <v>1</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IF('Finals 4'!$AE19="","",'Finals 4'!$AE19)</f>
        <v>Raslo Winners</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IF(AA64&gt;0,X64&amp;Language!$E$80&amp;Y64,"")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 ca="1">IF('Finals 4'!$AE20="","",'Finals 4'!$AE20)</f>
        <v>Inter Mailand</v>
      </c>
      <c r="U65" s="67" t="s">
        <v>8</v>
      </c>
      <c r="V65" s="41" t="str">
        <f ca="1">'Finals 4'!$I13</f>
        <v>VFB Essenheim</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3">V65&amp;W65</f>
        <v>VFB EssenheimSSV Wildbach</v>
      </c>
      <c r="AA65" s="13">
        <f t="shared" ref="AA65:AA88" ca="1" si="44">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IF('Finals 4'!$AE21="","",'Finals 4'!$AE21)</f>
        <v>Fun Kickers Oes</v>
      </c>
      <c r="U66" s="67" t="s">
        <v>9</v>
      </c>
      <c r="V66" s="41" t="str">
        <f ca="1">'Finals 4'!$I14</f>
        <v>Knock Out Rangers</v>
      </c>
      <c r="W66" s="13" t="str">
        <f ca="1">'Finals 4'!$K14</f>
        <v>FC Grönlingen</v>
      </c>
      <c r="X66" s="13">
        <f ca="1">IF(AND('Finals 4'!$L14&lt;&gt;"",'Finals 4'!$N14&lt;&gt;"",$V66&lt;&gt;$W66,$V66&lt;&gt;"",$W66&lt;&gt;""),'Finals 4'!$L14,"")</f>
        <v>2</v>
      </c>
      <c r="Y66" s="36">
        <f ca="1">IF(AND('Finals 4'!$L14&lt;&gt;"",'Finals 4'!$N14&lt;&gt;"",$V66&lt;&gt;$W66,$V66&lt;&gt;"",$W66&lt;&gt;""),'Finals 4'!$N14,"")</f>
        <v>1</v>
      </c>
      <c r="Z66" s="35" t="str">
        <f t="shared" ca="1" si="43"/>
        <v>Knock Out RangersFC Grönlingen</v>
      </c>
      <c r="AA66" s="13">
        <f t="shared" ca="1" si="44"/>
        <v>1</v>
      </c>
      <c r="AB66" s="13" t="str">
        <f ca="1">IF(AA66&gt;0,X66&amp;Language!$E$80&amp;Y66,"")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4'!$AE22="","",'Finals 4'!$AE22)</f>
        <v>Mainz 05</v>
      </c>
      <c r="U67" s="67" t="s">
        <v>10</v>
      </c>
      <c r="V67" s="41" t="str">
        <f ca="1">'Finals 4'!$I15</f>
        <v>Raslo Winners</v>
      </c>
      <c r="W67" s="13" t="str">
        <f ca="1">'Finals 4'!$K15</f>
        <v>Mainz 05</v>
      </c>
      <c r="X67" s="13">
        <f ca="1">IF(AND('Finals 4'!$L15&lt;&gt;"",'Finals 4'!$N15&lt;&gt;"",$V67&lt;&gt;$W67,$V67&lt;&gt;"",$W67&lt;&gt;""),'Finals 4'!$L15,"")</f>
        <v>1</v>
      </c>
      <c r="Y67" s="36">
        <f ca="1">IF(AND('Finals 4'!$L15&lt;&gt;"",'Finals 4'!$N15&lt;&gt;"",$V67&lt;&gt;$W67,$V67&lt;&gt;"",$W67&lt;&gt;""),'Finals 4'!$N15,"")</f>
        <v>1</v>
      </c>
      <c r="Z67" s="35" t="str">
        <f t="shared" ca="1" si="43"/>
        <v>Raslo WinnersMainz 05</v>
      </c>
      <c r="AA67" s="13">
        <f t="shared" ca="1" si="44"/>
        <v>1</v>
      </c>
      <c r="AB67" s="13" t="str">
        <f ca="1">IF(AA67&gt;0,X67&amp;Language!$E$80&amp;Y67,"")</f>
        <v>1-1</v>
      </c>
      <c r="AD67" s="144"/>
      <c r="AE67" s="149">
        <f ca="1">IF($AA67=0,"",IF($X67&gt;$Y67,Settings!$C$4,IF($X67=$Y67,1,0)))</f>
        <v>1</v>
      </c>
      <c r="AF67" s="144">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FC Barcelona</v>
      </c>
      <c r="W68" s="13" t="str">
        <f ca="1">'Finals 4'!$K16</f>
        <v>AC Roma</v>
      </c>
      <c r="X68" s="13">
        <f ca="1">IF(AND('Finals 4'!$L16&lt;&gt;"",'Finals 4'!$N16&lt;&gt;"",$V68&lt;&gt;$W68,$V68&lt;&gt;"",$W68&lt;&gt;""),'Finals 4'!$L16,"")</f>
        <v>5</v>
      </c>
      <c r="Y68" s="36">
        <f ca="1">IF(AND('Finals 4'!$L16&lt;&gt;"",'Finals 4'!$N16&lt;&gt;"",$V68&lt;&gt;$W68,$V68&lt;&gt;"",$W68&lt;&gt;""),'Finals 4'!$N16,"")</f>
        <v>1</v>
      </c>
      <c r="Z68" s="35" t="str">
        <f t="shared" ca="1" si="43"/>
        <v>FC BarcelonaAC Roma</v>
      </c>
      <c r="AA68" s="13">
        <f t="shared" ca="1" si="44"/>
        <v>1</v>
      </c>
      <c r="AB68" s="13" t="str">
        <f ca="1">IF(AA68&gt;0,X68&amp;Language!$E$80&amp;Y68,"")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VFL Ronsdorf</v>
      </c>
      <c r="W69" s="13" t="str">
        <f ca="1">'Finals 4'!$K17</f>
        <v>1. FC Riedwald</v>
      </c>
      <c r="X69" s="13">
        <f ca="1">IF(AND('Finals 4'!$L17&lt;&gt;"",'Finals 4'!$N17&lt;&gt;"",$V69&lt;&gt;$W69,$V69&lt;&gt;"",$W69&lt;&gt;""),'Finals 4'!$L17,"")</f>
        <v>2</v>
      </c>
      <c r="Y69" s="36">
        <f ca="1">IF(AND('Finals 4'!$L17&lt;&gt;"",'Finals 4'!$N17&lt;&gt;"",$V69&lt;&gt;$W69,$V69&lt;&gt;"",$W69&lt;&gt;""),'Finals 4'!$N17,"")</f>
        <v>0</v>
      </c>
      <c r="Z69" s="35" t="str">
        <f t="shared" ca="1" si="43"/>
        <v>VFL Ronsdorf1. FC Riedwald</v>
      </c>
      <c r="AA69" s="13">
        <f t="shared" ca="1" si="44"/>
        <v>1</v>
      </c>
      <c r="AB69" s="13" t="str">
        <f ca="1">IF(AA69&gt;0,X69&amp;Language!$E$80&amp;Y69,"")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Borussia Heine</v>
      </c>
      <c r="W70" s="13" t="str">
        <f ca="1">'Finals 4'!$K18</f>
        <v>Maibach 1822 eV</v>
      </c>
      <c r="X70" s="13">
        <f ca="1">IF(AND('Finals 4'!$L18&lt;&gt;"",'Finals 4'!$N18&lt;&gt;"",$V70&lt;&gt;$W70,$V70&lt;&gt;"",$W70&lt;&gt;""),'Finals 4'!$L18,"")</f>
        <v>1</v>
      </c>
      <c r="Y70" s="36">
        <f ca="1">IF(AND('Finals 4'!$L18&lt;&gt;"",'Finals 4'!$N18&lt;&gt;"",$V70&lt;&gt;$W70,$V70&lt;&gt;"",$W70&lt;&gt;""),'Finals 4'!$N18,"")</f>
        <v>2</v>
      </c>
      <c r="Z70" s="35" t="str">
        <f t="shared" ca="1" si="43"/>
        <v>Borussia HeineMaibach 1822 eV</v>
      </c>
      <c r="AA70" s="13">
        <f t="shared" ca="1" si="44"/>
        <v>1</v>
      </c>
      <c r="AB70" s="13" t="str">
        <f ca="1">IF(AA70&gt;0,X70&amp;Language!$E$80&amp;Y70,"")</f>
        <v>1-2</v>
      </c>
      <c r="AD70" s="144"/>
      <c r="AE70" s="149">
        <f ca="1">IF($AA70=0,"",IF($X70&gt;$Y70,Settings!$C$4,IF($X70=$Y70,1,0)))</f>
        <v>0</v>
      </c>
      <c r="AF70" s="144">
        <f ca="1">IF($AA70=0,"",IF($X70&lt;$Y70,Settings!$C$4,IF($X70=$Y70,1,0)))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Inter Mailand</v>
      </c>
      <c r="W71" s="13" t="str">
        <f ca="1">'Finals 4'!$K19</f>
        <v>Fun Kickers Oes</v>
      </c>
      <c r="X71" s="13">
        <f ca="1">IF(AND('Finals 4'!$L19&lt;&gt;"",'Finals 4'!$N19&lt;&gt;"",$V71&lt;&gt;$W71,$V71&lt;&gt;"",$W71&lt;&gt;""),'Finals 4'!$L19,"")</f>
        <v>5</v>
      </c>
      <c r="Y71" s="36">
        <f ca="1">IF(AND('Finals 4'!$L19&lt;&gt;"",'Finals 4'!$N19&lt;&gt;"",$V71&lt;&gt;$W71,$V71&lt;&gt;"",$W71&lt;&gt;""),'Finals 4'!$N19,"")</f>
        <v>3</v>
      </c>
      <c r="Z71" s="35" t="str">
        <f t="shared" ca="1" si="43"/>
        <v>Inter MailandFun Kickers Oes</v>
      </c>
      <c r="AA71" s="13">
        <f t="shared" ca="1" si="44"/>
        <v>1</v>
      </c>
      <c r="AB71" s="13" t="str">
        <f ca="1">IF(AA71&gt;0,X71&amp;Language!$E$80&amp;Y71,"")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Manchester CityEintracht Frankfurt</v>
      </c>
      <c r="AA72" s="13">
        <f t="shared" ca="1" si="44"/>
        <v>1</v>
      </c>
      <c r="AB72" s="13" t="str">
        <f ca="1">IF(AA72&gt;0,X72&amp;Language!$E$80&amp;Y72,"")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VFB Essenheim</v>
      </c>
      <c r="W73" s="13" t="str">
        <f ca="1">'Finals 4'!$K21</f>
        <v>1. FC Riedwald</v>
      </c>
      <c r="X73" s="13">
        <f ca="1">IF(AND('Finals 4'!$L21&lt;&gt;"",'Finals 4'!$N21&lt;&gt;"",$V73&lt;&gt;$W73,$V73&lt;&gt;"",$W73&lt;&gt;""),'Finals 4'!$L21,"")</f>
        <v>2</v>
      </c>
      <c r="Y73" s="36">
        <f ca="1">IF(AND('Finals 4'!$L21&lt;&gt;"",'Finals 4'!$N21&lt;&gt;"",$V73&lt;&gt;$W73,$V73&lt;&gt;"",$W73&lt;&gt;""),'Finals 4'!$N21,"")</f>
        <v>2</v>
      </c>
      <c r="Z73" s="35" t="str">
        <f t="shared" ca="1" si="43"/>
        <v>VFB Essenheim1. FC Riedwald</v>
      </c>
      <c r="AA73" s="13">
        <f t="shared" ca="1" si="44"/>
        <v>1</v>
      </c>
      <c r="AB73" s="13" t="str">
        <f ca="1">IF(AA73&gt;0,X73&amp;Language!$E$80&amp;Y73,"")</f>
        <v>2-2</v>
      </c>
      <c r="AD73" s="144"/>
      <c r="AE73" s="149">
        <f ca="1">IF($AA73=0,"",IF($X73&gt;$Y73,Settings!$C$4,IF($X73=$Y73,1,0)))</f>
        <v>1</v>
      </c>
      <c r="AF73" s="144">
        <f ca="1">IF($AA73=0,"",IF($X73&lt;$Y73,Settings!$C$4,IF($X73=$Y73,1,0)))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Knock Out Rangers</v>
      </c>
      <c r="W74" s="13" t="str">
        <f ca="1">'Finals 4'!$K22</f>
        <v>Maibach 1822 eV</v>
      </c>
      <c r="X74" s="13">
        <f ca="1">IF(AND('Finals 4'!$L22&lt;&gt;"",'Finals 4'!$N22&lt;&gt;"",$V74&lt;&gt;$W74,$V74&lt;&gt;"",$W74&lt;&gt;""),'Finals 4'!$L22,"")</f>
        <v>4</v>
      </c>
      <c r="Y74" s="36">
        <f ca="1">IF(AND('Finals 4'!$L22&lt;&gt;"",'Finals 4'!$N22&lt;&gt;"",$V74&lt;&gt;$W74,$V74&lt;&gt;"",$W74&lt;&gt;""),'Finals 4'!$N22,"")</f>
        <v>2</v>
      </c>
      <c r="Z74" s="35" t="str">
        <f ca="1">V74&amp;W74</f>
        <v>Knock Out RangersMaibach 1822 eV</v>
      </c>
      <c r="AA74" s="13">
        <f t="shared" ca="1" si="44"/>
        <v>1</v>
      </c>
      <c r="AB74" s="13" t="str">
        <f ca="1">IF(AA74&gt;0,X74&amp;Language!$E$80&amp;Y74,"")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Raslo Winners</v>
      </c>
      <c r="W75" s="13" t="str">
        <f ca="1">'Finals 4'!$K23</f>
        <v>Fun Kickers Oes</v>
      </c>
      <c r="X75" s="13">
        <f ca="1">IF(AND('Finals 4'!$L23&lt;&gt;"",'Finals 4'!$N23&lt;&gt;"",$V75&lt;&gt;$W75,$V75&lt;&gt;"",$W75&lt;&gt;""),'Finals 4'!$L23,"")</f>
        <v>4</v>
      </c>
      <c r="Y75" s="36">
        <f ca="1">IF(AND('Finals 4'!$L23&lt;&gt;"",'Finals 4'!$N23&lt;&gt;"",$V75&lt;&gt;$W75,$V75&lt;&gt;"",$W75&lt;&gt;""),'Finals 4'!$N23,"")</f>
        <v>3</v>
      </c>
      <c r="Z75" s="35" t="str">
        <f t="shared" ref="Z75:Z88" ca="1" si="45">V75&amp;W75</f>
        <v>Raslo WinnersFun Kickers Oes</v>
      </c>
      <c r="AA75" s="13">
        <f t="shared" ca="1" si="44"/>
        <v>1</v>
      </c>
      <c r="AB75" s="13" t="str">
        <f ca="1">IF(AA75&gt;0,X75&amp;Language!$E$80&amp;Y75,"")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FC Barcelona</v>
      </c>
      <c r="W76" s="13" t="str">
        <f ca="1">'Finals 4'!$K24</f>
        <v>Eintracht Frankfurt</v>
      </c>
      <c r="X76" s="13">
        <f ca="1">IF(AND('Finals 4'!$L24&lt;&gt;"",'Finals 4'!$N24&lt;&gt;"",$V76&lt;&gt;$W76,$V76&lt;&gt;"",$W76&lt;&gt;""),'Finals 4'!$L24,"")</f>
        <v>0</v>
      </c>
      <c r="Y76" s="36">
        <f ca="1">IF(AND('Finals 4'!$L24&lt;&gt;"",'Finals 4'!$N24&lt;&gt;"",$V76&lt;&gt;$W76,$V76&lt;&gt;"",$W76&lt;&gt;""),'Finals 4'!$N24,"")</f>
        <v>0</v>
      </c>
      <c r="Z76" s="35" t="str">
        <f t="shared" ca="1" si="45"/>
        <v>FC BarcelonaEintracht Frankfurt</v>
      </c>
      <c r="AA76" s="13">
        <f t="shared" ca="1" si="44"/>
        <v>1</v>
      </c>
      <c r="AB76" s="13" t="str">
        <f ca="1">IF(AA76&gt;0,X76&amp;Language!$E$80&amp;Y76,"")</f>
        <v>0-0</v>
      </c>
      <c r="AD76" s="144"/>
      <c r="AE76" s="149">
        <f ca="1">IF($AA76=0,"",IF($X76&gt;$Y76,Settings!$C$4,IF($X76=$Y76,1,0)))</f>
        <v>1</v>
      </c>
      <c r="AF76" s="144">
        <f ca="1">IF($AA76=0,"",IF($X76&lt;$Y76,Settings!$C$4,IF($X76=$Y76,1,0)))</f>
        <v>1</v>
      </c>
    </row>
    <row r="77" spans="2:43" s="2" customFormat="1" x14ac:dyDescent="0.2">
      <c r="B77" s="4"/>
      <c r="C77" s="4"/>
      <c r="D77" s="4"/>
      <c r="E77" s="4"/>
      <c r="F77" s="13"/>
      <c r="G77" s="13"/>
      <c r="H77" s="13"/>
      <c r="I77" s="13"/>
      <c r="J77" s="13"/>
      <c r="K77" s="13"/>
      <c r="L77" s="13"/>
      <c r="M77" s="13"/>
      <c r="U77" s="67" t="s">
        <v>29</v>
      </c>
      <c r="V77" s="41" t="str">
        <f ca="1">'Finals 4'!$I25</f>
        <v>VFL Ronsdorf</v>
      </c>
      <c r="W77" s="13" t="str">
        <f ca="1">'Finals 4'!$K25</f>
        <v>SSV Wildbach</v>
      </c>
      <c r="X77" s="13">
        <f ca="1">IF(AND('Finals 4'!$L25&lt;&gt;"",'Finals 4'!$N25&lt;&gt;"",$V77&lt;&gt;$W77,$V77&lt;&gt;"",$W77&lt;&gt;""),'Finals 4'!$L25,"")</f>
        <v>1</v>
      </c>
      <c r="Y77" s="36">
        <f ca="1">IF(AND('Finals 4'!$L25&lt;&gt;"",'Finals 4'!$N25&lt;&gt;"",$V77&lt;&gt;$W77,$V77&lt;&gt;"",$W77&lt;&gt;""),'Finals 4'!$N25,"")</f>
        <v>5</v>
      </c>
      <c r="Z77" s="35" t="str">
        <f t="shared" ca="1" si="45"/>
        <v>VFL RonsdorfSSV Wildbach</v>
      </c>
      <c r="AA77" s="13">
        <f t="shared" ca="1" si="44"/>
        <v>1</v>
      </c>
      <c r="AB77" s="13" t="str">
        <f ca="1">IF(AA77&gt;0,X77&amp;Language!$E$80&amp;Y77,"")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Borussia Heine</v>
      </c>
      <c r="W78" s="13" t="str">
        <f ca="1">'Finals 4'!$K26</f>
        <v>FC Grönlingen</v>
      </c>
      <c r="X78" s="13">
        <f ca="1">IF(AND('Finals 4'!$L26&lt;&gt;"",'Finals 4'!$N26&lt;&gt;"",$V78&lt;&gt;$W78,$V78&lt;&gt;"",$W78&lt;&gt;""),'Finals 4'!$L26,"")</f>
        <v>4</v>
      </c>
      <c r="Y78" s="36">
        <f ca="1">IF(AND('Finals 4'!$L26&lt;&gt;"",'Finals 4'!$N26&lt;&gt;"",$V78&lt;&gt;$W78,$V78&lt;&gt;"",$W78&lt;&gt;""),'Finals 4'!$N26,"")</f>
        <v>4</v>
      </c>
      <c r="Z78" s="35" t="str">
        <f t="shared" ca="1" si="45"/>
        <v>Borussia HeineFC Grönlingen</v>
      </c>
      <c r="AA78" s="13">
        <f t="shared" ca="1" si="44"/>
        <v>1</v>
      </c>
      <c r="AB78" s="13" t="str">
        <f ca="1">IF(AA78&gt;0,X78&amp;Language!$E$80&amp;Y78,"")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Inter Mailand</v>
      </c>
      <c r="W79" s="13" t="str">
        <f ca="1">'Finals 4'!$K27</f>
        <v>Mainz 05</v>
      </c>
      <c r="X79" s="13">
        <f ca="1">IF(AND('Finals 4'!$L27&lt;&gt;"",'Finals 4'!$N27&lt;&gt;"",$V79&lt;&gt;$W79,$V79&lt;&gt;"",$W79&lt;&gt;""),'Finals 4'!$L27,"")</f>
        <v>0</v>
      </c>
      <c r="Y79" s="36">
        <f ca="1">IF(AND('Finals 4'!$L27&lt;&gt;"",'Finals 4'!$N27&lt;&gt;"",$V79&lt;&gt;$W79,$V79&lt;&gt;"",$W79&lt;&gt;""),'Finals 4'!$N27,"")</f>
        <v>7</v>
      </c>
      <c r="Z79" s="35" t="str">
        <f t="shared" ca="1" si="45"/>
        <v>Inter MailandMainz 05</v>
      </c>
      <c r="AA79" s="13">
        <f t="shared" ca="1" si="44"/>
        <v>1</v>
      </c>
      <c r="AB79" s="13" t="str">
        <f ca="1">IF(AA79&gt;0,X79&amp;Language!$E$80&amp;Y79,"")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Manchester City</v>
      </c>
      <c r="W80" s="13" t="str">
        <f ca="1">'Finals 4'!$K28</f>
        <v>AC Roma</v>
      </c>
      <c r="X80" s="13">
        <f ca="1">IF(AND('Finals 4'!$L28&lt;&gt;"",'Finals 4'!$N28&lt;&gt;"",$V80&lt;&gt;$W80,$V80&lt;&gt;"",$W80&lt;&gt;""),'Finals 4'!$L28,"")</f>
        <v>2</v>
      </c>
      <c r="Y80" s="36">
        <f ca="1">IF(AND('Finals 4'!$L28&lt;&gt;"",'Finals 4'!$N28&lt;&gt;"",$V80&lt;&gt;$W80,$V80&lt;&gt;"",$W80&lt;&gt;""),'Finals 4'!$N28,"")</f>
        <v>8</v>
      </c>
      <c r="Z80" s="35" t="str">
        <f t="shared" ca="1" si="45"/>
        <v>Manchester CityAC Roma</v>
      </c>
      <c r="AA80" s="13">
        <f t="shared" ca="1" si="44"/>
        <v>1</v>
      </c>
      <c r="AB80" s="13" t="str">
        <f ca="1">IF(AA80&gt;0,X80&amp;Language!$E$80&amp;Y80,"")</f>
        <v>2-8</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1. FC Riedwald</v>
      </c>
      <c r="W81" s="13" t="str">
        <f ca="1">'Finals 4'!$K29</f>
        <v>SSV Wildbach</v>
      </c>
      <c r="X81" s="13">
        <f ca="1">IF(AND('Finals 4'!$L29&lt;&gt;"",'Finals 4'!$N29&lt;&gt;"",$V81&lt;&gt;$W81,$V81&lt;&gt;"",$W81&lt;&gt;""),'Finals 4'!$L29,"")</f>
        <v>3</v>
      </c>
      <c r="Y81" s="36">
        <f ca="1">IF(AND('Finals 4'!$L29&lt;&gt;"",'Finals 4'!$N29&lt;&gt;"",$V81&lt;&gt;$W81,$V81&lt;&gt;"",$W81&lt;&gt;""),'Finals 4'!$N29,"")</f>
        <v>9</v>
      </c>
      <c r="Z81" s="35" t="str">
        <f t="shared" ca="1" si="45"/>
        <v>1. FC RiedwaldSSV Wildbach</v>
      </c>
      <c r="AA81" s="13">
        <f t="shared" ca="1" si="44"/>
        <v>1</v>
      </c>
      <c r="AB81" s="13" t="str">
        <f ca="1">IF(AA81&gt;0,X81&amp;Language!$E$80&amp;Y81,"")</f>
        <v>3-9</v>
      </c>
      <c r="AC81" s="4"/>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'Finals 4'!$I30</f>
        <v>Maibach 1822 eV</v>
      </c>
      <c r="W82" s="13" t="str">
        <f ca="1">'Finals 4'!$K30</f>
        <v>FC Grönlingen</v>
      </c>
      <c r="X82" s="13">
        <f ca="1">IF(AND('Finals 4'!$L30&lt;&gt;"",'Finals 4'!$N30&lt;&gt;"",$V82&lt;&gt;$W82,$V82&lt;&gt;"",$W82&lt;&gt;""),'Finals 4'!$L30,"")</f>
        <v>4</v>
      </c>
      <c r="Y82" s="36">
        <f ca="1">IF(AND('Finals 4'!$L30&lt;&gt;"",'Finals 4'!$N30&lt;&gt;"",$V82&lt;&gt;$W82,$V82&lt;&gt;"",$W82&lt;&gt;""),'Finals 4'!$N30,"")</f>
        <v>10</v>
      </c>
      <c r="Z82" s="35" t="str">
        <f t="shared" ca="1" si="45"/>
        <v>Maibach 1822 eVFC Grönlingen</v>
      </c>
      <c r="AA82" s="13">
        <f t="shared" ca="1" si="44"/>
        <v>1</v>
      </c>
      <c r="AB82" s="13" t="str">
        <f ca="1">IF(AA82&gt;0,X82&amp;Language!$E$80&amp;Y82,"")</f>
        <v>4-10</v>
      </c>
      <c r="AC82" s="4"/>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Fun Kickers Oes</v>
      </c>
      <c r="W83" s="13" t="str">
        <f ca="1">'Finals 4'!$K31</f>
        <v>Mainz 05</v>
      </c>
      <c r="X83" s="13">
        <f ca="1">IF(AND('Finals 4'!$L31&lt;&gt;"",'Finals 4'!$N31&lt;&gt;"",$V83&lt;&gt;$W83,$V83&lt;&gt;"",$W83&lt;&gt;""),'Finals 4'!$L31,"")</f>
        <v>5</v>
      </c>
      <c r="Y83" s="36">
        <f ca="1">IF(AND('Finals 4'!$L31&lt;&gt;"",'Finals 4'!$N31&lt;&gt;"",$V83&lt;&gt;$W83,$V83&lt;&gt;"",$W83&lt;&gt;""),'Finals 4'!$N31,"")</f>
        <v>11</v>
      </c>
      <c r="Z83" s="35" t="str">
        <f t="shared" ca="1" si="45"/>
        <v>Fun Kickers OesMainz 05</v>
      </c>
      <c r="AA83" s="13">
        <f t="shared" ca="1" si="44"/>
        <v>1</v>
      </c>
      <c r="AB83" s="13" t="str">
        <f ca="1">IF(AA83&gt;0,X83&amp;Language!$E$80&amp;Y83,"")</f>
        <v>5-11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'Finals 4'!$I32</f>
        <v>Eintracht Frankfurt</v>
      </c>
      <c r="W84" s="13" t="str">
        <f ca="1">'Finals 4'!$K32</f>
        <v>AC Roma</v>
      </c>
      <c r="X84" s="13">
        <f ca="1">IF(AND('Finals 4'!$L32&lt;&gt;"",'Finals 4'!$N32&lt;&gt;"",$V84&lt;&gt;$W84,$V84&lt;&gt;"",$W84&lt;&gt;""),'Finals 4'!$L32,"")</f>
        <v>6</v>
      </c>
      <c r="Y84" s="36">
        <f ca="1">IF(AND('Finals 4'!$L32&lt;&gt;"",'Finals 4'!$N32&lt;&gt;"",$V84&lt;&gt;$W84,$V84&lt;&gt;"",$W84&lt;&gt;""),'Finals 4'!$N32,"")</f>
        <v>12</v>
      </c>
      <c r="Z84" s="35" t="str">
        <f t="shared" ca="1" si="45"/>
        <v>Eintracht FrankfurtAC Roma</v>
      </c>
      <c r="AA84" s="13">
        <f t="shared" ca="1" si="44"/>
        <v>1</v>
      </c>
      <c r="AB84" s="13" t="str">
        <f ca="1">IF(AA84&gt;0,X84&amp;Language!$E$80&amp;Y84,"")</f>
        <v>6-12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VFL Ronsdorf</v>
      </c>
      <c r="X85" s="13">
        <f ca="1">IF(AND('Finals 4'!$L33&lt;&gt;"",'Finals 4'!$N33&lt;&gt;"",$V85&lt;&gt;$W85,$V85&lt;&gt;"",$W85&lt;&gt;""),'Finals 4'!$L33,"")</f>
        <v>7</v>
      </c>
      <c r="Y85" s="36">
        <f ca="1">IF(AND('Finals 4'!$L33&lt;&gt;"",'Finals 4'!$N33&lt;&gt;"",$V85&lt;&gt;$W85,$V85&lt;&gt;"",$W85&lt;&gt;""),'Finals 4'!$N33,"")</f>
        <v>13</v>
      </c>
      <c r="Z85" s="35" t="str">
        <f t="shared" ca="1" si="45"/>
        <v>VFB EssenheimVFL Ronsdorf</v>
      </c>
      <c r="AA85" s="13">
        <f t="shared" ca="1" si="44"/>
        <v>1</v>
      </c>
      <c r="AB85" s="13" t="str">
        <f ca="1">IF(AA85&gt;0,X85&amp;Language!$E$80&amp;Y85,"")</f>
        <v>7-13</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Knock Out Rangers</v>
      </c>
      <c r="W86" s="13" t="str">
        <f ca="1">'Finals 4'!$K34</f>
        <v>Borussia Heine</v>
      </c>
      <c r="X86" s="13">
        <f ca="1">IF(AND('Finals 4'!$L34&lt;&gt;"",'Finals 4'!$N34&lt;&gt;"",$V86&lt;&gt;$W86,$V86&lt;&gt;"",$W86&lt;&gt;""),'Finals 4'!$L34,"")</f>
        <v>8</v>
      </c>
      <c r="Y86" s="36">
        <f ca="1">IF(AND('Finals 4'!$L34&lt;&gt;"",'Finals 4'!$N34&lt;&gt;"",$V86&lt;&gt;$W86,$V86&lt;&gt;"",$W86&lt;&gt;""),'Finals 4'!$N34,"")</f>
        <v>14</v>
      </c>
      <c r="Z86" s="35" t="str">
        <f t="shared" ca="1" si="45"/>
        <v>Knock Out RangersBorussia Heine</v>
      </c>
      <c r="AA86" s="13">
        <f t="shared" ca="1" si="44"/>
        <v>1</v>
      </c>
      <c r="AB86" s="13" t="str">
        <f ca="1">IF(AA86&gt;0,X86&amp;Language!$E$80&amp;Y86,"")</f>
        <v>8-14</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'Finals 4'!$I35</f>
        <v>Raslo Winners</v>
      </c>
      <c r="W87" s="13" t="str">
        <f ca="1">'Finals 4'!$K35</f>
        <v>Inter Mailand</v>
      </c>
      <c r="X87" s="13">
        <f ca="1">IF(AND('Finals 4'!$L35&lt;&gt;"",'Finals 4'!$N35&lt;&gt;"",$V87&lt;&gt;$W87,$V87&lt;&gt;"",$W87&lt;&gt;""),'Finals 4'!$L35,"")</f>
        <v>9</v>
      </c>
      <c r="Y87" s="36">
        <f ca="1">IF(AND('Finals 4'!$L35&lt;&gt;"",'Finals 4'!$N35&lt;&gt;"",$V87&lt;&gt;$W87,$V87&lt;&gt;"",$W87&lt;&gt;""),'Finals 4'!$N35,"")</f>
        <v>15</v>
      </c>
      <c r="Z87" s="35" t="str">
        <f t="shared" ca="1" si="45"/>
        <v>Raslo WinnersInter Mailand</v>
      </c>
      <c r="AA87" s="13">
        <f t="shared" ca="1" si="44"/>
        <v>1</v>
      </c>
      <c r="AB87" s="13" t="str">
        <f ca="1">IF(AA87&gt;0,X87&amp;Language!$E$80&amp;Y87,"")</f>
        <v>9-15</v>
      </c>
      <c r="AD87" s="144"/>
      <c r="AE87" s="149">
        <f ca="1">IF($AA87=0,"",IF($X87&gt;$Y87,Settings!$C$4,IF($X87=$Y87,1,0)))</f>
        <v>0</v>
      </c>
      <c r="AF87" s="144">
        <f ca="1">IF($AA87=0,"",IF($X87&lt;$Y87,Settings!$C$4,IF($X87=$Y87,1,0)))</f>
        <v>3</v>
      </c>
    </row>
    <row r="88" spans="2:32" s="2" customFormat="1" x14ac:dyDescent="0.2">
      <c r="B88" s="4"/>
      <c r="C88" s="4"/>
      <c r="D88" s="4"/>
      <c r="E88" s="4"/>
      <c r="F88" s="13"/>
      <c r="G88" s="13"/>
      <c r="H88" s="13"/>
      <c r="I88" s="13"/>
      <c r="J88" s="13"/>
      <c r="K88" s="13"/>
      <c r="L88" s="13"/>
      <c r="M88" s="13"/>
      <c r="U88" s="67" t="s">
        <v>40</v>
      </c>
      <c r="V88" s="41" t="str">
        <f ca="1">'Finals 4'!$I36</f>
        <v>FC Barcelona</v>
      </c>
      <c r="W88" s="13" t="str">
        <f ca="1">'Finals 4'!$K36</f>
        <v>Manchester City</v>
      </c>
      <c r="X88" s="13">
        <f ca="1">IF(AND('Finals 4'!$L36&lt;&gt;"",'Finals 4'!$N36&lt;&gt;"",$V88&lt;&gt;$W88,$V88&lt;&gt;"",$W88&lt;&gt;""),'Finals 4'!$L36,"")</f>
        <v>4</v>
      </c>
      <c r="Y88" s="36">
        <f ca="1">IF(AND('Finals 4'!$L36&lt;&gt;"",'Finals 4'!$N36&lt;&gt;"",$V88&lt;&gt;$W88,$V88&lt;&gt;"",$W88&lt;&gt;""),'Finals 4'!$N36,"")</f>
        <v>0</v>
      </c>
      <c r="Z88" s="35" t="str">
        <f t="shared" ca="1" si="45"/>
        <v>FC BarcelonaManchester City</v>
      </c>
      <c r="AA88" s="13">
        <f t="shared" ca="1" si="44"/>
        <v>1</v>
      </c>
      <c r="AB88" s="13" t="str">
        <f ca="1">IF(AA88&gt;0,X88&amp;Language!$E$80&amp;Y88,"")</f>
        <v>4-0</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IF(AA89&gt;0,X89&amp;Language!$E$80&amp;Y89,"")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IF(AA90&gt;0,X90&amp;Language!$E$80&amp;Y90,"")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IF(AA91&gt;0,X91&amp;Language!$E$80&amp;Y91,"")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IF(AA92&gt;0,X92&amp;Language!$E$80&amp;Y92,"")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IF(AA93&gt;0,X93&amp;Language!$E$80&amp;Y93,"")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IF(AA136&gt;0,Y64&amp;Language!$E$80&amp;X64,"")</f>
        <v/>
      </c>
      <c r="AD136" s="144"/>
    </row>
    <row r="137" spans="2:32" x14ac:dyDescent="0.2">
      <c r="Y137" s="67" t="s">
        <v>8</v>
      </c>
      <c r="Z137" s="35" t="str">
        <f ca="1">W65&amp;V65</f>
        <v>SSV WildbachVFB Essenheim</v>
      </c>
      <c r="AA137" s="13">
        <f t="shared" ref="AA137:AA200" ca="1" si="49">AA65</f>
        <v>1</v>
      </c>
      <c r="AB137" s="13" t="str">
        <f ca="1">IF(AA137&gt;0,Y65&amp;Language!$E$80&amp;X65,"")</f>
        <v>4-2</v>
      </c>
      <c r="AC137" s="2"/>
      <c r="AD137" s="144"/>
    </row>
    <row r="138" spans="2:32" x14ac:dyDescent="0.2">
      <c r="Y138" s="67" t="s">
        <v>9</v>
      </c>
      <c r="Z138" s="35" t="str">
        <f t="shared" ref="Z138:Z201" ca="1" si="50">W66&amp;V66</f>
        <v>FC GrönlingenKnock Out Rangers</v>
      </c>
      <c r="AA138" s="13">
        <f t="shared" ca="1" si="49"/>
        <v>1</v>
      </c>
      <c r="AB138" s="13" t="str">
        <f ca="1">IF(AA138&gt;0,Y66&amp;Language!$E$80&amp;X66,"")</f>
        <v>1-2</v>
      </c>
      <c r="AC138" s="2"/>
      <c r="AD138" s="144"/>
    </row>
    <row r="139" spans="2:32" x14ac:dyDescent="0.2">
      <c r="Y139" s="67" t="s">
        <v>10</v>
      </c>
      <c r="Z139" s="35" t="str">
        <f t="shared" ca="1" si="50"/>
        <v>Mainz 05Raslo Winners</v>
      </c>
      <c r="AA139" s="13">
        <f t="shared" ca="1" si="49"/>
        <v>1</v>
      </c>
      <c r="AB139" s="13" t="str">
        <f ca="1">IF(AA139&gt;0,Y67&amp;Language!$E$80&amp;X67,"")</f>
        <v>1-1</v>
      </c>
      <c r="AC139" s="2"/>
      <c r="AD139" s="144"/>
    </row>
    <row r="140" spans="2:32" x14ac:dyDescent="0.2">
      <c r="Y140" s="67" t="s">
        <v>11</v>
      </c>
      <c r="Z140" s="35" t="str">
        <f t="shared" ca="1" si="50"/>
        <v>AC RomaFC Barcelona</v>
      </c>
      <c r="AA140" s="13">
        <f t="shared" ca="1" si="49"/>
        <v>1</v>
      </c>
      <c r="AB140" s="13" t="str">
        <f ca="1">IF(AA140&gt;0,Y68&amp;Language!$E$80&amp;X68,"")</f>
        <v>1-5</v>
      </c>
      <c r="AC140" s="2"/>
      <c r="AD140" s="144"/>
    </row>
    <row r="141" spans="2:32" x14ac:dyDescent="0.2">
      <c r="Y141" s="67" t="s">
        <v>12</v>
      </c>
      <c r="Z141" s="35" t="str">
        <f t="shared" ca="1" si="50"/>
        <v>1. FC RiedwaldVFL Ronsdorf</v>
      </c>
      <c r="AA141" s="13">
        <f t="shared" ca="1" si="49"/>
        <v>1</v>
      </c>
      <c r="AB141" s="13" t="str">
        <f ca="1">IF(AA141&gt;0,Y69&amp;Language!$E$80&amp;X69,"")</f>
        <v>0-2</v>
      </c>
      <c r="AC141" s="2"/>
      <c r="AD141" s="144"/>
    </row>
    <row r="142" spans="2:32" x14ac:dyDescent="0.2">
      <c r="Y142" s="67" t="s">
        <v>17</v>
      </c>
      <c r="Z142" s="35" t="str">
        <f t="shared" ca="1" si="50"/>
        <v>Maibach 1822 eVBorussia Heine</v>
      </c>
      <c r="AA142" s="13">
        <f t="shared" ca="1" si="49"/>
        <v>1</v>
      </c>
      <c r="AB142" s="13" t="str">
        <f ca="1">IF(AA142&gt;0,Y70&amp;Language!$E$80&amp;X70,"")</f>
        <v>2-1</v>
      </c>
      <c r="AC142" s="2"/>
      <c r="AD142" s="144"/>
    </row>
    <row r="143" spans="2:32" x14ac:dyDescent="0.2">
      <c r="Y143" s="67" t="s">
        <v>18</v>
      </c>
      <c r="Z143" s="35" t="str">
        <f t="shared" ca="1" si="50"/>
        <v>Fun Kickers OesInter Mailand</v>
      </c>
      <c r="AA143" s="13">
        <f t="shared" ca="1" si="49"/>
        <v>1</v>
      </c>
      <c r="AB143" s="13" t="str">
        <f ca="1">IF(AA143&gt;0,Y71&amp;Language!$E$80&amp;X71,"")</f>
        <v>3-5</v>
      </c>
      <c r="AC143" s="2"/>
      <c r="AD143" s="144"/>
    </row>
    <row r="144" spans="2:32" x14ac:dyDescent="0.2">
      <c r="Y144" s="67" t="s">
        <v>19</v>
      </c>
      <c r="Z144" s="35" t="str">
        <f t="shared" ca="1" si="50"/>
        <v>Eintracht FrankfurtManchester City</v>
      </c>
      <c r="AA144" s="13">
        <f t="shared" ca="1" si="49"/>
        <v>1</v>
      </c>
      <c r="AB144" s="13" t="str">
        <f ca="1">IF(AA144&gt;0,Y72&amp;Language!$E$80&amp;X72,"")</f>
        <v>1-2</v>
      </c>
      <c r="AC144" s="2"/>
      <c r="AD144" s="144"/>
    </row>
    <row r="145" spans="25:30" x14ac:dyDescent="0.2">
      <c r="Y145" s="67" t="s">
        <v>25</v>
      </c>
      <c r="Z145" s="35" t="str">
        <f t="shared" ca="1" si="50"/>
        <v>1. FC RiedwaldVFB Essenheim</v>
      </c>
      <c r="AA145" s="13">
        <f t="shared" ca="1" si="49"/>
        <v>1</v>
      </c>
      <c r="AB145" s="13" t="str">
        <f ca="1">IF(AA145&gt;0,Y73&amp;Language!$E$80&amp;X73,"")</f>
        <v>2-2</v>
      </c>
      <c r="AC145" s="2"/>
      <c r="AD145" s="144"/>
    </row>
    <row r="146" spans="25:30" x14ac:dyDescent="0.2">
      <c r="Y146" s="67" t="s">
        <v>26</v>
      </c>
      <c r="Z146" s="35" t="str">
        <f t="shared" ca="1" si="50"/>
        <v>Maibach 1822 eVKnock Out Rangers</v>
      </c>
      <c r="AA146" s="13">
        <f t="shared" ca="1" si="49"/>
        <v>1</v>
      </c>
      <c r="AB146" s="13" t="str">
        <f ca="1">IF(AA146&gt;0,Y74&amp;Language!$E$80&amp;X74,"")</f>
        <v>2-4</v>
      </c>
      <c r="AC146" s="2"/>
      <c r="AD146" s="144"/>
    </row>
    <row r="147" spans="25:30" x14ac:dyDescent="0.2">
      <c r="Y147" s="67" t="s">
        <v>27</v>
      </c>
      <c r="Z147" s="35" t="str">
        <f t="shared" ca="1" si="50"/>
        <v>Fun Kickers OesRaslo Winners</v>
      </c>
      <c r="AA147" s="13">
        <f t="shared" ca="1" si="49"/>
        <v>1</v>
      </c>
      <c r="AB147" s="13" t="str">
        <f ca="1">IF(AA147&gt;0,Y75&amp;Language!$E$80&amp;X75,"")</f>
        <v>3-4</v>
      </c>
      <c r="AC147" s="2"/>
      <c r="AD147" s="144"/>
    </row>
    <row r="148" spans="25:30" x14ac:dyDescent="0.2">
      <c r="Y148" s="67" t="s">
        <v>28</v>
      </c>
      <c r="Z148" s="35" t="str">
        <f t="shared" ca="1" si="50"/>
        <v>Eintracht FrankfurtFC Barcelona</v>
      </c>
      <c r="AA148" s="13">
        <f t="shared" ca="1" si="49"/>
        <v>1</v>
      </c>
      <c r="AB148" s="13" t="str">
        <f ca="1">IF(AA148&gt;0,Y76&amp;Language!$E$80&amp;X76,"")</f>
        <v>0-0</v>
      </c>
      <c r="AC148" s="2"/>
      <c r="AD148" s="144"/>
    </row>
    <row r="149" spans="25:30" x14ac:dyDescent="0.2">
      <c r="Y149" s="67" t="s">
        <v>29</v>
      </c>
      <c r="Z149" s="35" t="str">
        <f t="shared" ca="1" si="50"/>
        <v>SSV WildbachVFL Ronsdorf</v>
      </c>
      <c r="AA149" s="13">
        <f t="shared" ca="1" si="49"/>
        <v>1</v>
      </c>
      <c r="AB149" s="13" t="str">
        <f ca="1">IF(AA149&gt;0,Y77&amp;Language!$E$80&amp;X77,"")</f>
        <v>5-1</v>
      </c>
      <c r="AC149" s="2"/>
      <c r="AD149" s="144"/>
    </row>
    <row r="150" spans="25:30" x14ac:dyDescent="0.2">
      <c r="Y150" s="67" t="s">
        <v>30</v>
      </c>
      <c r="Z150" s="35" t="str">
        <f t="shared" ca="1" si="50"/>
        <v>FC GrönlingenBorussia Heine</v>
      </c>
      <c r="AA150" s="13">
        <f t="shared" ca="1" si="49"/>
        <v>1</v>
      </c>
      <c r="AB150" s="13" t="str">
        <f ca="1">IF(AA150&gt;0,Y78&amp;Language!$E$80&amp;X78,"")</f>
        <v>4-4</v>
      </c>
      <c r="AC150" s="2"/>
      <c r="AD150" s="144"/>
    </row>
    <row r="151" spans="25:30" x14ac:dyDescent="0.2">
      <c r="Y151" s="67" t="s">
        <v>31</v>
      </c>
      <c r="Z151" s="35" t="str">
        <f t="shared" ca="1" si="50"/>
        <v>Mainz 05Inter Mailand</v>
      </c>
      <c r="AA151" s="13">
        <f t="shared" ca="1" si="49"/>
        <v>1</v>
      </c>
      <c r="AB151" s="13" t="str">
        <f ca="1">IF(AA151&gt;0,Y79&amp;Language!$E$80&amp;X79,"")</f>
        <v>7-0</v>
      </c>
      <c r="AC151" s="2"/>
      <c r="AD151" s="144"/>
    </row>
    <row r="152" spans="25:30" x14ac:dyDescent="0.2">
      <c r="Y152" s="67" t="s">
        <v>32</v>
      </c>
      <c r="Z152" s="35" t="str">
        <f t="shared" ca="1" si="50"/>
        <v>AC RomaManchester City</v>
      </c>
      <c r="AA152" s="13">
        <f t="shared" ca="1" si="49"/>
        <v>1</v>
      </c>
      <c r="AB152" s="13" t="str">
        <f ca="1">IF(AA152&gt;0,Y80&amp;Language!$E$80&amp;X80,"")</f>
        <v>8-2</v>
      </c>
      <c r="AC152" s="2"/>
      <c r="AD152" s="144"/>
    </row>
    <row r="153" spans="25:30" x14ac:dyDescent="0.2">
      <c r="Y153" s="67" t="s">
        <v>33</v>
      </c>
      <c r="Z153" s="35" t="str">
        <f t="shared" ca="1" si="50"/>
        <v>SSV Wildbach1. FC Riedwald</v>
      </c>
      <c r="AA153" s="13">
        <f t="shared" ca="1" si="49"/>
        <v>1</v>
      </c>
      <c r="AB153" s="13" t="str">
        <f ca="1">IF(AA153&gt;0,Y81&amp;Language!$E$80&amp;X81,"")</f>
        <v>9-3</v>
      </c>
      <c r="AC153" s="2"/>
      <c r="AD153" s="144"/>
    </row>
    <row r="154" spans="25:30" x14ac:dyDescent="0.2">
      <c r="Y154" s="67" t="s">
        <v>34</v>
      </c>
      <c r="Z154" s="35" t="str">
        <f t="shared" ca="1" si="50"/>
        <v>FC GrönlingenMaibach 1822 eV</v>
      </c>
      <c r="AA154" s="13">
        <f t="shared" ca="1" si="49"/>
        <v>1</v>
      </c>
      <c r="AB154" s="13" t="str">
        <f ca="1">IF(AA154&gt;0,Y82&amp;Language!$E$80&amp;X82,"")</f>
        <v>10-4</v>
      </c>
      <c r="AC154" s="2"/>
      <c r="AD154" s="144"/>
    </row>
    <row r="155" spans="25:30" x14ac:dyDescent="0.2">
      <c r="Y155" s="67" t="s">
        <v>35</v>
      </c>
      <c r="Z155" s="35" t="str">
        <f t="shared" ca="1" si="50"/>
        <v>Mainz 05Fun Kickers Oes</v>
      </c>
      <c r="AA155" s="13">
        <f t="shared" ca="1" si="49"/>
        <v>1</v>
      </c>
      <c r="AB155" s="13" t="str">
        <f ca="1">IF(AA155&gt;0,Y83&amp;Language!$E$80&amp;X83,"")</f>
        <v>11-5</v>
      </c>
      <c r="AC155" s="2"/>
      <c r="AD155" s="144"/>
    </row>
    <row r="156" spans="25:30" x14ac:dyDescent="0.2">
      <c r="Y156" s="67" t="s">
        <v>36</v>
      </c>
      <c r="Z156" s="35" t="str">
        <f t="shared" ca="1" si="50"/>
        <v>AC RomaEintracht Frankfurt</v>
      </c>
      <c r="AA156" s="13">
        <f t="shared" ca="1" si="49"/>
        <v>1</v>
      </c>
      <c r="AB156" s="13" t="str">
        <f ca="1">IF(AA156&gt;0,Y84&amp;Language!$E$80&amp;X84,"")</f>
        <v>12-6</v>
      </c>
      <c r="AC156" s="2"/>
      <c r="AD156" s="144"/>
    </row>
    <row r="157" spans="25:30" x14ac:dyDescent="0.2">
      <c r="Y157" s="67" t="s">
        <v>37</v>
      </c>
      <c r="Z157" s="35" t="str">
        <f t="shared" ca="1" si="50"/>
        <v>VFL RonsdorfVFB Essenheim</v>
      </c>
      <c r="AA157" s="13">
        <f t="shared" ca="1" si="49"/>
        <v>1</v>
      </c>
      <c r="AB157" s="13" t="str">
        <f ca="1">IF(AA157&gt;0,Y85&amp;Language!$E$80&amp;X85,"")</f>
        <v>13-7</v>
      </c>
      <c r="AC157" s="2"/>
      <c r="AD157" s="144"/>
    </row>
    <row r="158" spans="25:30" x14ac:dyDescent="0.2">
      <c r="Y158" s="67" t="s">
        <v>38</v>
      </c>
      <c r="Z158" s="35" t="str">
        <f t="shared" ca="1" si="50"/>
        <v>Borussia HeineKnock Out Rangers</v>
      </c>
      <c r="AA158" s="13">
        <f t="shared" ca="1" si="49"/>
        <v>1</v>
      </c>
      <c r="AB158" s="13" t="str">
        <f ca="1">IF(AA158&gt;0,Y86&amp;Language!$E$80&amp;X86,"")</f>
        <v>14-8</v>
      </c>
      <c r="AC158" s="2"/>
      <c r="AD158" s="144"/>
    </row>
    <row r="159" spans="25:30" x14ac:dyDescent="0.2">
      <c r="Y159" s="67" t="s">
        <v>39</v>
      </c>
      <c r="Z159" s="35" t="str">
        <f t="shared" ca="1" si="50"/>
        <v>Inter MailandRaslo Winners</v>
      </c>
      <c r="AA159" s="13">
        <f t="shared" ca="1" si="49"/>
        <v>1</v>
      </c>
      <c r="AB159" s="13" t="str">
        <f ca="1">IF(AA159&gt;0,Y87&amp;Language!$E$80&amp;X87,"")</f>
        <v>15-9</v>
      </c>
      <c r="AC159" s="2"/>
      <c r="AD159" s="144"/>
    </row>
    <row r="160" spans="25:30" x14ac:dyDescent="0.2">
      <c r="Y160" s="67" t="s">
        <v>40</v>
      </c>
      <c r="Z160" s="35" t="str">
        <f t="shared" ca="1" si="50"/>
        <v>Manchester CityFC Barcelona</v>
      </c>
      <c r="AA160" s="13">
        <f t="shared" ca="1" si="49"/>
        <v>1</v>
      </c>
      <c r="AB160" s="13" t="str">
        <f ca="1">IF(AA160&gt;0,Y88&amp;Language!$E$80&amp;X88,"")</f>
        <v>0-4</v>
      </c>
      <c r="AC160" s="2"/>
      <c r="AD160" s="144"/>
    </row>
    <row r="161" spans="25:30" x14ac:dyDescent="0.2">
      <c r="Y161" s="67" t="s">
        <v>41</v>
      </c>
      <c r="Z161" s="35" t="str">
        <f t="shared" si="50"/>
        <v/>
      </c>
      <c r="AA161" s="13">
        <f t="shared" si="49"/>
        <v>0</v>
      </c>
      <c r="AB161" s="13" t="str">
        <f>IF(AA161&gt;0,Y89&amp;Language!$E$80&amp;X89,"")</f>
        <v/>
      </c>
      <c r="AC161" s="2"/>
      <c r="AD161" s="144"/>
    </row>
    <row r="162" spans="25:30" x14ac:dyDescent="0.2">
      <c r="Y162" s="67" t="s">
        <v>42</v>
      </c>
      <c r="Z162" s="35" t="str">
        <f t="shared" si="50"/>
        <v/>
      </c>
      <c r="AA162" s="13">
        <f t="shared" si="49"/>
        <v>0</v>
      </c>
      <c r="AB162" s="13" t="str">
        <f>IF(AA162&gt;0,Y90&amp;Language!$E$80&amp;X90,"")</f>
        <v/>
      </c>
      <c r="AC162" s="2"/>
      <c r="AD162" s="144"/>
    </row>
    <row r="163" spans="25:30" x14ac:dyDescent="0.2">
      <c r="Y163" s="67" t="s">
        <v>43</v>
      </c>
      <c r="Z163" s="35" t="str">
        <f t="shared" si="50"/>
        <v/>
      </c>
      <c r="AA163" s="13">
        <f t="shared" si="49"/>
        <v>0</v>
      </c>
      <c r="AB163" s="13" t="str">
        <f>IF(AA163&gt;0,Y91&amp;Language!$E$80&amp;X91,"")</f>
        <v/>
      </c>
      <c r="AC163" s="2"/>
      <c r="AD163" s="144"/>
    </row>
    <row r="164" spans="25:30" x14ac:dyDescent="0.2">
      <c r="Y164" s="67" t="s">
        <v>44</v>
      </c>
      <c r="Z164" s="35" t="str">
        <f t="shared" si="50"/>
        <v/>
      </c>
      <c r="AA164" s="13">
        <f t="shared" si="49"/>
        <v>0</v>
      </c>
      <c r="AB164" s="13" t="str">
        <f>IF(AA164&gt;0,Y92&amp;Language!$E$80&amp;X92,"")</f>
        <v/>
      </c>
      <c r="AC164" s="2"/>
      <c r="AD164" s="144"/>
    </row>
    <row r="165" spans="25:30" x14ac:dyDescent="0.2">
      <c r="Y165" s="67" t="s">
        <v>45</v>
      </c>
      <c r="Z165" s="35" t="str">
        <f t="shared" si="50"/>
        <v/>
      </c>
      <c r="AA165" s="13">
        <f t="shared" si="49"/>
        <v>0</v>
      </c>
      <c r="AB165" s="13" t="str">
        <f>IF(AA165&gt;0,Y93&amp;Language!$E$80&amp;X93,"")</f>
        <v/>
      </c>
      <c r="AC165" s="2"/>
      <c r="AD165" s="144"/>
    </row>
    <row r="166" spans="25:30" x14ac:dyDescent="0.2">
      <c r="Y166" s="67" t="s">
        <v>46</v>
      </c>
      <c r="Z166" s="35" t="str">
        <f t="shared" si="50"/>
        <v/>
      </c>
      <c r="AA166" s="13">
        <f t="shared" si="49"/>
        <v>0</v>
      </c>
      <c r="AB166" s="13" t="str">
        <f>IF(AA166&gt;0,Y94&amp;Language!$E$80&amp;X94,"")</f>
        <v/>
      </c>
      <c r="AC166" s="2"/>
      <c r="AD166" s="144"/>
    </row>
    <row r="167" spans="25:30" x14ac:dyDescent="0.2">
      <c r="Y167" s="67" t="s">
        <v>47</v>
      </c>
      <c r="Z167" s="35" t="str">
        <f t="shared" si="50"/>
        <v/>
      </c>
      <c r="AA167" s="13">
        <f t="shared" si="49"/>
        <v>0</v>
      </c>
      <c r="AB167" s="13" t="str">
        <f>IF(AA167&gt;0,Y95&amp;Language!$E$80&amp;X95,"")</f>
        <v/>
      </c>
      <c r="AC167" s="2"/>
      <c r="AD167" s="144"/>
    </row>
    <row r="168" spans="25:30" x14ac:dyDescent="0.2">
      <c r="Y168" s="67" t="s">
        <v>48</v>
      </c>
      <c r="Z168" s="35" t="str">
        <f t="shared" si="50"/>
        <v/>
      </c>
      <c r="AA168" s="13">
        <f t="shared" si="49"/>
        <v>0</v>
      </c>
      <c r="AB168" s="13" t="str">
        <f>IF(AA168&gt;0,Y96&amp;Language!$E$80&amp;X96,"")</f>
        <v/>
      </c>
      <c r="AC168" s="2"/>
      <c r="AD168" s="144"/>
    </row>
    <row r="169" spans="25:30" x14ac:dyDescent="0.2">
      <c r="Y169" s="67" t="s">
        <v>49</v>
      </c>
      <c r="Z169" s="35" t="str">
        <f t="shared" si="50"/>
        <v/>
      </c>
      <c r="AA169" s="13">
        <f t="shared" si="49"/>
        <v>0</v>
      </c>
      <c r="AB169" s="13" t="str">
        <f>IF(AA169&gt;0,Y97&amp;Language!$E$80&amp;X97,"")</f>
        <v/>
      </c>
      <c r="AC169" s="2"/>
      <c r="AD169" s="144"/>
    </row>
    <row r="170" spans="25:30" x14ac:dyDescent="0.2">
      <c r="Y170" s="67" t="s">
        <v>50</v>
      </c>
      <c r="Z170" s="35" t="str">
        <f t="shared" si="50"/>
        <v/>
      </c>
      <c r="AA170" s="13">
        <f t="shared" si="49"/>
        <v>0</v>
      </c>
      <c r="AB170" s="13" t="str">
        <f>IF(AA170&gt;0,Y98&amp;Language!$E$80&amp;X98,"")</f>
        <v/>
      </c>
      <c r="AC170" s="2"/>
      <c r="AD170" s="144"/>
    </row>
    <row r="171" spans="25:30" x14ac:dyDescent="0.2">
      <c r="Y171" s="67" t="s">
        <v>51</v>
      </c>
      <c r="Z171" s="35" t="str">
        <f t="shared" si="50"/>
        <v/>
      </c>
      <c r="AA171" s="13">
        <f t="shared" si="49"/>
        <v>0</v>
      </c>
      <c r="AB171" s="13" t="str">
        <f>IF(AA171&gt;0,Y99&amp;Language!$E$80&amp;X99,"")</f>
        <v/>
      </c>
      <c r="AC171" s="2"/>
      <c r="AD171" s="144"/>
    </row>
    <row r="172" spans="25:30" x14ac:dyDescent="0.2">
      <c r="Y172" s="67" t="s">
        <v>60</v>
      </c>
      <c r="Z172" s="35" t="str">
        <f t="shared" si="50"/>
        <v/>
      </c>
      <c r="AA172" s="13">
        <f t="shared" si="49"/>
        <v>0</v>
      </c>
      <c r="AB172" s="13" t="str">
        <f>IF(AA172&gt;0,Y100&amp;Language!$E$80&amp;X100,"")</f>
        <v/>
      </c>
      <c r="AC172" s="2"/>
      <c r="AD172" s="144"/>
    </row>
    <row r="173" spans="25:30" x14ac:dyDescent="0.2">
      <c r="Y173" s="67" t="s">
        <v>61</v>
      </c>
      <c r="Z173" s="35" t="str">
        <f t="shared" si="50"/>
        <v/>
      </c>
      <c r="AA173" s="13">
        <f t="shared" si="49"/>
        <v>0</v>
      </c>
      <c r="AB173" s="13" t="str">
        <f>IF(AA173&gt;0,Y101&amp;Language!$E$80&amp;X101,"")</f>
        <v/>
      </c>
      <c r="AC173" s="2"/>
      <c r="AD173" s="144"/>
    </row>
    <row r="174" spans="25:30" x14ac:dyDescent="0.2">
      <c r="Y174" s="67" t="s">
        <v>62</v>
      </c>
      <c r="Z174" s="35" t="str">
        <f t="shared" si="50"/>
        <v/>
      </c>
      <c r="AA174" s="13">
        <f t="shared" si="49"/>
        <v>0</v>
      </c>
      <c r="AB174" s="13" t="str">
        <f>IF(AA174&gt;0,Y102&amp;Language!$E$80&amp;X102,"")</f>
        <v/>
      </c>
      <c r="AC174" s="2"/>
      <c r="AD174" s="144"/>
    </row>
    <row r="175" spans="25:30" x14ac:dyDescent="0.2">
      <c r="Y175" s="67" t="s">
        <v>63</v>
      </c>
      <c r="Z175" s="35" t="str">
        <f t="shared" si="50"/>
        <v/>
      </c>
      <c r="AA175" s="13">
        <f t="shared" si="49"/>
        <v>0</v>
      </c>
      <c r="AB175" s="13" t="str">
        <f>IF(AA175&gt;0,Y103&amp;Language!$E$80&amp;X103,"")</f>
        <v/>
      </c>
      <c r="AC175" s="2"/>
      <c r="AD175" s="144"/>
    </row>
    <row r="176" spans="25:30" x14ac:dyDescent="0.2">
      <c r="Y176" s="67" t="s">
        <v>64</v>
      </c>
      <c r="Z176" s="35" t="str">
        <f t="shared" si="50"/>
        <v/>
      </c>
      <c r="AA176" s="13">
        <f t="shared" si="49"/>
        <v>0</v>
      </c>
      <c r="AB176" s="13" t="str">
        <f>IF(AA176&gt;0,Y104&amp;Language!$E$80&amp;X104,"")</f>
        <v/>
      </c>
      <c r="AC176" s="2"/>
      <c r="AD176" s="144"/>
    </row>
    <row r="177" spans="25:30" x14ac:dyDescent="0.2">
      <c r="Y177" s="67" t="s">
        <v>65</v>
      </c>
      <c r="Z177" s="35" t="str">
        <f t="shared" si="50"/>
        <v/>
      </c>
      <c r="AA177" s="13">
        <f t="shared" si="49"/>
        <v>0</v>
      </c>
      <c r="AB177" s="13" t="str">
        <f>IF(AA177&gt;0,Y105&amp;Language!$E$80&amp;X105,"")</f>
        <v/>
      </c>
      <c r="AC177" s="2"/>
      <c r="AD177" s="144"/>
    </row>
    <row r="178" spans="25:30" x14ac:dyDescent="0.2">
      <c r="Y178" s="67" t="s">
        <v>66</v>
      </c>
      <c r="Z178" s="35" t="str">
        <f t="shared" si="50"/>
        <v/>
      </c>
      <c r="AA178" s="13">
        <f t="shared" si="49"/>
        <v>0</v>
      </c>
      <c r="AB178" s="13" t="str">
        <f>IF(AA178&gt;0,Y106&amp;Language!$E$80&amp;X106,"")</f>
        <v/>
      </c>
      <c r="AC178" s="2"/>
      <c r="AD178" s="144"/>
    </row>
    <row r="179" spans="25:30" x14ac:dyDescent="0.2">
      <c r="Y179" s="67" t="s">
        <v>67</v>
      </c>
      <c r="Z179" s="35" t="str">
        <f t="shared" si="50"/>
        <v/>
      </c>
      <c r="AA179" s="13">
        <f t="shared" si="49"/>
        <v>0</v>
      </c>
      <c r="AB179" s="13" t="str">
        <f>IF(AA179&gt;0,Y107&amp;Language!$E$80&amp;X107,"")</f>
        <v/>
      </c>
      <c r="AC179" s="2"/>
      <c r="AD179" s="144"/>
    </row>
    <row r="180" spans="25:30" x14ac:dyDescent="0.2">
      <c r="Y180" s="67" t="s">
        <v>68</v>
      </c>
      <c r="Z180" s="35" t="str">
        <f t="shared" si="50"/>
        <v/>
      </c>
      <c r="AA180" s="13">
        <f t="shared" si="49"/>
        <v>0</v>
      </c>
      <c r="AB180" s="13" t="str">
        <f>IF(AA180&gt;0,Y108&amp;Language!$E$80&amp;X108,"")</f>
        <v/>
      </c>
      <c r="AC180" s="2"/>
      <c r="AD180" s="144"/>
    </row>
    <row r="181" spans="25:30" x14ac:dyDescent="0.2">
      <c r="Y181" s="67" t="s">
        <v>69</v>
      </c>
      <c r="Z181" s="35" t="str">
        <f t="shared" si="50"/>
        <v/>
      </c>
      <c r="AA181" s="13">
        <f t="shared" si="49"/>
        <v>0</v>
      </c>
      <c r="AB181" s="13" t="str">
        <f>IF(AA181&gt;0,Y109&amp;Language!$E$80&amp;X109,"")</f>
        <v/>
      </c>
      <c r="AC181" s="2"/>
      <c r="AD181" s="144"/>
    </row>
    <row r="182" spans="25:30" x14ac:dyDescent="0.2">
      <c r="Y182" s="67" t="s">
        <v>70</v>
      </c>
      <c r="Z182" s="35" t="str">
        <f t="shared" si="50"/>
        <v/>
      </c>
      <c r="AA182" s="13">
        <f t="shared" si="49"/>
        <v>0</v>
      </c>
      <c r="AB182" s="13" t="str">
        <f>IF(AA182&gt;0,Y110&amp;Language!$E$80&amp;X110,"")</f>
        <v/>
      </c>
      <c r="AC182" s="2"/>
      <c r="AD182" s="144"/>
    </row>
    <row r="183" spans="25:30" x14ac:dyDescent="0.2">
      <c r="Y183" s="67" t="s">
        <v>71</v>
      </c>
      <c r="Z183" s="35" t="str">
        <f t="shared" si="50"/>
        <v/>
      </c>
      <c r="AA183" s="13">
        <f t="shared" si="49"/>
        <v>0</v>
      </c>
      <c r="AB183" s="13" t="str">
        <f>IF(AA183&gt;0,Y111&amp;Language!$E$80&amp;X111,"")</f>
        <v/>
      </c>
      <c r="AC183" s="2"/>
      <c r="AD183" s="144"/>
    </row>
    <row r="184" spans="25:30" x14ac:dyDescent="0.2">
      <c r="Y184" s="67" t="s">
        <v>72</v>
      </c>
      <c r="Z184" s="35" t="str">
        <f t="shared" si="50"/>
        <v/>
      </c>
      <c r="AA184" s="13">
        <f t="shared" si="49"/>
        <v>0</v>
      </c>
      <c r="AB184" s="13" t="str">
        <f>IF(AA184&gt;0,Y112&amp;Language!$E$80&amp;X112,"")</f>
        <v/>
      </c>
      <c r="AC184" s="2"/>
      <c r="AD184" s="144"/>
    </row>
    <row r="185" spans="25:30" x14ac:dyDescent="0.2">
      <c r="Y185" s="67" t="s">
        <v>73</v>
      </c>
      <c r="Z185" s="35" t="str">
        <f t="shared" si="50"/>
        <v/>
      </c>
      <c r="AA185" s="13">
        <f t="shared" si="49"/>
        <v>0</v>
      </c>
      <c r="AB185" s="13" t="str">
        <f>IF(AA185&gt;0,Y113&amp;Language!$E$80&amp;X113,"")</f>
        <v/>
      </c>
      <c r="AC185" s="2"/>
      <c r="AD185" s="144"/>
    </row>
    <row r="186" spans="25:30" x14ac:dyDescent="0.2">
      <c r="Y186" s="67" t="s">
        <v>74</v>
      </c>
      <c r="Z186" s="35" t="str">
        <f t="shared" si="50"/>
        <v/>
      </c>
      <c r="AA186" s="13">
        <f t="shared" si="49"/>
        <v>0</v>
      </c>
      <c r="AB186" s="13" t="str">
        <f>IF(AA186&gt;0,Y114&amp;Language!$E$80&amp;X114,"")</f>
        <v/>
      </c>
      <c r="AC186" s="2"/>
      <c r="AD186" s="144"/>
    </row>
    <row r="187" spans="25:30" x14ac:dyDescent="0.2">
      <c r="Y187" s="67" t="s">
        <v>75</v>
      </c>
      <c r="Z187" s="35" t="str">
        <f t="shared" si="50"/>
        <v/>
      </c>
      <c r="AA187" s="13">
        <f t="shared" si="49"/>
        <v>0</v>
      </c>
      <c r="AB187" s="13" t="str">
        <f>IF(AA187&gt;0,Y115&amp;Language!$E$80&amp;X115,"")</f>
        <v/>
      </c>
      <c r="AC187" s="2"/>
      <c r="AD187" s="144"/>
    </row>
    <row r="188" spans="25:30" x14ac:dyDescent="0.2">
      <c r="Y188" s="67" t="s">
        <v>76</v>
      </c>
      <c r="Z188" s="35" t="str">
        <f t="shared" si="50"/>
        <v/>
      </c>
      <c r="AA188" s="13">
        <f t="shared" si="49"/>
        <v>0</v>
      </c>
      <c r="AB188" s="13" t="str">
        <f>IF(AA188&gt;0,Y116&amp;Language!$E$80&amp;X116,"")</f>
        <v/>
      </c>
      <c r="AC188" s="2"/>
      <c r="AD188" s="144"/>
    </row>
    <row r="189" spans="25:30" x14ac:dyDescent="0.2">
      <c r="Y189" s="67" t="s">
        <v>77</v>
      </c>
      <c r="Z189" s="35" t="str">
        <f t="shared" si="50"/>
        <v/>
      </c>
      <c r="AA189" s="13">
        <f t="shared" si="49"/>
        <v>0</v>
      </c>
      <c r="AB189" s="13" t="str">
        <f>IF(AA189&gt;0,Y117&amp;Language!$E$80&amp;X117,"")</f>
        <v/>
      </c>
      <c r="AC189" s="2"/>
      <c r="AD189" s="144"/>
    </row>
    <row r="190" spans="25:30" x14ac:dyDescent="0.2">
      <c r="Y190" s="67" t="s">
        <v>78</v>
      </c>
      <c r="Z190" s="35" t="str">
        <f t="shared" si="50"/>
        <v/>
      </c>
      <c r="AA190" s="13">
        <f t="shared" si="49"/>
        <v>0</v>
      </c>
      <c r="AB190" s="13" t="str">
        <f>IF(AA190&gt;0,Y118&amp;Language!$E$80&amp;X118,"")</f>
        <v/>
      </c>
      <c r="AC190" s="2"/>
      <c r="AD190" s="144"/>
    </row>
    <row r="191" spans="25:30" x14ac:dyDescent="0.2">
      <c r="Y191" s="67" t="s">
        <v>79</v>
      </c>
      <c r="Z191" s="35" t="str">
        <f t="shared" si="50"/>
        <v/>
      </c>
      <c r="AA191" s="13">
        <f t="shared" si="49"/>
        <v>0</v>
      </c>
      <c r="AB191" s="13" t="str">
        <f>IF(AA191&gt;0,Y119&amp;Language!$E$80&amp;X119,"")</f>
        <v/>
      </c>
      <c r="AC191" s="2"/>
      <c r="AD191" s="144"/>
    </row>
    <row r="192" spans="25:30" x14ac:dyDescent="0.2">
      <c r="Y192" s="67" t="s">
        <v>80</v>
      </c>
      <c r="Z192" s="35" t="str">
        <f t="shared" si="50"/>
        <v/>
      </c>
      <c r="AA192" s="13">
        <f t="shared" si="49"/>
        <v>0</v>
      </c>
      <c r="AB192" s="13" t="str">
        <f>IF(AA192&gt;0,Y120&amp;Language!$E$80&amp;X120,"")</f>
        <v/>
      </c>
      <c r="AC192" s="2"/>
      <c r="AD192" s="144"/>
    </row>
    <row r="193" spans="25:30" x14ac:dyDescent="0.2">
      <c r="Y193" s="67" t="s">
        <v>81</v>
      </c>
      <c r="Z193" s="35" t="str">
        <f t="shared" si="50"/>
        <v/>
      </c>
      <c r="AA193" s="13">
        <f t="shared" si="49"/>
        <v>0</v>
      </c>
      <c r="AB193" s="13" t="str">
        <f>IF(AA193&gt;0,Y121&amp;Language!$E$80&amp;X121,"")</f>
        <v/>
      </c>
      <c r="AC193" s="2"/>
      <c r="AD193" s="144"/>
    </row>
    <row r="194" spans="25:30" x14ac:dyDescent="0.2">
      <c r="Y194" s="67" t="s">
        <v>82</v>
      </c>
      <c r="Z194" s="35" t="str">
        <f t="shared" si="50"/>
        <v/>
      </c>
      <c r="AA194" s="13">
        <f t="shared" si="49"/>
        <v>0</v>
      </c>
      <c r="AB194" s="13" t="str">
        <f>IF(AA194&gt;0,Y122&amp;Language!$E$80&amp;X122,"")</f>
        <v/>
      </c>
      <c r="AC194" s="2"/>
      <c r="AD194" s="144"/>
    </row>
    <row r="195" spans="25:30" x14ac:dyDescent="0.2">
      <c r="Y195" s="67" t="s">
        <v>83</v>
      </c>
      <c r="Z195" s="35" t="str">
        <f t="shared" si="50"/>
        <v/>
      </c>
      <c r="AA195" s="13">
        <f t="shared" si="49"/>
        <v>0</v>
      </c>
      <c r="AB195" s="13" t="str">
        <f>IF(AA195&gt;0,Y123&amp;Language!$E$80&amp;X123,"")</f>
        <v/>
      </c>
      <c r="AC195" s="2"/>
      <c r="AD195" s="144"/>
    </row>
    <row r="196" spans="25:30" x14ac:dyDescent="0.2">
      <c r="Y196" s="67" t="s">
        <v>84</v>
      </c>
      <c r="Z196" s="35" t="str">
        <f t="shared" si="50"/>
        <v/>
      </c>
      <c r="AA196" s="13">
        <f t="shared" si="49"/>
        <v>0</v>
      </c>
      <c r="AB196" s="13" t="str">
        <f>IF(AA196&gt;0,Y124&amp;Language!$E$80&amp;X124,"")</f>
        <v/>
      </c>
      <c r="AC196" s="2"/>
      <c r="AD196" s="144"/>
    </row>
    <row r="197" spans="25:30" x14ac:dyDescent="0.2">
      <c r="Y197" s="67" t="s">
        <v>85</v>
      </c>
      <c r="Z197" s="35" t="str">
        <f t="shared" si="50"/>
        <v/>
      </c>
      <c r="AA197" s="13">
        <f t="shared" si="49"/>
        <v>0</v>
      </c>
      <c r="AB197" s="13" t="str">
        <f>IF(AA197&gt;0,Y125&amp;Language!$E$80&amp;X125,"")</f>
        <v/>
      </c>
      <c r="AC197" s="2"/>
      <c r="AD197" s="144"/>
    </row>
    <row r="198" spans="25:30" x14ac:dyDescent="0.2">
      <c r="Y198" s="67" t="s">
        <v>86</v>
      </c>
      <c r="Z198" s="35" t="str">
        <f t="shared" si="50"/>
        <v/>
      </c>
      <c r="AA198" s="13">
        <f t="shared" si="49"/>
        <v>0</v>
      </c>
      <c r="AB198" s="13" t="str">
        <f>IF(AA198&gt;0,Y126&amp;Language!$E$80&amp;X126,"")</f>
        <v/>
      </c>
      <c r="AC198" s="2"/>
      <c r="AD198" s="144"/>
    </row>
    <row r="199" spans="25:30" x14ac:dyDescent="0.2">
      <c r="Y199" s="67" t="s">
        <v>87</v>
      </c>
      <c r="Z199" s="35" t="str">
        <f t="shared" si="50"/>
        <v/>
      </c>
      <c r="AA199" s="13">
        <f t="shared" si="49"/>
        <v>0</v>
      </c>
      <c r="AB199" s="13" t="str">
        <f>IF(AA199&gt;0,Y127&amp;Language!$E$80&amp;X127,"")</f>
        <v/>
      </c>
      <c r="AC199" s="2"/>
      <c r="AD199" s="144"/>
    </row>
    <row r="200" spans="25:30" x14ac:dyDescent="0.2">
      <c r="Y200" s="67" t="s">
        <v>88</v>
      </c>
      <c r="Z200" s="35" t="str">
        <f t="shared" si="50"/>
        <v/>
      </c>
      <c r="AA200" s="13">
        <f t="shared" si="49"/>
        <v>0</v>
      </c>
      <c r="AB200" s="13" t="str">
        <f>IF(AA200&gt;0,Y128&amp;Language!$E$80&amp;X128,"")</f>
        <v/>
      </c>
      <c r="AC200" s="2"/>
      <c r="AD200" s="144"/>
    </row>
    <row r="201" spans="25:30" x14ac:dyDescent="0.2">
      <c r="Y201" s="67" t="s">
        <v>89</v>
      </c>
      <c r="Z201" s="35" t="str">
        <f t="shared" si="50"/>
        <v/>
      </c>
      <c r="AA201" s="13">
        <f t="shared" ref="AA201:AA207" si="51">AA129</f>
        <v>0</v>
      </c>
      <c r="AB201" s="13" t="str">
        <f>IF(AA201&gt;0,Y129&amp;Language!$E$80&amp;X129,"")</f>
        <v/>
      </c>
      <c r="AC201" s="2"/>
      <c r="AD201" s="144"/>
    </row>
    <row r="202" spans="25:30" x14ac:dyDescent="0.2">
      <c r="Y202" s="67" t="s">
        <v>90</v>
      </c>
      <c r="Z202" s="35" t="str">
        <f t="shared" ref="Z202:Z206" si="52">W130&amp;V130</f>
        <v/>
      </c>
      <c r="AA202" s="13">
        <f t="shared" si="51"/>
        <v>0</v>
      </c>
      <c r="AB202" s="13" t="str">
        <f>IF(AA202&gt;0,Y130&amp;Language!$E$80&amp;X130,"")</f>
        <v/>
      </c>
      <c r="AC202" s="2"/>
      <c r="AD202" s="144"/>
    </row>
    <row r="203" spans="25:30" x14ac:dyDescent="0.2">
      <c r="Y203" s="67" t="s">
        <v>91</v>
      </c>
      <c r="Z203" s="35" t="str">
        <f t="shared" si="52"/>
        <v/>
      </c>
      <c r="AA203" s="13">
        <f t="shared" si="51"/>
        <v>0</v>
      </c>
      <c r="AB203" s="13" t="str">
        <f>IF(AA203&gt;0,Y131&amp;Language!$E$80&amp;X131,"")</f>
        <v/>
      </c>
      <c r="AC203" s="2"/>
      <c r="AD203" s="144"/>
    </row>
    <row r="204" spans="25:30" x14ac:dyDescent="0.2">
      <c r="Y204" s="67" t="s">
        <v>92</v>
      </c>
      <c r="Z204" s="35" t="str">
        <f t="shared" si="52"/>
        <v/>
      </c>
      <c r="AA204" s="13">
        <f t="shared" si="51"/>
        <v>0</v>
      </c>
      <c r="AB204" s="13" t="str">
        <f>IF(AA204&gt;0,Y132&amp;Language!$E$80&amp;X132,"")</f>
        <v/>
      </c>
      <c r="AC204" s="2"/>
      <c r="AD204" s="144"/>
    </row>
    <row r="205" spans="25:30" x14ac:dyDescent="0.2">
      <c r="Y205" s="67" t="s">
        <v>93</v>
      </c>
      <c r="Z205" s="35" t="str">
        <f t="shared" si="52"/>
        <v/>
      </c>
      <c r="AA205" s="13">
        <f t="shared" si="51"/>
        <v>0</v>
      </c>
      <c r="AB205" s="13" t="str">
        <f>IF(AA205&gt;0,Y133&amp;Language!$E$80&amp;X133,"")</f>
        <v/>
      </c>
      <c r="AC205" s="2"/>
      <c r="AD205" s="144"/>
    </row>
    <row r="206" spans="25:30" x14ac:dyDescent="0.2">
      <c r="Y206" s="67" t="s">
        <v>94</v>
      </c>
      <c r="Z206" s="35" t="str">
        <f t="shared" si="52"/>
        <v/>
      </c>
      <c r="AA206" s="13">
        <f t="shared" si="51"/>
        <v>0</v>
      </c>
      <c r="AB206" s="13" t="str">
        <f>IF(AA206&gt;0,Y134&amp;Language!$E$80&amp;X134,"")</f>
        <v/>
      </c>
      <c r="AC206" s="2"/>
      <c r="AD206" s="144"/>
    </row>
    <row r="207" spans="25:30" ht="12.75" thickBot="1" x14ac:dyDescent="0.25">
      <c r="Y207" s="68" t="s">
        <v>95</v>
      </c>
      <c r="Z207" s="37" t="str">
        <f>W135&amp;V135</f>
        <v/>
      </c>
      <c r="AA207" s="38">
        <f t="shared" si="51"/>
        <v>0</v>
      </c>
      <c r="AB207" s="145" t="str">
        <f>IF(AA207&gt;0,Y135&amp;Language!$E$80&amp;X135,"")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146"/>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417">
        <f ca="1">COUNTIF($C$3:$C$146,"")</f>
        <v>0</v>
      </c>
      <c r="F2" s="417">
        <f t="array" aca="1" ref="F2" ca="1">SUMPRODUCT(($C$3:$C$146&lt;&gt;"")/($D$3:$D$146+($C$3:$C$146="")))</f>
        <v>144</v>
      </c>
      <c r="G2" s="418" t="str">
        <f ca="1">IF(E2+F2&lt;144,"FEHLER","okay")</f>
        <v>okay</v>
      </c>
    </row>
    <row r="3" spans="2:7" ht="13.5" thickTop="1" x14ac:dyDescent="0.2">
      <c r="B3" s="164">
        <v>1</v>
      </c>
      <c r="C3" t="str">
        <f ca="1">IF(OR(Planning!$L6="",Planning!$N6=""),"Z"&amp;ROW($M6),Planning!$I6&amp;Planning!$F6)</f>
        <v>A10,375</v>
      </c>
      <c r="D3" s="164">
        <f t="array" aca="1" ref="D3:D146" ca="1">COUNTIF($C$3:$C$146,$C$3:$C$146)</f>
        <v>1</v>
      </c>
      <c r="E3" s="164" t="e">
        <f ca="1">IF($F$8&gt;72,$F$8-72,$F$8)</f>
        <v>#NUM!</v>
      </c>
      <c r="F3" s="398" t="s">
        <v>287</v>
      </c>
    </row>
    <row r="4" spans="2:7" x14ac:dyDescent="0.2">
      <c r="B4" s="164">
        <v>2</v>
      </c>
      <c r="C4" t="str">
        <f ca="1">IF(OR(Planning!$L7="",Planning!$N7=""),"Z"&amp;ROW($M7),Planning!$I7&amp;Planning!$F7)</f>
        <v>B10,375</v>
      </c>
      <c r="D4" s="164">
        <f ca="1"/>
        <v>1</v>
      </c>
      <c r="E4" s="164" t="e">
        <f ca="1">IF($F$9&gt;72,$F$9-72,$F$9)</f>
        <v>#NUM!</v>
      </c>
      <c r="F4" s="398" t="s">
        <v>288</v>
      </c>
    </row>
    <row r="5" spans="2:7" x14ac:dyDescent="0.2">
      <c r="B5" s="164">
        <v>3</v>
      </c>
      <c r="C5" t="str">
        <f ca="1">IF(OR(Planning!$L8="",Planning!$N8=""),"Z"&amp;ROW($M8),Planning!$I8&amp;Planning!$F8)</f>
        <v>A70,375</v>
      </c>
      <c r="D5" s="164">
        <f ca="1"/>
        <v>1</v>
      </c>
      <c r="E5" s="398" t="str">
        <f t="array" aca="1" ref="E5" ca="1">VLOOKUP(MATCH($E$7,$D$3:$D$146,0),$B$3:$C$146,2,0)</f>
        <v>A10,375</v>
      </c>
      <c r="F5" s="445" t="s">
        <v>289</v>
      </c>
    </row>
    <row r="6" spans="2:7" ht="13.5" thickBot="1" x14ac:dyDescent="0.25">
      <c r="B6" s="164">
        <v>4</v>
      </c>
      <c r="C6" t="str">
        <f ca="1">IF(OR(Planning!$L9="",Planning!$N9=""),"Z"&amp;ROW($M9),Planning!$I9&amp;Planning!$F9)</f>
        <v>B70,375</v>
      </c>
      <c r="D6" s="164">
        <f ca="1"/>
        <v>1</v>
      </c>
      <c r="E6" s="164" t="str">
        <f ca="1">LEFT($E$5,2)</f>
        <v>A1</v>
      </c>
      <c r="F6" s="164"/>
    </row>
    <row r="7" spans="2:7" ht="13.5" thickBot="1" x14ac:dyDescent="0.25">
      <c r="B7" s="164">
        <v>5</v>
      </c>
      <c r="C7" t="str">
        <f ca="1">IF(OR(Planning!$L10="",Planning!$N10=""),"Z"&amp;ROW($M10),Planning!$I10&amp;Planning!$F10)</f>
        <v>A30,399305555555556</v>
      </c>
      <c r="D7" s="164">
        <f ca="1"/>
        <v>1</v>
      </c>
      <c r="E7" s="454">
        <f ca="1">MAX($D$3:$D$146)</f>
        <v>1</v>
      </c>
    </row>
    <row r="8" spans="2:7" x14ac:dyDescent="0.2">
      <c r="B8" s="164">
        <v>6</v>
      </c>
      <c r="C8" t="str">
        <f ca="1">IF(OR(Planning!$L11="",Planning!$N11=""),"Z"&amp;ROW($M11),Planning!$I11&amp;Planning!$F11)</f>
        <v>B30,399305555555556</v>
      </c>
      <c r="D8" s="164">
        <f ca="1"/>
        <v>1</v>
      </c>
      <c r="E8" s="164">
        <f ca="1">MATCH($E$7,$D$3:$D$146,0)</f>
        <v>1</v>
      </c>
      <c r="F8" s="164" t="e">
        <f ca="1">IF($E$8&lt;$E$9,$E$8,$E$9)</f>
        <v>#NUM!</v>
      </c>
    </row>
    <row r="9" spans="2:7" x14ac:dyDescent="0.2">
      <c r="B9" s="164">
        <v>7</v>
      </c>
      <c r="C9" t="str">
        <f ca="1">IF(OR(Planning!$L12="",Planning!$N12=""),"Z"&amp;ROW($M12),Planning!$I12&amp;Planning!$F12)</f>
        <v>A50,399305555555556</v>
      </c>
      <c r="D9" s="164">
        <f ca="1"/>
        <v>1</v>
      </c>
      <c r="E9" s="164" t="e">
        <f t="array" aca="1" ref="E9" ca="1">INDEX($B$3:$B$146,SMALL(IF($E$5=$C$3:$C$146,ROW($C$3:$C$146)-ROW($C$3)+1),2))</f>
        <v>#NUM!</v>
      </c>
      <c r="F9" s="164" t="e">
        <f ca="1">IF($E$8&gt;$E$9,$E$8,$E$9)</f>
        <v>#NUM!</v>
      </c>
    </row>
    <row r="10" spans="2:7" x14ac:dyDescent="0.2">
      <c r="B10" s="164">
        <v>8</v>
      </c>
      <c r="C10" t="str">
        <f ca="1">IF(OR(Planning!$L13="",Planning!$N13=""),"Z"&amp;ROW($M13),Planning!$I13&amp;Planning!$F13)</f>
        <v>B50,399305555555556</v>
      </c>
      <c r="D10" s="164">
        <f ca="1"/>
        <v>1</v>
      </c>
    </row>
    <row r="11" spans="2:7" x14ac:dyDescent="0.2">
      <c r="B11" s="164">
        <v>9</v>
      </c>
      <c r="C11" t="str">
        <f ca="1">IF(OR(Planning!$L14="",Planning!$N14=""),"Z"&amp;ROW($M14),Planning!$I14&amp;Planning!$F14)</f>
        <v>A70,423611111111111</v>
      </c>
      <c r="D11" s="164">
        <f ca="1"/>
        <v>1</v>
      </c>
    </row>
    <row r="12" spans="2:7" x14ac:dyDescent="0.2">
      <c r="B12" s="164">
        <v>10</v>
      </c>
      <c r="C12" t="str">
        <f ca="1">IF(OR(Planning!$L15="",Planning!$N15=""),"Z"&amp;ROW($M15),Planning!$I15&amp;Planning!$F15)</f>
        <v>B70,423611111111111</v>
      </c>
      <c r="D12" s="164">
        <f ca="1"/>
        <v>1</v>
      </c>
    </row>
    <row r="13" spans="2:7" x14ac:dyDescent="0.2">
      <c r="B13" s="164">
        <v>11</v>
      </c>
      <c r="C13" t="str">
        <f ca="1">IF(OR(Planning!$L16="",Planning!$N16=""),"Z"&amp;ROW($M16),Planning!$I16&amp;Planning!$F16)</f>
        <v>A60,423611111111111</v>
      </c>
      <c r="D13" s="164">
        <f ca="1"/>
        <v>1</v>
      </c>
    </row>
    <row r="14" spans="2:7" x14ac:dyDescent="0.2">
      <c r="B14" s="164">
        <v>12</v>
      </c>
      <c r="C14" t="str">
        <f ca="1">IF(OR(Planning!$L17="",Planning!$N17=""),"Z"&amp;ROW($M17),Planning!$I17&amp;Planning!$F17)</f>
        <v>B60,423611111111111</v>
      </c>
      <c r="D14" s="164">
        <f ca="1"/>
        <v>1</v>
      </c>
    </row>
    <row r="15" spans="2:7" x14ac:dyDescent="0.2">
      <c r="B15" s="164">
        <v>13</v>
      </c>
      <c r="C15" t="str">
        <f ca="1">IF(OR(Planning!$L18="",Planning!$N18=""),"Z"&amp;ROW($M18),Planning!$I18&amp;Planning!$F18)</f>
        <v>A20,447916666666667</v>
      </c>
      <c r="D15" s="164">
        <f ca="1"/>
        <v>1</v>
      </c>
    </row>
    <row r="16" spans="2:7" x14ac:dyDescent="0.2">
      <c r="B16" s="164">
        <v>14</v>
      </c>
      <c r="C16" t="str">
        <f ca="1">IF(OR(Planning!$L19="",Planning!$N19=""),"Z"&amp;ROW($M19),Planning!$I19&amp;Planning!$F19)</f>
        <v>B20,447916666666667</v>
      </c>
      <c r="D16" s="164">
        <f ca="1"/>
        <v>1</v>
      </c>
    </row>
    <row r="17" spans="1:7" x14ac:dyDescent="0.2">
      <c r="B17" s="164">
        <v>15</v>
      </c>
      <c r="C17" t="str">
        <f ca="1">IF(OR(Planning!$L20="",Planning!$N20=""),"Z"&amp;ROW($M20),Planning!$I20&amp;Planning!$F20)</f>
        <v>A40,447916666666667</v>
      </c>
      <c r="D17" s="164">
        <f ca="1"/>
        <v>1</v>
      </c>
    </row>
    <row r="18" spans="1:7" x14ac:dyDescent="0.2">
      <c r="B18" s="164">
        <v>16</v>
      </c>
      <c r="C18" t="str">
        <f ca="1">IF(OR(Planning!$L21="",Planning!$N21=""),"Z"&amp;ROW($M21),Planning!$I21&amp;Planning!$F21)</f>
        <v>B40,447916666666667</v>
      </c>
      <c r="D18" s="164">
        <f ca="1"/>
        <v>1</v>
      </c>
    </row>
    <row r="19" spans="1:7" x14ac:dyDescent="0.2">
      <c r="B19" s="164">
        <v>17</v>
      </c>
      <c r="C19" t="str">
        <f ca="1">IF(OR(Planning!$L22="",Planning!$N22=""),"Z"&amp;ROW($M22),Planning!$I22&amp;Planning!$F22)</f>
        <v>A10,472222222222222</v>
      </c>
      <c r="D19" s="164">
        <f ca="1"/>
        <v>1</v>
      </c>
    </row>
    <row r="20" spans="1:7" x14ac:dyDescent="0.2">
      <c r="B20" s="164">
        <v>18</v>
      </c>
      <c r="C20" t="str">
        <f ca="1">IF(OR(Planning!$L23="",Planning!$N23=""),"Z"&amp;ROW($M23),Planning!$I23&amp;Planning!$F23)</f>
        <v>B10,472222222222222</v>
      </c>
      <c r="D20" s="164">
        <f ca="1"/>
        <v>1</v>
      </c>
    </row>
    <row r="21" spans="1:7" x14ac:dyDescent="0.2">
      <c r="B21" s="164">
        <v>19</v>
      </c>
      <c r="C21" t="str">
        <f ca="1">IF(OR(Planning!$L24="",Planning!$N24=""),"Z"&amp;ROW($M24),Planning!$I24&amp;Planning!$F24)</f>
        <v>A50,472222222222222</v>
      </c>
      <c r="D21" s="164">
        <f ca="1"/>
        <v>1</v>
      </c>
      <c r="G21" s="676" t="s">
        <v>265</v>
      </c>
    </row>
    <row r="22" spans="1:7" x14ac:dyDescent="0.2">
      <c r="B22" s="164">
        <v>20</v>
      </c>
      <c r="C22" t="str">
        <f ca="1">IF(OR(Planning!$L25="",Planning!$N25=""),"Z"&amp;ROW($M25),Planning!$I25&amp;Planning!$F25)</f>
        <v>B50,472222222222222</v>
      </c>
      <c r="D22" s="164">
        <f ca="1"/>
        <v>1</v>
      </c>
      <c r="G22" s="676"/>
    </row>
    <row r="23" spans="1:7" x14ac:dyDescent="0.2">
      <c r="B23" s="164">
        <v>21</v>
      </c>
      <c r="C23" t="str">
        <f ca="1">IF(OR(Planning!$L26="",Planning!$N26=""),"Z"&amp;ROW($M26),Planning!$I26&amp;Planning!$F26)</f>
        <v>A80,496527777777778</v>
      </c>
      <c r="D23" s="164">
        <f ca="1"/>
        <v>1</v>
      </c>
      <c r="G23" s="676" t="s">
        <v>266</v>
      </c>
    </row>
    <row r="24" spans="1:7" x14ac:dyDescent="0.2">
      <c r="B24" s="164">
        <v>22</v>
      </c>
      <c r="C24" t="str">
        <f ca="1">IF(OR(Planning!$L27="",Planning!$N27=""),"Z"&amp;ROW($M27),Planning!$I27&amp;Planning!$F27)</f>
        <v>B80,496527777777778</v>
      </c>
      <c r="D24" s="164">
        <f ca="1"/>
        <v>1</v>
      </c>
      <c r="G24" s="676"/>
    </row>
    <row r="25" spans="1:7" x14ac:dyDescent="0.2">
      <c r="B25" s="164">
        <v>23</v>
      </c>
      <c r="C25" t="str">
        <f ca="1">IF(OR(Planning!$L28="",Planning!$N28=""),"Z"&amp;ROW($M28),Planning!$I28&amp;Planning!$F28)</f>
        <v>A30,496527777777778</v>
      </c>
      <c r="D25" s="164">
        <f ca="1"/>
        <v>1</v>
      </c>
      <c r="G25" s="676" t="s">
        <v>267</v>
      </c>
    </row>
    <row r="26" spans="1:7" x14ac:dyDescent="0.2">
      <c r="B26" s="164">
        <v>24</v>
      </c>
      <c r="C26" t="str">
        <f ca="1">IF(OR(Planning!$L29="",Planning!$N29=""),"Z"&amp;ROW($M29),Planning!$I29&amp;Planning!$F29)</f>
        <v>B30,496527777777778</v>
      </c>
      <c r="D26" s="164">
        <f ca="1"/>
        <v>1</v>
      </c>
      <c r="G26" s="676"/>
    </row>
    <row r="27" spans="1:7" x14ac:dyDescent="0.2">
      <c r="B27" s="164">
        <v>25</v>
      </c>
      <c r="C27" t="str">
        <f ca="1">IF(OR(Planning!$L30="",Planning!$N30=""),"Z"&amp;ROW($M30),Planning!$I30&amp;Planning!$F30)</f>
        <v>A50,520833333333333</v>
      </c>
      <c r="D27" s="164">
        <f ca="1"/>
        <v>1</v>
      </c>
      <c r="G27" s="676" t="s">
        <v>268</v>
      </c>
    </row>
    <row r="28" spans="1:7" x14ac:dyDescent="0.2">
      <c r="B28" s="164">
        <v>26</v>
      </c>
      <c r="C28" t="str">
        <f ca="1">IF(OR(Planning!$L31="",Planning!$N31=""),"Z"&amp;ROW($M31),Planning!$I31&amp;Planning!$F31)</f>
        <v>B50,520833333333333</v>
      </c>
      <c r="D28" s="164">
        <f ca="1"/>
        <v>1</v>
      </c>
      <c r="G28" s="676"/>
    </row>
    <row r="29" spans="1:7" x14ac:dyDescent="0.2">
      <c r="B29" s="164">
        <v>27</v>
      </c>
      <c r="C29" t="str">
        <f ca="1">IF(OR(Planning!$L32="",Planning!$N32=""),"Z"&amp;ROW($M32),Planning!$I32&amp;Planning!$F32)</f>
        <v>A40,520833333333333</v>
      </c>
      <c r="D29" s="164">
        <f ca="1"/>
        <v>1</v>
      </c>
      <c r="G29" s="676" t="s">
        <v>330</v>
      </c>
    </row>
    <row r="30" spans="1:7" x14ac:dyDescent="0.2">
      <c r="B30" s="164">
        <v>28</v>
      </c>
      <c r="C30" t="str">
        <f ca="1">IF(OR(Planning!$L33="",Planning!$N33=""),"Z"&amp;ROW($M33),Planning!$I33&amp;Planning!$F33)</f>
        <v>B40,520833333333333</v>
      </c>
      <c r="D30" s="164">
        <f ca="1"/>
        <v>1</v>
      </c>
      <c r="G30" s="676"/>
    </row>
    <row r="31" spans="1:7" x14ac:dyDescent="0.2">
      <c r="B31" s="164">
        <v>29</v>
      </c>
      <c r="C31" t="str">
        <f ca="1">IF(OR(Planning!$L34="",Planning!$N34=""),"Z"&amp;ROW($M34),Planning!$I34&amp;Planning!$F34)</f>
        <v>A70,545138888888889</v>
      </c>
      <c r="D31" s="164">
        <f ca="1"/>
        <v>1</v>
      </c>
      <c r="G31" s="164"/>
    </row>
    <row r="32" spans="1:7" x14ac:dyDescent="0.2">
      <c r="A32" s="294"/>
      <c r="B32" s="293">
        <v>30</v>
      </c>
      <c r="C32" t="str">
        <f ca="1">IF(OR(Planning!$L35="",Planning!$N35=""),"Z"&amp;ROW($M35),Planning!$I35&amp;Planning!$F35)</f>
        <v>B70,545138888888889</v>
      </c>
      <c r="D32" s="164">
        <f ca="1"/>
        <v>1</v>
      </c>
      <c r="G32" s="164"/>
    </row>
    <row r="33" spans="1:7" x14ac:dyDescent="0.2">
      <c r="A33" s="293"/>
      <c r="B33" s="293">
        <v>31</v>
      </c>
      <c r="C33" t="str">
        <f ca="1">IF(OR(Planning!$L36="",Planning!$N36=""),"Z"&amp;ROW($M36),Planning!$I36&amp;Planning!$F36)</f>
        <v>A20,545138888888889</v>
      </c>
      <c r="D33" s="164">
        <f ca="1"/>
        <v>1</v>
      </c>
      <c r="G33" s="676" t="s">
        <v>269</v>
      </c>
    </row>
    <row r="34" spans="1:7" x14ac:dyDescent="0.2">
      <c r="A34" s="164"/>
      <c r="B34" s="164">
        <v>32</v>
      </c>
      <c r="C34" t="str">
        <f ca="1">IF(OR(Planning!$L37="",Planning!$N37=""),"Z"&amp;ROW($M37),Planning!$I37&amp;Planning!$F37)</f>
        <v>B20,545138888888889</v>
      </c>
      <c r="D34" s="164">
        <f ca="1"/>
        <v>1</v>
      </c>
      <c r="G34" s="676"/>
    </row>
    <row r="35" spans="1:7" x14ac:dyDescent="0.2">
      <c r="A35" s="164"/>
      <c r="B35" s="164">
        <v>33</v>
      </c>
      <c r="C35" t="str">
        <f ca="1">IF(OR(Planning!$L38="",Planning!$N38=""),"Z"&amp;ROW($M38),Planning!$I38&amp;Planning!$F38)</f>
        <v>A10,569444444444444</v>
      </c>
      <c r="D35" s="164">
        <f ca="1"/>
        <v>1</v>
      </c>
      <c r="G35" s="676" t="s">
        <v>270</v>
      </c>
    </row>
    <row r="36" spans="1:7" x14ac:dyDescent="0.2">
      <c r="A36" s="164"/>
      <c r="B36" s="164">
        <v>34</v>
      </c>
      <c r="C36" t="str">
        <f ca="1">IF(OR(Planning!$L39="",Planning!$N39=""),"Z"&amp;ROW($M39),Planning!$I39&amp;Planning!$F39)</f>
        <v>B10,569444444444444</v>
      </c>
      <c r="D36" s="164">
        <f ca="1"/>
        <v>1</v>
      </c>
      <c r="G36" s="676"/>
    </row>
    <row r="37" spans="1:7" x14ac:dyDescent="0.2">
      <c r="A37" s="164"/>
      <c r="B37" s="164">
        <v>35</v>
      </c>
      <c r="C37" t="str">
        <f ca="1">IF(OR(Planning!$L40="",Planning!$N40=""),"Z"&amp;ROW($M40),Planning!$I40&amp;Planning!$F40)</f>
        <v>A30,569444444444444</v>
      </c>
      <c r="D37" s="164">
        <f ca="1"/>
        <v>1</v>
      </c>
      <c r="G37" s="676" t="s">
        <v>272</v>
      </c>
    </row>
    <row r="38" spans="1:7" x14ac:dyDescent="0.2">
      <c r="A38" s="164"/>
      <c r="B38" s="164">
        <v>36</v>
      </c>
      <c r="C38" t="str">
        <f ca="1">IF(OR(Planning!$L41="",Planning!$N41=""),"Z"&amp;ROW($M41),Planning!$I41&amp;Planning!$F41)</f>
        <v>B30,569444444444444</v>
      </c>
      <c r="D38" s="164">
        <f ca="1"/>
        <v>1</v>
      </c>
      <c r="G38" s="676"/>
    </row>
    <row r="39" spans="1:7" x14ac:dyDescent="0.2">
      <c r="A39" s="164"/>
      <c r="B39" s="164">
        <v>37</v>
      </c>
      <c r="C39" t="str">
        <f ca="1">IF(OR(Planning!$L42="",Planning!$N42=""),"Z"&amp;ROW($M42),Planning!$I42&amp;Planning!$F42)</f>
        <v>A60,59375</v>
      </c>
      <c r="D39" s="164">
        <f ca="1"/>
        <v>1</v>
      </c>
      <c r="G39" s="676" t="s">
        <v>271</v>
      </c>
    </row>
    <row r="40" spans="1:7" x14ac:dyDescent="0.2">
      <c r="A40" s="164"/>
      <c r="B40" s="164">
        <v>38</v>
      </c>
      <c r="C40" t="str">
        <f ca="1">IF(OR(Planning!$L43="",Planning!$N43=""),"Z"&amp;ROW($M43),Planning!$I43&amp;Planning!$F43)</f>
        <v>B60,59375</v>
      </c>
      <c r="D40" s="164">
        <f ca="1"/>
        <v>1</v>
      </c>
      <c r="G40" s="676"/>
    </row>
    <row r="41" spans="1:7" x14ac:dyDescent="0.2">
      <c r="A41" s="164"/>
      <c r="B41" s="164">
        <v>39</v>
      </c>
      <c r="C41" t="str">
        <f ca="1">IF(OR(Planning!$L44="",Planning!$N44=""),"Z"&amp;ROW($M44),Planning!$I44&amp;Planning!$F44)</f>
        <v>A80,59375</v>
      </c>
      <c r="D41" s="164">
        <f ca="1"/>
        <v>1</v>
      </c>
      <c r="G41" s="676" t="s">
        <v>273</v>
      </c>
    </row>
    <row r="42" spans="1:7" x14ac:dyDescent="0.2">
      <c r="A42" s="164"/>
      <c r="B42" s="164">
        <v>40</v>
      </c>
      <c r="C42" t="str">
        <f ca="1">IF(OR(Planning!$L45="",Planning!$N45=""),"Z"&amp;ROW($M45),Planning!$I45&amp;Planning!$F45)</f>
        <v>B80,59375</v>
      </c>
      <c r="D42" s="164">
        <f ca="1"/>
        <v>1</v>
      </c>
      <c r="G42" s="676"/>
    </row>
    <row r="43" spans="1:7" x14ac:dyDescent="0.2">
      <c r="A43" s="164"/>
      <c r="B43" s="164">
        <v>41</v>
      </c>
      <c r="C43" t="str">
        <f ca="1">IF(OR(Planning!$L46="",Planning!$N46=""),"Z"&amp;ROW($M46),Planning!$I46&amp;Planning!$F46)</f>
        <v>A30,618055555555556</v>
      </c>
      <c r="D43" s="164">
        <f ca="1"/>
        <v>1</v>
      </c>
    </row>
    <row r="44" spans="1:7" x14ac:dyDescent="0.2">
      <c r="A44" s="164"/>
      <c r="B44" s="164">
        <v>42</v>
      </c>
      <c r="C44" t="str">
        <f ca="1">IF(OR(Planning!$L47="",Planning!$N47=""),"Z"&amp;ROW($M47),Planning!$I47&amp;Planning!$F47)</f>
        <v>B30,618055555555556</v>
      </c>
      <c r="D44" s="164">
        <f ca="1"/>
        <v>1</v>
      </c>
    </row>
    <row r="45" spans="1:7" x14ac:dyDescent="0.2">
      <c r="A45" s="164"/>
      <c r="B45" s="164">
        <v>43</v>
      </c>
      <c r="C45" t="str">
        <f ca="1">IF(OR(Planning!$L48="",Planning!$N48=""),"Z"&amp;ROW($M48),Planning!$I48&amp;Planning!$F48)</f>
        <v>A20,618055555555556</v>
      </c>
      <c r="D45" s="164">
        <f ca="1"/>
        <v>1</v>
      </c>
    </row>
    <row r="46" spans="1:7" x14ac:dyDescent="0.2">
      <c r="A46" s="164"/>
      <c r="B46" s="164">
        <v>44</v>
      </c>
      <c r="C46" t="str">
        <f ca="1">IF(OR(Planning!$L49="",Planning!$N49=""),"Z"&amp;ROW($M49),Planning!$I49&amp;Planning!$F49)</f>
        <v>B20,618055555555556</v>
      </c>
      <c r="D46" s="164">
        <f ca="1"/>
        <v>1</v>
      </c>
    </row>
    <row r="47" spans="1:7" x14ac:dyDescent="0.2">
      <c r="A47" s="164"/>
      <c r="B47" s="164">
        <v>45</v>
      </c>
      <c r="C47" t="str">
        <f ca="1">IF(OR(Planning!$L50="",Planning!$N50=""),"Z"&amp;ROW($M50),Planning!$I50&amp;Planning!$F50)</f>
        <v>A50,642361111111111</v>
      </c>
      <c r="D47" s="164">
        <f ca="1"/>
        <v>1</v>
      </c>
    </row>
    <row r="48" spans="1:7" x14ac:dyDescent="0.2">
      <c r="A48" s="164"/>
      <c r="B48" s="164">
        <v>46</v>
      </c>
      <c r="C48" t="str">
        <f ca="1">IF(OR(Planning!$L51="",Planning!$N51=""),"Z"&amp;ROW($M51),Planning!$I51&amp;Planning!$F51)</f>
        <v>B50,642361111111111</v>
      </c>
      <c r="D48" s="164">
        <f ca="1"/>
        <v>1</v>
      </c>
    </row>
    <row r="49" spans="1:4" x14ac:dyDescent="0.2">
      <c r="A49" s="164"/>
      <c r="B49" s="164">
        <v>47</v>
      </c>
      <c r="C49" t="str">
        <f ca="1">IF(OR(Planning!$L52="",Planning!$N52=""),"Z"&amp;ROW($M52),Planning!$I52&amp;Planning!$F52)</f>
        <v>A70,642361111111111</v>
      </c>
      <c r="D49" s="164">
        <f ca="1"/>
        <v>1</v>
      </c>
    </row>
    <row r="50" spans="1:4" x14ac:dyDescent="0.2">
      <c r="A50" s="164"/>
      <c r="B50" s="164">
        <v>48</v>
      </c>
      <c r="C50" t="str">
        <f ca="1">IF(OR(Planning!$L53="",Planning!$N53=""),"Z"&amp;ROW($M53),Planning!$I53&amp;Planning!$F53)</f>
        <v>B70,642361111111111</v>
      </c>
      <c r="D50" s="164">
        <f ca="1"/>
        <v>1</v>
      </c>
    </row>
    <row r="51" spans="1:4" x14ac:dyDescent="0.2">
      <c r="A51" s="164"/>
      <c r="B51" s="164">
        <v>49</v>
      </c>
      <c r="C51" t="str">
        <f ca="1">IF(OR(Planning!$L54="",Planning!$N54=""),"Z"&amp;ROW($M54),Planning!$I54&amp;Planning!$F54)</f>
        <v>A10,666666666666667</v>
      </c>
      <c r="D51" s="164">
        <f ca="1"/>
        <v>1</v>
      </c>
    </row>
    <row r="52" spans="1:4" x14ac:dyDescent="0.2">
      <c r="A52" s="164"/>
      <c r="B52" s="164">
        <v>50</v>
      </c>
      <c r="C52" t="str">
        <f ca="1">IF(OR(Planning!$L55="",Planning!$N55=""),"Z"&amp;ROW($M55),Planning!$I55&amp;Planning!$F55)</f>
        <v>B10,666666666666667</v>
      </c>
      <c r="D52" s="164">
        <f ca="1"/>
        <v>1</v>
      </c>
    </row>
    <row r="53" spans="1:4" x14ac:dyDescent="0.2">
      <c r="A53" s="164"/>
      <c r="B53" s="164">
        <v>51</v>
      </c>
      <c r="C53" t="str">
        <f ca="1">IF(OR(Planning!$L56="",Planning!$N56=""),"Z"&amp;ROW($M56),Planning!$I56&amp;Planning!$F56)</f>
        <v>A80,666666666666667</v>
      </c>
      <c r="D53" s="164">
        <f ca="1"/>
        <v>1</v>
      </c>
    </row>
    <row r="54" spans="1:4" x14ac:dyDescent="0.2">
      <c r="A54" s="164"/>
      <c r="B54" s="164">
        <v>52</v>
      </c>
      <c r="C54" t="str">
        <f ca="1">IF(OR(Planning!$L57="",Planning!$N57=""),"Z"&amp;ROW($M57),Planning!$I57&amp;Planning!$F57)</f>
        <v>B80,666666666666667</v>
      </c>
      <c r="D54" s="164">
        <f ca="1"/>
        <v>1</v>
      </c>
    </row>
    <row r="55" spans="1:4" x14ac:dyDescent="0.2">
      <c r="A55" s="164"/>
      <c r="B55" s="164">
        <v>53</v>
      </c>
      <c r="C55" t="str">
        <f ca="1">IF(OR(Planning!$L58="",Planning!$N58=""),"Z"&amp;ROW($M58),Planning!$I58&amp;Planning!$F58)</f>
        <v>A40,690972222222222</v>
      </c>
      <c r="D55" s="164">
        <f ca="1"/>
        <v>1</v>
      </c>
    </row>
    <row r="56" spans="1:4" x14ac:dyDescent="0.2">
      <c r="A56" s="164"/>
      <c r="B56" s="164">
        <v>54</v>
      </c>
      <c r="C56" t="str">
        <f ca="1">IF(OR(Planning!$L59="",Planning!$N59=""),"Z"&amp;ROW($M59),Planning!$I59&amp;Planning!$F59)</f>
        <v>B40,690972222222222</v>
      </c>
      <c r="D56" s="164">
        <f ca="1"/>
        <v>1</v>
      </c>
    </row>
    <row r="57" spans="1:4" x14ac:dyDescent="0.2">
      <c r="A57" s="164"/>
      <c r="B57" s="164">
        <v>55</v>
      </c>
      <c r="C57" t="str">
        <f ca="1">IF(OR(Planning!$L60="",Planning!$N60=""),"Z"&amp;ROW($M60),Planning!$I60&amp;Planning!$F60)</f>
        <v>A60,690972222222222</v>
      </c>
      <c r="D57" s="164">
        <f ca="1"/>
        <v>1</v>
      </c>
    </row>
    <row r="58" spans="1:4" x14ac:dyDescent="0.2">
      <c r="A58" s="164"/>
      <c r="B58" s="164">
        <v>56</v>
      </c>
      <c r="C58" t="str">
        <f ca="1">IF(OR(Planning!$L61="",Planning!$N61=""),"Z"&amp;ROW($M61),Planning!$I61&amp;Planning!$F61)</f>
        <v>B60,690972222222222</v>
      </c>
      <c r="D58" s="164">
        <f ca="1"/>
        <v>1</v>
      </c>
    </row>
    <row r="59" spans="1:4" x14ac:dyDescent="0.2">
      <c r="A59" s="164"/>
      <c r="B59" s="164">
        <v>57</v>
      </c>
      <c r="C59" t="str">
        <f ca="1">IF(OR(Planning!$L62="",Planning!$N62=""),"Z"&amp;ROW($M62),Planning!$I62&amp;Planning!$F62)</f>
        <v>Z62</v>
      </c>
      <c r="D59" s="164">
        <f ca="1"/>
        <v>1</v>
      </c>
    </row>
    <row r="60" spans="1:4" x14ac:dyDescent="0.2">
      <c r="A60" s="164"/>
      <c r="B60" s="164">
        <v>58</v>
      </c>
      <c r="C60" t="str">
        <f ca="1">IF(OR(Planning!$L63="",Planning!$N63=""),"Z"&amp;ROW($M63),Planning!$I63&amp;Planning!$F63)</f>
        <v>Z63</v>
      </c>
      <c r="D60" s="164">
        <f ca="1"/>
        <v>1</v>
      </c>
    </row>
    <row r="61" spans="1:4" x14ac:dyDescent="0.2">
      <c r="A61" s="164"/>
      <c r="B61" s="164">
        <v>59</v>
      </c>
      <c r="C61" t="str">
        <f ca="1">IF(OR(Planning!$L64="",Planning!$N64=""),"Z"&amp;ROW($M64),Planning!$I64&amp;Planning!$F64)</f>
        <v>Z64</v>
      </c>
      <c r="D61" s="164">
        <f ca="1"/>
        <v>1</v>
      </c>
    </row>
    <row r="62" spans="1:4" x14ac:dyDescent="0.2">
      <c r="A62" s="164"/>
      <c r="B62" s="164">
        <v>60</v>
      </c>
      <c r="C62" t="str">
        <f ca="1">IF(OR(Planning!$L65="",Planning!$N65=""),"Z"&amp;ROW($M65),Planning!$I65&amp;Planning!$F65)</f>
        <v>Z65</v>
      </c>
      <c r="D62" s="164">
        <f ca="1"/>
        <v>1</v>
      </c>
    </row>
    <row r="63" spans="1:4" x14ac:dyDescent="0.2">
      <c r="B63" s="164">
        <v>61</v>
      </c>
      <c r="C63" t="str">
        <f ca="1">IF(OR(Planning!$L66="",Planning!$N66=""),"Z"&amp;ROW($M66),Planning!$I66&amp;Planning!$F66)</f>
        <v>Z66</v>
      </c>
      <c r="D63" s="164">
        <f ca="1"/>
        <v>1</v>
      </c>
    </row>
    <row r="64" spans="1:4" x14ac:dyDescent="0.2">
      <c r="B64" s="164">
        <v>62</v>
      </c>
      <c r="C64" t="str">
        <f ca="1">IF(OR(Planning!$L67="",Planning!$N67=""),"Z"&amp;ROW($M67),Planning!$I67&amp;Planning!$F67)</f>
        <v>Z67</v>
      </c>
      <c r="D64" s="164">
        <f ca="1"/>
        <v>1</v>
      </c>
    </row>
    <row r="65" spans="1:4" x14ac:dyDescent="0.2">
      <c r="B65" s="164">
        <v>63</v>
      </c>
      <c r="C65" t="str">
        <f ca="1">IF(OR(Planning!$L68="",Planning!$N68=""),"Z"&amp;ROW($M68),Planning!$I68&amp;Planning!$F68)</f>
        <v>Z68</v>
      </c>
      <c r="D65" s="164">
        <f ca="1"/>
        <v>1</v>
      </c>
    </row>
    <row r="66" spans="1:4" x14ac:dyDescent="0.2">
      <c r="B66" s="164">
        <v>64</v>
      </c>
      <c r="C66" t="str">
        <f ca="1">IF(OR(Planning!$L69="",Planning!$N69=""),"Z"&amp;ROW($M69),Planning!$I69&amp;Planning!$F69)</f>
        <v>Z69</v>
      </c>
      <c r="D66" s="164">
        <f ca="1"/>
        <v>1</v>
      </c>
    </row>
    <row r="67" spans="1:4" x14ac:dyDescent="0.2">
      <c r="B67" s="164">
        <v>65</v>
      </c>
      <c r="C67" t="str">
        <f ca="1">IF(OR(Planning!$L70="",Planning!$N70=""),"Z"&amp;ROW($M70),Planning!$I70&amp;Planning!$F70)</f>
        <v>Z70</v>
      </c>
      <c r="D67" s="164">
        <f ca="1"/>
        <v>1</v>
      </c>
    </row>
    <row r="68" spans="1:4" x14ac:dyDescent="0.2">
      <c r="B68" s="164">
        <v>66</v>
      </c>
      <c r="C68" t="str">
        <f ca="1">IF(OR(Planning!$L71="",Planning!$N71=""),"Z"&amp;ROW($M71),Planning!$I71&amp;Planning!$F71)</f>
        <v>Z71</v>
      </c>
      <c r="D68" s="164">
        <f ca="1"/>
        <v>1</v>
      </c>
    </row>
    <row r="69" spans="1:4" x14ac:dyDescent="0.2">
      <c r="B69" s="164">
        <v>67</v>
      </c>
      <c r="C69" t="str">
        <f ca="1">IF(OR(Planning!$L72="",Planning!$N72=""),"Z"&amp;ROW($M72),Planning!$I72&amp;Planning!$F72)</f>
        <v>Z72</v>
      </c>
      <c r="D69" s="164">
        <f ca="1"/>
        <v>1</v>
      </c>
    </row>
    <row r="70" spans="1:4" x14ac:dyDescent="0.2">
      <c r="B70" s="164">
        <v>68</v>
      </c>
      <c r="C70" t="str">
        <f ca="1">IF(OR(Planning!$L73="",Planning!$N73=""),"Z"&amp;ROW($M73),Planning!$I73&amp;Planning!$F73)</f>
        <v>Z73</v>
      </c>
      <c r="D70" s="164">
        <f ca="1"/>
        <v>1</v>
      </c>
    </row>
    <row r="71" spans="1:4" x14ac:dyDescent="0.2">
      <c r="B71" s="164">
        <v>69</v>
      </c>
      <c r="C71" t="str">
        <f ca="1">IF(OR(Planning!$L74="",Planning!$N74=""),"Z"&amp;ROW($M74),Planning!$I74&amp;Planning!$F74)</f>
        <v>Z74</v>
      </c>
      <c r="D71" s="164">
        <f ca="1"/>
        <v>1</v>
      </c>
    </row>
    <row r="72" spans="1:4" x14ac:dyDescent="0.2">
      <c r="B72" s="164">
        <v>70</v>
      </c>
      <c r="C72" t="str">
        <f ca="1">IF(OR(Planning!$L75="",Planning!$N75=""),"Z"&amp;ROW($M75),Planning!$I75&amp;Planning!$F75)</f>
        <v>Z75</v>
      </c>
      <c r="D72" s="164">
        <f ca="1"/>
        <v>1</v>
      </c>
    </row>
    <row r="73" spans="1:4" x14ac:dyDescent="0.2">
      <c r="B73" s="164">
        <v>71</v>
      </c>
      <c r="C73" t="str">
        <f ca="1">IF(OR(Planning!$L76="",Planning!$N76=""),"Z"&amp;ROW($M76),Planning!$I76&amp;Planning!$F76)</f>
        <v>Z76</v>
      </c>
      <c r="D73" s="164">
        <f ca="1"/>
        <v>1</v>
      </c>
    </row>
    <row r="74" spans="1:4" ht="13.5" thickBot="1" x14ac:dyDescent="0.25">
      <c r="A74" s="294"/>
      <c r="B74" s="451">
        <v>72</v>
      </c>
      <c r="C74" s="450" t="str">
        <f ca="1">IF(OR(Planning!$L77="",Planning!$N77=""),"Z"&amp;ROW($M77),Planning!$I77&amp;Planning!$F77)</f>
        <v>Z77</v>
      </c>
      <c r="D74" s="451">
        <f ca="1"/>
        <v>1</v>
      </c>
    </row>
    <row r="75" spans="1:4" x14ac:dyDescent="0.2">
      <c r="A75" s="164"/>
      <c r="B75" s="164">
        <v>73</v>
      </c>
      <c r="C75" t="str">
        <f ca="1">IF(OR(Planning!$L6="",Planning!$N6=""),"ZZ"&amp;ROW($M6)+100,Planning!$K6&amp;Planning!$F6)</f>
        <v>A80,375</v>
      </c>
      <c r="D75" s="164">
        <f ca="1"/>
        <v>1</v>
      </c>
    </row>
    <row r="76" spans="1:4" x14ac:dyDescent="0.2">
      <c r="B76" s="164">
        <v>74</v>
      </c>
      <c r="C76" t="str">
        <f ca="1">IF(OR(Planning!$L7="",Planning!$N7=""),"ZZ"&amp;ROW($M7)+100,Planning!$K7&amp;Planning!$F7)</f>
        <v>B80,375</v>
      </c>
      <c r="D76" s="164">
        <f ca="1"/>
        <v>1</v>
      </c>
    </row>
    <row r="77" spans="1:4" x14ac:dyDescent="0.2">
      <c r="B77" s="164">
        <v>75</v>
      </c>
      <c r="C77" t="str">
        <f ca="1">IF(OR(Planning!$L8="",Planning!$N8=""),"ZZ"&amp;ROW($M8)+100,Planning!$K8&amp;Planning!$F8)</f>
        <v>A20,375</v>
      </c>
      <c r="D77" s="164">
        <f ca="1"/>
        <v>1</v>
      </c>
    </row>
    <row r="78" spans="1:4" x14ac:dyDescent="0.2">
      <c r="B78" s="164">
        <v>76</v>
      </c>
      <c r="C78" t="str">
        <f ca="1">IF(OR(Planning!$L9="",Planning!$N9=""),"ZZ"&amp;ROW($M9)+100,Planning!$K9&amp;Planning!$F9)</f>
        <v>B20,375</v>
      </c>
      <c r="D78" s="164">
        <f ca="1"/>
        <v>1</v>
      </c>
    </row>
    <row r="79" spans="1:4" x14ac:dyDescent="0.2">
      <c r="B79" s="164">
        <v>77</v>
      </c>
      <c r="C79" t="str">
        <f ca="1">IF(OR(Planning!$L10="",Planning!$N10=""),"ZZ"&amp;ROW($M10)+100,Planning!$K10&amp;Planning!$F10)</f>
        <v>A60,399305555555556</v>
      </c>
      <c r="D79" s="164">
        <f ca="1"/>
        <v>1</v>
      </c>
    </row>
    <row r="80" spans="1:4" x14ac:dyDescent="0.2">
      <c r="B80" s="164">
        <v>78</v>
      </c>
      <c r="C80" t="str">
        <f ca="1">IF(OR(Planning!$L11="",Planning!$N11=""),"ZZ"&amp;ROW($M11)+100,Planning!$K11&amp;Planning!$F11)</f>
        <v>B60,399305555555556</v>
      </c>
      <c r="D80" s="164">
        <f ca="1"/>
        <v>1</v>
      </c>
    </row>
    <row r="81" spans="2:4" x14ac:dyDescent="0.2">
      <c r="B81" s="164">
        <v>79</v>
      </c>
      <c r="C81" t="str">
        <f ca="1">IF(OR(Planning!$L12="",Planning!$N12=""),"ZZ"&amp;ROW($M12)+100,Planning!$K12&amp;Planning!$F12)</f>
        <v>A40,399305555555556</v>
      </c>
      <c r="D81" s="164">
        <f ca="1"/>
        <v>1</v>
      </c>
    </row>
    <row r="82" spans="2:4" x14ac:dyDescent="0.2">
      <c r="B82" s="164">
        <v>80</v>
      </c>
      <c r="C82" t="str">
        <f ca="1">IF(OR(Planning!$L13="",Planning!$N13=""),"ZZ"&amp;ROW($M13)+100,Planning!$K13&amp;Planning!$F13)</f>
        <v>B40,399305555555556</v>
      </c>
      <c r="D82" s="164">
        <f ca="1"/>
        <v>1</v>
      </c>
    </row>
    <row r="83" spans="2:4" x14ac:dyDescent="0.2">
      <c r="B83" s="164">
        <v>81</v>
      </c>
      <c r="C83" t="str">
        <f ca="1">IF(OR(Planning!$L14="",Planning!$N14=""),"ZZ"&amp;ROW($M14)+100,Planning!$K14&amp;Planning!$F14)</f>
        <v>A10,423611111111111</v>
      </c>
      <c r="D83" s="164">
        <f ca="1"/>
        <v>1</v>
      </c>
    </row>
    <row r="84" spans="2:4" x14ac:dyDescent="0.2">
      <c r="B84" s="164">
        <v>82</v>
      </c>
      <c r="C84" t="str">
        <f ca="1">IF(OR(Planning!$L15="",Planning!$N15=""),"ZZ"&amp;ROW($M15)+100,Planning!$K15&amp;Planning!$F15)</f>
        <v>B10,423611111111111</v>
      </c>
      <c r="D84" s="164">
        <f ca="1"/>
        <v>1</v>
      </c>
    </row>
    <row r="85" spans="2:4" x14ac:dyDescent="0.2">
      <c r="B85" s="164">
        <v>83</v>
      </c>
      <c r="C85" t="str">
        <f ca="1">IF(OR(Planning!$L16="",Planning!$N16=""),"ZZ"&amp;ROW($M16)+100,Planning!$K16&amp;Planning!$F16)</f>
        <v>A80,423611111111111</v>
      </c>
      <c r="D85" s="164">
        <f ca="1"/>
        <v>1</v>
      </c>
    </row>
    <row r="86" spans="2:4" x14ac:dyDescent="0.2">
      <c r="B86" s="164">
        <v>84</v>
      </c>
      <c r="C86" t="str">
        <f ca="1">IF(OR(Planning!$L17="",Planning!$N17=""),"ZZ"&amp;ROW($M17)+100,Planning!$K17&amp;Planning!$F17)</f>
        <v>B80,423611111111111</v>
      </c>
      <c r="D86" s="164">
        <f ca="1"/>
        <v>1</v>
      </c>
    </row>
    <row r="87" spans="2:4" x14ac:dyDescent="0.2">
      <c r="B87" s="164">
        <v>85</v>
      </c>
      <c r="C87" t="str">
        <f ca="1">IF(OR(Planning!$L18="",Planning!$N18=""),"ZZ"&amp;ROW($M18)+100,Planning!$K18&amp;Planning!$F18)</f>
        <v>A50,447916666666667</v>
      </c>
      <c r="D87" s="164">
        <f ca="1"/>
        <v>1</v>
      </c>
    </row>
    <row r="88" spans="2:4" x14ac:dyDescent="0.2">
      <c r="B88" s="164">
        <v>86</v>
      </c>
      <c r="C88" t="str">
        <f ca="1">IF(OR(Planning!$L19="",Planning!$N19=""),"ZZ"&amp;ROW($M19)+100,Planning!$K19&amp;Planning!$F19)</f>
        <v>B50,447916666666667</v>
      </c>
      <c r="D88" s="164">
        <f ca="1"/>
        <v>1</v>
      </c>
    </row>
    <row r="89" spans="2:4" x14ac:dyDescent="0.2">
      <c r="B89" s="164">
        <v>87</v>
      </c>
      <c r="C89" t="str">
        <f ca="1">IF(OR(Planning!$L20="",Planning!$N20=""),"ZZ"&amp;ROW($M20)+100,Planning!$K20&amp;Planning!$F20)</f>
        <v>A30,447916666666667</v>
      </c>
      <c r="D89" s="164">
        <f ca="1"/>
        <v>1</v>
      </c>
    </row>
    <row r="90" spans="2:4" x14ac:dyDescent="0.2">
      <c r="B90" s="164">
        <v>88</v>
      </c>
      <c r="C90" t="str">
        <f ca="1">IF(OR(Planning!$L21="",Planning!$N21=""),"ZZ"&amp;ROW($M21)+100,Planning!$K21&amp;Planning!$F21)</f>
        <v>B30,447916666666667</v>
      </c>
      <c r="D90" s="164">
        <f ca="1"/>
        <v>1</v>
      </c>
    </row>
    <row r="91" spans="2:4" x14ac:dyDescent="0.2">
      <c r="B91" s="164">
        <v>89</v>
      </c>
      <c r="C91" t="str">
        <f ca="1">IF(OR(Planning!$L22="",Planning!$N22=""),"ZZ"&amp;ROW($M22)+100,Planning!$K22&amp;Planning!$F22)</f>
        <v>A60,472222222222222</v>
      </c>
      <c r="D91" s="164">
        <f ca="1"/>
        <v>1</v>
      </c>
    </row>
    <row r="92" spans="2:4" x14ac:dyDescent="0.2">
      <c r="B92" s="164">
        <v>90</v>
      </c>
      <c r="C92" t="str">
        <f ca="1">IF(OR(Planning!$L23="",Planning!$N23=""),"ZZ"&amp;ROW($M23)+100,Planning!$K23&amp;Planning!$F23)</f>
        <v>B60,472222222222222</v>
      </c>
      <c r="D92" s="164">
        <f ca="1"/>
        <v>1</v>
      </c>
    </row>
    <row r="93" spans="2:4" x14ac:dyDescent="0.2">
      <c r="B93" s="164">
        <v>91</v>
      </c>
      <c r="C93" t="str">
        <f ca="1">IF(OR(Planning!$L24="",Planning!$N24=""),"ZZ"&amp;ROW($M24)+100,Planning!$K24&amp;Planning!$F24)</f>
        <v>A70,472222222222222</v>
      </c>
      <c r="D93" s="164">
        <f ca="1"/>
        <v>1</v>
      </c>
    </row>
    <row r="94" spans="2:4" x14ac:dyDescent="0.2">
      <c r="B94" s="164">
        <v>92</v>
      </c>
      <c r="C94" t="str">
        <f ca="1">IF(OR(Planning!$L25="",Planning!$N25=""),"ZZ"&amp;ROW($M25)+100,Planning!$K25&amp;Planning!$F25)</f>
        <v>B70,472222222222222</v>
      </c>
      <c r="D94" s="164">
        <f ca="1"/>
        <v>1</v>
      </c>
    </row>
    <row r="95" spans="2:4" x14ac:dyDescent="0.2">
      <c r="B95" s="164">
        <v>93</v>
      </c>
      <c r="C95" t="str">
        <f ca="1">IF(OR(Planning!$L26="",Planning!$N26=""),"ZZ"&amp;ROW($M26)+100,Planning!$K26&amp;Planning!$F26)</f>
        <v>A40,496527777777778</v>
      </c>
      <c r="D95" s="164">
        <f ca="1"/>
        <v>1</v>
      </c>
    </row>
    <row r="96" spans="2:4" x14ac:dyDescent="0.2">
      <c r="B96" s="164">
        <v>94</v>
      </c>
      <c r="C96" t="str">
        <f ca="1">IF(OR(Planning!$L27="",Planning!$N27=""),"ZZ"&amp;ROW($M27)+100,Planning!$K27&amp;Planning!$F27)</f>
        <v>B40,496527777777778</v>
      </c>
      <c r="D96" s="164">
        <f ca="1"/>
        <v>1</v>
      </c>
    </row>
    <row r="97" spans="2:4" x14ac:dyDescent="0.2">
      <c r="B97" s="164">
        <v>95</v>
      </c>
      <c r="C97" t="str">
        <f ca="1">IF(OR(Planning!$L28="",Planning!$N28=""),"ZZ"&amp;ROW($M28)+100,Planning!$K28&amp;Planning!$F28)</f>
        <v>A20,496527777777778</v>
      </c>
      <c r="D97" s="164">
        <f ca="1"/>
        <v>1</v>
      </c>
    </row>
    <row r="98" spans="2:4" x14ac:dyDescent="0.2">
      <c r="B98" s="164">
        <v>96</v>
      </c>
      <c r="C98" t="str">
        <f ca="1">IF(OR(Planning!$L29="",Planning!$N29=""),"ZZ"&amp;ROW($M29)+100,Planning!$K29&amp;Planning!$F29)</f>
        <v>B20,496527777777778</v>
      </c>
      <c r="D98" s="164">
        <f ca="1"/>
        <v>1</v>
      </c>
    </row>
    <row r="99" spans="2:4" x14ac:dyDescent="0.2">
      <c r="B99" s="164">
        <v>97</v>
      </c>
      <c r="C99" t="str">
        <f ca="1">IF(OR(Planning!$L30="",Planning!$N30=""),"ZZ"&amp;ROW($M30)+100,Planning!$K30&amp;Planning!$F30)</f>
        <v>A10,520833333333333</v>
      </c>
      <c r="D99" s="164">
        <f ca="1"/>
        <v>1</v>
      </c>
    </row>
    <row r="100" spans="2:4" x14ac:dyDescent="0.2">
      <c r="B100" s="164">
        <v>98</v>
      </c>
      <c r="C100" t="str">
        <f ca="1">IF(OR(Planning!$L31="",Planning!$N31=""),"ZZ"&amp;ROW($M31)+100,Planning!$K31&amp;Planning!$F31)</f>
        <v>B10,520833333333333</v>
      </c>
      <c r="D100" s="164">
        <f ca="1"/>
        <v>1</v>
      </c>
    </row>
    <row r="101" spans="2:4" x14ac:dyDescent="0.2">
      <c r="B101" s="164">
        <v>99</v>
      </c>
      <c r="C101" t="str">
        <f ca="1">IF(OR(Planning!$L32="",Planning!$N32=""),"ZZ"&amp;ROW($M32)+100,Planning!$K32&amp;Planning!$F32)</f>
        <v>A60,520833333333333</v>
      </c>
      <c r="D101" s="164">
        <f ca="1"/>
        <v>1</v>
      </c>
    </row>
    <row r="102" spans="2:4" x14ac:dyDescent="0.2">
      <c r="B102" s="164">
        <v>100</v>
      </c>
      <c r="C102" t="str">
        <f ca="1">IF(OR(Planning!$L33="",Planning!$N33=""),"ZZ"&amp;ROW($M33)+100,Planning!$K33&amp;Planning!$F33)</f>
        <v>B60,520833333333333</v>
      </c>
      <c r="D102" s="164">
        <f ca="1"/>
        <v>1</v>
      </c>
    </row>
    <row r="103" spans="2:4" x14ac:dyDescent="0.2">
      <c r="B103" s="164">
        <v>101</v>
      </c>
      <c r="C103" t="str">
        <f ca="1">IF(OR(Planning!$L34="",Planning!$N34=""),"ZZ"&amp;ROW($M34)+100,Planning!$K34&amp;Planning!$F34)</f>
        <v>A30,545138888888889</v>
      </c>
      <c r="D103" s="164">
        <f ca="1"/>
        <v>1</v>
      </c>
    </row>
    <row r="104" spans="2:4" x14ac:dyDescent="0.2">
      <c r="B104" s="164">
        <v>102</v>
      </c>
      <c r="C104" t="str">
        <f ca="1">IF(OR(Planning!$L35="",Planning!$N35=""),"ZZ"&amp;ROW($M35)+100,Planning!$K35&amp;Planning!$F35)</f>
        <v>B30,545138888888889</v>
      </c>
      <c r="D104" s="164">
        <f ca="1"/>
        <v>1</v>
      </c>
    </row>
    <row r="105" spans="2:4" x14ac:dyDescent="0.2">
      <c r="B105" s="164">
        <v>103</v>
      </c>
      <c r="C105" t="str">
        <f ca="1">IF(OR(Planning!$L36="",Planning!$N36=""),"ZZ"&amp;ROW($M36)+100,Planning!$K36&amp;Planning!$F36)</f>
        <v>A80,545138888888889</v>
      </c>
      <c r="D105" s="164">
        <f ca="1"/>
        <v>1</v>
      </c>
    </row>
    <row r="106" spans="2:4" x14ac:dyDescent="0.2">
      <c r="B106" s="164">
        <v>104</v>
      </c>
      <c r="C106" t="str">
        <f ca="1">IF(OR(Planning!$L37="",Planning!$N37=""),"ZZ"&amp;ROW($M37)+100,Planning!$K37&amp;Planning!$F37)</f>
        <v>B80,545138888888889</v>
      </c>
      <c r="D106" s="164">
        <f ca="1"/>
        <v>1</v>
      </c>
    </row>
    <row r="107" spans="2:4" x14ac:dyDescent="0.2">
      <c r="B107" s="164">
        <v>105</v>
      </c>
      <c r="C107" t="str">
        <f ca="1">IF(OR(Planning!$L38="",Planning!$N38=""),"ZZ"&amp;ROW($M38)+100,Planning!$K38&amp;Planning!$F38)</f>
        <v>A40,569444444444444</v>
      </c>
      <c r="D107" s="164">
        <f ca="1"/>
        <v>1</v>
      </c>
    </row>
    <row r="108" spans="2:4" x14ac:dyDescent="0.2">
      <c r="B108" s="164">
        <v>106</v>
      </c>
      <c r="C108" t="str">
        <f ca="1">IF(OR(Planning!$L39="",Planning!$N39=""),"ZZ"&amp;ROW($M39)+100,Planning!$K39&amp;Planning!$F39)</f>
        <v>B40,569444444444444</v>
      </c>
      <c r="D108" s="164">
        <f ca="1"/>
        <v>1</v>
      </c>
    </row>
    <row r="109" spans="2:4" x14ac:dyDescent="0.2">
      <c r="B109" s="164">
        <v>107</v>
      </c>
      <c r="C109" t="str">
        <f ca="1">IF(OR(Planning!$L40="",Planning!$N40=""),"ZZ"&amp;ROW($M40)+100,Planning!$K40&amp;Planning!$F40)</f>
        <v>A50,569444444444444</v>
      </c>
      <c r="D109" s="164">
        <f ca="1"/>
        <v>1</v>
      </c>
    </row>
    <row r="110" spans="2:4" x14ac:dyDescent="0.2">
      <c r="B110" s="164">
        <v>108</v>
      </c>
      <c r="C110" t="str">
        <f ca="1">IF(OR(Planning!$L41="",Planning!$N41=""),"ZZ"&amp;ROW($M41)+100,Planning!$K41&amp;Planning!$F41)</f>
        <v>B50,569444444444444</v>
      </c>
      <c r="D110" s="164">
        <f ca="1"/>
        <v>1</v>
      </c>
    </row>
    <row r="111" spans="2:4" x14ac:dyDescent="0.2">
      <c r="B111" s="164">
        <v>109</v>
      </c>
      <c r="C111" t="str">
        <f ca="1">IF(OR(Planning!$L42="",Planning!$N42=""),"ZZ"&amp;ROW($M42)+100,Planning!$K42&amp;Planning!$F42)</f>
        <v>A20,59375</v>
      </c>
      <c r="D111" s="164">
        <f ca="1"/>
        <v>1</v>
      </c>
    </row>
    <row r="112" spans="2:4" x14ac:dyDescent="0.2">
      <c r="B112" s="164">
        <v>110</v>
      </c>
      <c r="C112" t="str">
        <f ca="1">IF(OR(Planning!$L43="",Planning!$N43=""),"ZZ"&amp;ROW($M43)+100,Planning!$K43&amp;Planning!$F43)</f>
        <v>B20,59375</v>
      </c>
      <c r="D112" s="164">
        <f ca="1"/>
        <v>1</v>
      </c>
    </row>
    <row r="113" spans="2:4" x14ac:dyDescent="0.2">
      <c r="B113" s="164">
        <v>111</v>
      </c>
      <c r="C113" t="str">
        <f ca="1">IF(OR(Planning!$L44="",Planning!$N44=""),"ZZ"&amp;ROW($M44)+100,Planning!$K44&amp;Planning!$F44)</f>
        <v>A70,59375</v>
      </c>
      <c r="D113" s="164">
        <f ca="1"/>
        <v>1</v>
      </c>
    </row>
    <row r="114" spans="2:4" x14ac:dyDescent="0.2">
      <c r="B114" s="164">
        <v>112</v>
      </c>
      <c r="C114" t="str">
        <f ca="1">IF(OR(Planning!$L45="",Planning!$N45=""),"ZZ"&amp;ROW($M45)+100,Planning!$K45&amp;Planning!$F45)</f>
        <v>B70,59375</v>
      </c>
      <c r="D114" s="164">
        <f ca="1"/>
        <v>1</v>
      </c>
    </row>
    <row r="115" spans="2:4" x14ac:dyDescent="0.2">
      <c r="B115" s="164">
        <v>113</v>
      </c>
      <c r="C115" t="str">
        <f ca="1">IF(OR(Planning!$L46="",Planning!$N46=""),"ZZ"&amp;ROW($M46)+100,Planning!$K46&amp;Planning!$F46)</f>
        <v>A10,618055555555556</v>
      </c>
      <c r="D115" s="164">
        <f ca="1"/>
        <v>1</v>
      </c>
    </row>
    <row r="116" spans="2:4" x14ac:dyDescent="0.2">
      <c r="B116" s="164">
        <v>114</v>
      </c>
      <c r="C116" t="str">
        <f ca="1">IF(OR(Planning!$L47="",Planning!$N47=""),"ZZ"&amp;ROW($M47)+100,Planning!$K47&amp;Planning!$F47)</f>
        <v>B10,618055555555556</v>
      </c>
      <c r="D116" s="164">
        <f ca="1"/>
        <v>1</v>
      </c>
    </row>
    <row r="117" spans="2:4" x14ac:dyDescent="0.2">
      <c r="B117" s="164">
        <v>115</v>
      </c>
      <c r="C117" t="str">
        <f ca="1">IF(OR(Planning!$L48="",Planning!$N48=""),"ZZ"&amp;ROW($M48)+100,Planning!$K48&amp;Planning!$F48)</f>
        <v>A40,618055555555556</v>
      </c>
      <c r="D117" s="164">
        <f ca="1"/>
        <v>1</v>
      </c>
    </row>
    <row r="118" spans="2:4" x14ac:dyDescent="0.2">
      <c r="B118" s="164">
        <v>116</v>
      </c>
      <c r="C118" t="str">
        <f ca="1">IF(OR(Planning!$L49="",Planning!$N49=""),"ZZ"&amp;ROW($M49)+100,Planning!$K49&amp;Planning!$F49)</f>
        <v>B40,618055555555556</v>
      </c>
      <c r="D118" s="164">
        <f ca="1"/>
        <v>1</v>
      </c>
    </row>
    <row r="119" spans="2:4" x14ac:dyDescent="0.2">
      <c r="B119" s="164">
        <v>117</v>
      </c>
      <c r="C119" t="str">
        <f ca="1">IF(OR(Planning!$L50="",Planning!$N50=""),"ZZ"&amp;ROW($M50)+100,Planning!$K50&amp;Planning!$F50)</f>
        <v>A80,642361111111111</v>
      </c>
      <c r="D119" s="164">
        <f ca="1"/>
        <v>1</v>
      </c>
    </row>
    <row r="120" spans="2:4" x14ac:dyDescent="0.2">
      <c r="B120" s="164">
        <v>118</v>
      </c>
      <c r="C120" t="str">
        <f ca="1">IF(OR(Planning!$L51="",Planning!$N51=""),"ZZ"&amp;ROW($M51)+100,Planning!$K51&amp;Planning!$F51)</f>
        <v>B80,642361111111111</v>
      </c>
      <c r="D120" s="164">
        <f ca="1"/>
        <v>1</v>
      </c>
    </row>
    <row r="121" spans="2:4" x14ac:dyDescent="0.2">
      <c r="B121" s="164">
        <v>119</v>
      </c>
      <c r="C121" t="str">
        <f ca="1">IF(OR(Planning!$L52="",Planning!$N52=""),"ZZ"&amp;ROW($M52)+100,Planning!$K52&amp;Planning!$F52)</f>
        <v>A60,642361111111111</v>
      </c>
      <c r="D121" s="164">
        <f ca="1"/>
        <v>1</v>
      </c>
    </row>
    <row r="122" spans="2:4" x14ac:dyDescent="0.2">
      <c r="B122" s="164">
        <v>120</v>
      </c>
      <c r="C122" t="str">
        <f ca="1">IF(OR(Planning!$L53="",Planning!$N53=""),"ZZ"&amp;ROW($M53)+100,Planning!$K53&amp;Planning!$F53)</f>
        <v>B60,642361111111111</v>
      </c>
      <c r="D122" s="164">
        <f ca="1"/>
        <v>1</v>
      </c>
    </row>
    <row r="123" spans="2:4" x14ac:dyDescent="0.2">
      <c r="B123" s="164">
        <v>121</v>
      </c>
      <c r="C123" t="str">
        <f ca="1">IF(OR(Planning!$L54="",Planning!$N54=""),"ZZ"&amp;ROW($M54)+100,Planning!$K54&amp;Planning!$F54)</f>
        <v>A20,666666666666667</v>
      </c>
      <c r="D123" s="164">
        <f ca="1"/>
        <v>1</v>
      </c>
    </row>
    <row r="124" spans="2:4" x14ac:dyDescent="0.2">
      <c r="B124" s="164">
        <v>122</v>
      </c>
      <c r="C124" t="str">
        <f ca="1">IF(OR(Planning!$L55="",Planning!$N55=""),"ZZ"&amp;ROW($M55)+100,Planning!$K55&amp;Planning!$F55)</f>
        <v>B20,666666666666667</v>
      </c>
      <c r="D124" s="164">
        <f ca="1"/>
        <v>1</v>
      </c>
    </row>
    <row r="125" spans="2:4" x14ac:dyDescent="0.2">
      <c r="B125" s="164">
        <v>123</v>
      </c>
      <c r="C125" t="str">
        <f ca="1">IF(OR(Planning!$L56="",Planning!$N56=""),"ZZ"&amp;ROW($M56)+100,Planning!$K56&amp;Planning!$F56)</f>
        <v>A30,666666666666667</v>
      </c>
      <c r="D125" s="164">
        <f ca="1"/>
        <v>1</v>
      </c>
    </row>
    <row r="126" spans="2:4" x14ac:dyDescent="0.2">
      <c r="B126" s="164">
        <v>124</v>
      </c>
      <c r="C126" t="str">
        <f ca="1">IF(OR(Planning!$L57="",Planning!$N57=""),"ZZ"&amp;ROW($M57)+100,Planning!$K57&amp;Planning!$F57)</f>
        <v>B30,666666666666667</v>
      </c>
      <c r="D126" s="164">
        <f ca="1"/>
        <v>1</v>
      </c>
    </row>
    <row r="127" spans="2:4" x14ac:dyDescent="0.2">
      <c r="B127" s="164">
        <v>125</v>
      </c>
      <c r="C127" t="str">
        <f ca="1">IF(OR(Planning!$L58="",Planning!$N58=""),"ZZ"&amp;ROW($M58)+100,Planning!$K58&amp;Planning!$F58)</f>
        <v>A70,690972222222222</v>
      </c>
      <c r="D127" s="164">
        <f ca="1"/>
        <v>1</v>
      </c>
    </row>
    <row r="128" spans="2:4" x14ac:dyDescent="0.2">
      <c r="B128" s="164">
        <v>126</v>
      </c>
      <c r="C128" t="str">
        <f ca="1">IF(OR(Planning!$L59="",Planning!$N59=""),"ZZ"&amp;ROW($M59)+100,Planning!$K59&amp;Planning!$F59)</f>
        <v>B70,690972222222222</v>
      </c>
      <c r="D128" s="164">
        <f ca="1"/>
        <v>1</v>
      </c>
    </row>
    <row r="129" spans="2:4" x14ac:dyDescent="0.2">
      <c r="B129" s="164">
        <v>127</v>
      </c>
      <c r="C129" t="str">
        <f ca="1">IF(OR(Planning!$L60="",Planning!$N60=""),"ZZ"&amp;ROW($M60)+100,Planning!$K60&amp;Planning!$F60)</f>
        <v>A50,690972222222222</v>
      </c>
      <c r="D129" s="164">
        <f ca="1"/>
        <v>1</v>
      </c>
    </row>
    <row r="130" spans="2:4" x14ac:dyDescent="0.2">
      <c r="B130" s="164">
        <v>128</v>
      </c>
      <c r="C130" t="str">
        <f ca="1">IF(OR(Planning!$L61="",Planning!$N61=""),"ZZ"&amp;ROW($M61)+100,Planning!$K61&amp;Planning!$F61)</f>
        <v>B50,690972222222222</v>
      </c>
      <c r="D130" s="164">
        <f ca="1"/>
        <v>1</v>
      </c>
    </row>
    <row r="131" spans="2:4" x14ac:dyDescent="0.2">
      <c r="B131" s="164">
        <v>129</v>
      </c>
      <c r="C131" t="str">
        <f ca="1">IF(OR(Planning!$L62="",Planning!$N62=""),"ZZ"&amp;ROW($M62)+100,Planning!$K62&amp;Planning!$F62)</f>
        <v>ZZ162</v>
      </c>
      <c r="D131" s="164">
        <f ca="1"/>
        <v>1</v>
      </c>
    </row>
    <row r="132" spans="2:4" x14ac:dyDescent="0.2">
      <c r="B132" s="164">
        <v>130</v>
      </c>
      <c r="C132" t="str">
        <f ca="1">IF(OR(Planning!$L63="",Planning!$N63=""),"ZZ"&amp;ROW($M63)+100,Planning!$K63&amp;Planning!$F63)</f>
        <v>ZZ163</v>
      </c>
      <c r="D132" s="164">
        <f ca="1"/>
        <v>1</v>
      </c>
    </row>
    <row r="133" spans="2:4" x14ac:dyDescent="0.2">
      <c r="B133" s="164">
        <v>131</v>
      </c>
      <c r="C133" t="str">
        <f ca="1">IF(OR(Planning!$L64="",Planning!$N64=""),"ZZ"&amp;ROW($M64)+100,Planning!$K64&amp;Planning!$F64)</f>
        <v>ZZ164</v>
      </c>
      <c r="D133" s="164">
        <f ca="1"/>
        <v>1</v>
      </c>
    </row>
    <row r="134" spans="2:4" x14ac:dyDescent="0.2">
      <c r="B134" s="164">
        <v>132</v>
      </c>
      <c r="C134" t="str">
        <f ca="1">IF(OR(Planning!$L65="",Planning!$N65=""),"ZZ"&amp;ROW($M65)+100,Planning!$K65&amp;Planning!$F65)</f>
        <v>ZZ165</v>
      </c>
      <c r="D134" s="164">
        <f ca="1"/>
        <v>1</v>
      </c>
    </row>
    <row r="135" spans="2:4" x14ac:dyDescent="0.2">
      <c r="B135" s="164">
        <v>133</v>
      </c>
      <c r="C135" t="str">
        <f ca="1">IF(OR(Planning!$L66="",Planning!$N66=""),"ZZ"&amp;ROW($M66)+100,Planning!$K66&amp;Planning!$F66)</f>
        <v>ZZ166</v>
      </c>
      <c r="D135" s="164">
        <f ca="1"/>
        <v>1</v>
      </c>
    </row>
    <row r="136" spans="2:4" x14ac:dyDescent="0.2">
      <c r="B136" s="164">
        <v>134</v>
      </c>
      <c r="C136" t="str">
        <f ca="1">IF(OR(Planning!$L67="",Planning!$N67=""),"ZZ"&amp;ROW($M67)+100,Planning!$K67&amp;Planning!$F67)</f>
        <v>ZZ167</v>
      </c>
      <c r="D136" s="164">
        <f ca="1"/>
        <v>1</v>
      </c>
    </row>
    <row r="137" spans="2:4" x14ac:dyDescent="0.2">
      <c r="B137" s="164">
        <v>135</v>
      </c>
      <c r="C137" t="str">
        <f ca="1">IF(OR(Planning!$L68="",Planning!$N68=""),"ZZ"&amp;ROW($M68)+100,Planning!$K68&amp;Planning!$F68)</f>
        <v>ZZ168</v>
      </c>
      <c r="D137" s="164">
        <f ca="1"/>
        <v>1</v>
      </c>
    </row>
    <row r="138" spans="2:4" x14ac:dyDescent="0.2">
      <c r="B138" s="164">
        <v>136</v>
      </c>
      <c r="C138" t="str">
        <f ca="1">IF(OR(Planning!$L69="",Planning!$N69=""),"ZZ"&amp;ROW($M69)+100,Planning!$K69&amp;Planning!$F69)</f>
        <v>ZZ169</v>
      </c>
      <c r="D138" s="164">
        <f ca="1"/>
        <v>1</v>
      </c>
    </row>
    <row r="139" spans="2:4" x14ac:dyDescent="0.2">
      <c r="B139" s="164">
        <v>137</v>
      </c>
      <c r="C139" t="str">
        <f ca="1">IF(OR(Planning!$L70="",Planning!$N70=""),"ZZ"&amp;ROW($M70)+100,Planning!$K70&amp;Planning!$F70)</f>
        <v>ZZ170</v>
      </c>
      <c r="D139" s="164">
        <f ca="1"/>
        <v>1</v>
      </c>
    </row>
    <row r="140" spans="2:4" x14ac:dyDescent="0.2">
      <c r="B140" s="164">
        <v>138</v>
      </c>
      <c r="C140" t="str">
        <f ca="1">IF(OR(Planning!$L71="",Planning!$N71=""),"ZZ"&amp;ROW($M71)+100,Planning!$K71&amp;Planning!$F71)</f>
        <v>ZZ171</v>
      </c>
      <c r="D140" s="164">
        <f ca="1"/>
        <v>1</v>
      </c>
    </row>
    <row r="141" spans="2:4" x14ac:dyDescent="0.2">
      <c r="B141" s="164">
        <v>139</v>
      </c>
      <c r="C141" t="str">
        <f ca="1">IF(OR(Planning!$L72="",Planning!$N72=""),"ZZ"&amp;ROW($M72)+100,Planning!$K72&amp;Planning!$F72)</f>
        <v>ZZ172</v>
      </c>
      <c r="D141" s="164">
        <f ca="1"/>
        <v>1</v>
      </c>
    </row>
    <row r="142" spans="2:4" x14ac:dyDescent="0.2">
      <c r="B142" s="164">
        <v>140</v>
      </c>
      <c r="C142" t="str">
        <f ca="1">IF(OR(Planning!$L73="",Planning!$N73=""),"ZZ"&amp;ROW($M73)+100,Planning!$K73&amp;Planning!$F73)</f>
        <v>ZZ173</v>
      </c>
      <c r="D142" s="164">
        <f ca="1"/>
        <v>1</v>
      </c>
    </row>
    <row r="143" spans="2:4" x14ac:dyDescent="0.2">
      <c r="B143" s="164">
        <v>141</v>
      </c>
      <c r="C143" t="str">
        <f ca="1">IF(OR(Planning!$L74="",Planning!$N74=""),"ZZ"&amp;ROW($M74)+100,Planning!$K74&amp;Planning!$F74)</f>
        <v>ZZ174</v>
      </c>
      <c r="D143" s="164">
        <f ca="1"/>
        <v>1</v>
      </c>
    </row>
    <row r="144" spans="2:4" x14ac:dyDescent="0.2">
      <c r="B144" s="164">
        <v>142</v>
      </c>
      <c r="C144" t="str">
        <f ca="1">IF(OR(Planning!$L75="",Planning!$N75=""),"ZZ"&amp;ROW($M75)+100,Planning!$K75&amp;Planning!$F75)</f>
        <v>ZZ175</v>
      </c>
      <c r="D144" s="164">
        <f ca="1"/>
        <v>1</v>
      </c>
    </row>
    <row r="145" spans="2:4" x14ac:dyDescent="0.2">
      <c r="B145" s="164">
        <v>143</v>
      </c>
      <c r="C145" t="str">
        <f ca="1">IF(OR(Planning!$L76="",Planning!$N76=""),"ZZ"&amp;ROW($M76)+100,Planning!$K76&amp;Planning!$F76)</f>
        <v>ZZ176</v>
      </c>
      <c r="D145" s="164">
        <f ca="1"/>
        <v>1</v>
      </c>
    </row>
    <row r="146" spans="2:4" x14ac:dyDescent="0.2">
      <c r="B146" s="164">
        <v>144</v>
      </c>
      <c r="C146" t="str">
        <f ca="1">IF(OR(Planning!$L77="",Planning!$N77=""),"ZZ"&amp;ROW($M77)+100,Planning!$K77&amp;Planning!$F77)</f>
        <v>ZZ177</v>
      </c>
      <c r="D146" s="164">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58" priority="9">
      <formula>G2="FEHLER"</formula>
    </cfRule>
  </conditionalFormatting>
  <conditionalFormatting sqref="C3:C73">
    <cfRule type="duplicateValues" dxfId="57" priority="8"/>
  </conditionalFormatting>
  <conditionalFormatting sqref="E3">
    <cfRule type="cellIs" dxfId="56" priority="5" operator="greaterThan">
      <formula>0</formula>
    </cfRule>
  </conditionalFormatting>
  <conditionalFormatting sqref="E4">
    <cfRule type="cellIs" dxfId="55" priority="4" operator="greaterThan">
      <formula>0</formula>
    </cfRule>
  </conditionalFormatting>
  <conditionalFormatting sqref="E7">
    <cfRule type="expression" dxfId="54" priority="3">
      <formula>E7="FEHLER"</formula>
    </cfRule>
  </conditionalFormatting>
  <conditionalFormatting sqref="C75:C146">
    <cfRule type="duplicateValues" dxfId="53" priority="1"/>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796"/>
      <c r="X3" s="797"/>
      <c r="Y3" s="797"/>
      <c r="Z3" s="797"/>
      <c r="AA3" s="797"/>
      <c r="AB3" s="796"/>
      <c r="AC3" s="797"/>
      <c r="AD3" s="797"/>
      <c r="AE3" s="797"/>
      <c r="AF3" s="797"/>
      <c r="AG3" s="796"/>
      <c r="AH3" s="797"/>
      <c r="AI3" s="797"/>
      <c r="AJ3" s="797"/>
      <c r="AK3" s="797"/>
      <c r="AL3" s="796"/>
      <c r="AM3" s="797"/>
      <c r="AN3" s="797"/>
      <c r="AO3" s="797"/>
      <c r="AP3" s="797"/>
    </row>
    <row r="4" spans="1:42" s="2" customFormat="1" ht="12.75" thickTop="1" x14ac:dyDescent="0.2">
      <c r="A4" s="237"/>
      <c r="B4" s="1">
        <v>1</v>
      </c>
      <c r="C4" s="21">
        <f ca="1">RANK(D4,$D$4:$D$12,1)</f>
        <v>1</v>
      </c>
      <c r="D4" s="13">
        <f ca="1">E4+ROW()/1000+(F4="")*10</f>
        <v>1.004</v>
      </c>
      <c r="E4" s="248">
        <f ca="1">IF($AI$15,RANK(AH17,AH$17:AH$25,1),RANK(X17,X$17:X$25,1))</f>
        <v>1</v>
      </c>
      <c r="F4" s="1" t="str">
        <f ca="1">$Q64</f>
        <v>Knock Out Rangers</v>
      </c>
      <c r="G4" s="1">
        <f t="shared" ref="G4:G12" ca="1" si="0">SUMIFS($X$64:$X$135,$V$64:$V$135,$F4)+SUMIFS($Y$64:$Y$135,$W$64:$W$135,$F4)</f>
        <v>14</v>
      </c>
      <c r="H4" s="1">
        <f t="shared" ref="H4:H12" ca="1" si="1">SUMIFS($Y$64:$Y$135,$V$64:$V$135,$F4)+SUMIFS($X$64:$X$135,$W$64:$W$135,$F4)</f>
        <v>17</v>
      </c>
      <c r="I4" s="13">
        <f t="shared" ref="I4:I12" ca="1" si="2">G4-H4</f>
        <v>-3</v>
      </c>
      <c r="J4" s="1">
        <f ca="1">SUMIF($V$64:$V$135,F4,$AE$64:$AE$135)+SUMIF($W$64:$W$135,F4,$AF$64:$AF$135)</f>
        <v>6</v>
      </c>
      <c r="K4" s="1">
        <f t="shared" ref="K4:K12" ca="1" si="3">SUMPRODUCT(($V$64:$V$135=F4)*($X$64:$X$135&lt;&gt;""))+SUMPRODUCT(($W$64:$W$135=F4)*($Y$64:$Y$135&lt;&gt;""))</f>
        <v>3</v>
      </c>
      <c r="L4" s="1">
        <f t="shared" ref="L4:L12" ca="1" si="4">SUMPRODUCT(($V$64:$V$135=F4)*($X$64:$X$135&gt;$Y$64:$Y$135))+SUMPRODUCT(($W$64:$W$135=F4)*($X$64:$X$135&lt;$Y$64:$Y$135))</f>
        <v>2</v>
      </c>
      <c r="M4" s="1">
        <f t="shared" ref="M4:M12" ca="1" si="5">SUMPRODUCT(($V$64:$W$135=F4)*($X$64:$X$135=$Y$64:$Y$135)*($X$64:$X$135&lt;&gt;"")*($Y$64:$Y$135&lt;&gt;""))</f>
        <v>0</v>
      </c>
      <c r="N4" s="1">
        <f t="shared" ref="N4:N12" ca="1" si="6">SUMPRODUCT(($V$64:$V$135=F4)*($X$64:$X$135&lt;$Y$64:$Y$135))+SUMPRODUCT(($W$64:$W$135=F4)*($X$64:$X$135&gt;$Y$64:$Y$135))</f>
        <v>1</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Borussia Heine</v>
      </c>
      <c r="G5" s="1">
        <f t="shared" ca="1" si="0"/>
        <v>19</v>
      </c>
      <c r="H5" s="1">
        <f t="shared" ca="1" si="1"/>
        <v>14</v>
      </c>
      <c r="I5" s="13">
        <f t="shared" ca="1" si="2"/>
        <v>5</v>
      </c>
      <c r="J5" s="1">
        <f t="shared" ref="J5:J12" ca="1" si="11">SUMIF($V$64:$V$135,F5,$AE$64:$AE$135)+SUMIF($W$64:$W$135,F5,$AF$64:$AF$135)</f>
        <v>4</v>
      </c>
      <c r="K5" s="1">
        <f t="shared" ca="1" si="3"/>
        <v>3</v>
      </c>
      <c r="L5" s="1">
        <f t="shared" ca="1" si="4"/>
        <v>1</v>
      </c>
      <c r="M5" s="1">
        <f t="shared" ca="1" si="5"/>
        <v>1</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Maibach 1822 eV</v>
      </c>
      <c r="G6" s="1">
        <f t="shared" ca="1" si="0"/>
        <v>8</v>
      </c>
      <c r="H6" s="1">
        <f t="shared" ca="1" si="1"/>
        <v>15</v>
      </c>
      <c r="I6" s="13">
        <f t="shared" ca="1" si="2"/>
        <v>-7</v>
      </c>
      <c r="J6" s="1">
        <f t="shared" ca="1" si="11"/>
        <v>3</v>
      </c>
      <c r="K6" s="1">
        <f t="shared" ca="1" si="3"/>
        <v>3</v>
      </c>
      <c r="L6" s="1">
        <f t="shared" ca="1" si="4"/>
        <v>1</v>
      </c>
      <c r="M6" s="1">
        <f t="shared" ca="1" si="5"/>
        <v>0</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3</v>
      </c>
      <c r="D7" s="13">
        <f t="shared" ca="1" si="8"/>
        <v>3.0070000000000001</v>
      </c>
      <c r="E7" s="248">
        <f t="shared" ca="1" si="9"/>
        <v>3</v>
      </c>
      <c r="F7" s="1" t="str">
        <f t="shared" ca="1" si="10"/>
        <v>FC Grönlingen</v>
      </c>
      <c r="G7" s="1">
        <f t="shared" ca="1" si="0"/>
        <v>15</v>
      </c>
      <c r="H7" s="1">
        <f t="shared" ca="1" si="1"/>
        <v>10</v>
      </c>
      <c r="I7" s="13">
        <f t="shared" ca="1" si="2"/>
        <v>5</v>
      </c>
      <c r="J7" s="1">
        <f t="shared" ca="1" si="11"/>
        <v>4</v>
      </c>
      <c r="K7" s="1">
        <f t="shared" ca="1" si="3"/>
        <v>3</v>
      </c>
      <c r="L7" s="1">
        <f t="shared" ca="1" si="4"/>
        <v>1</v>
      </c>
      <c r="M7" s="1">
        <f t="shared" ca="1" si="5"/>
        <v>1</v>
      </c>
      <c r="N7" s="1">
        <f t="shared" ca="1" si="6"/>
        <v>1</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Knock Out Rangers</v>
      </c>
      <c r="D17" s="1">
        <f t="shared" ref="D17:G25" ca="1" si="12">K4</f>
        <v>3</v>
      </c>
      <c r="E17" s="1">
        <f t="shared" ca="1" si="12"/>
        <v>2</v>
      </c>
      <c r="F17" s="1">
        <f t="shared" ca="1" si="12"/>
        <v>0</v>
      </c>
      <c r="G17" s="1">
        <f t="shared" ca="1" si="12"/>
        <v>1</v>
      </c>
      <c r="H17" s="1">
        <f t="shared" ref="H17:K25" ca="1" si="13">G4</f>
        <v>14</v>
      </c>
      <c r="I17" s="1">
        <f t="shared" ca="1" si="13"/>
        <v>17</v>
      </c>
      <c r="J17" s="13">
        <f t="shared" ca="1" si="13"/>
        <v>-3</v>
      </c>
      <c r="K17" s="1">
        <f t="shared" ca="1" si="13"/>
        <v>6</v>
      </c>
      <c r="L17" s="30">
        <f t="shared" ref="L17:L25" ca="1" si="14">K17*$F$64+(J17+$H$65)*$F$65+H17*$F$66</f>
        <v>6497014</v>
      </c>
      <c r="M17" s="14">
        <f ca="1">IF($AI$15,COUNTIF($K$17:$K$25,K17),COUNTIF($L$17:$L$25,L17))</f>
        <v>1</v>
      </c>
      <c r="N17" s="14">
        <f t="array" aca="1" ref="N17" ca="1">IF($AI$15,SUM(($K$17:$K$25&gt;=K17)/COUNTIF($K$17:$K$25,$K$17:$K$25)),SUM(($L$17:$L$25&gt;=L17)/COUNTIF($L$17:$L$25,$L$17:$L$25)))</f>
        <v>1</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'Finals 4'!$AF26</f>
        <v>0</v>
      </c>
      <c r="Z17" s="1">
        <f ca="1">RANK($W17,$W$17:$W$25)+(9-$Y17)/10</f>
        <v>1.9</v>
      </c>
      <c r="AA17" s="1">
        <f ca="1">SUM(E30:BP30)</f>
        <v>0</v>
      </c>
      <c r="AB17" s="1">
        <f ca="1">SUM(E41:BP41)</f>
        <v>0</v>
      </c>
      <c r="AC17" s="1">
        <f ca="1">SUM(E52:BP52)</f>
        <v>0</v>
      </c>
      <c r="AD17" s="242">
        <f ca="1">RANK($K17,$K$17:$K$25)</f>
        <v>1</v>
      </c>
      <c r="AE17" s="30">
        <f ca="1">(J17+$H$65)*$F$65+H17*$F$66</f>
        <v>497014</v>
      </c>
      <c r="AF17" s="1">
        <f ca="1">RANK($AE17,$AE$17:$AE$25)</f>
        <v>3</v>
      </c>
      <c r="AG17" s="1">
        <f ca="1">RANK($W17,$W$17:$W$25)</f>
        <v>1</v>
      </c>
      <c r="AH17" s="244">
        <f ca="1">AD17+AG17/100+AF17/10000+(10-Y17)/1000000</f>
        <v>1.01031</v>
      </c>
      <c r="AI17" s="1"/>
    </row>
    <row r="18" spans="2:80" s="2" customFormat="1" x14ac:dyDescent="0.2">
      <c r="C18" s="2" t="str">
        <f t="shared" ref="C18:C25" ca="1" si="23">$Q65</f>
        <v>Borussia Heine</v>
      </c>
      <c r="D18" s="1">
        <f t="shared" ca="1" si="12"/>
        <v>3</v>
      </c>
      <c r="E18" s="1">
        <f t="shared" ca="1" si="12"/>
        <v>1</v>
      </c>
      <c r="F18" s="1">
        <f t="shared" ca="1" si="12"/>
        <v>1</v>
      </c>
      <c r="G18" s="1">
        <f t="shared" ca="1" si="12"/>
        <v>1</v>
      </c>
      <c r="H18" s="1">
        <f t="shared" ca="1" si="13"/>
        <v>19</v>
      </c>
      <c r="I18" s="1">
        <f t="shared" ca="1" si="13"/>
        <v>14</v>
      </c>
      <c r="J18" s="13">
        <f t="shared" ca="1" si="13"/>
        <v>5</v>
      </c>
      <c r="K18" s="1">
        <f t="shared" ca="1" si="13"/>
        <v>4</v>
      </c>
      <c r="L18" s="30">
        <f t="shared" ca="1" si="14"/>
        <v>4505019</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'Finals 4'!$AF27</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505019</v>
      </c>
      <c r="AF18" s="1">
        <f t="shared" ref="AF18:AF25" ca="1" si="31">RANK($AE18,$AE$17:$AE$25)</f>
        <v>1</v>
      </c>
      <c r="AG18" s="1">
        <f t="shared" ref="AG18:AG25" ca="1" si="32">RANK($W18,$W$17:$W$25)</f>
        <v>1</v>
      </c>
      <c r="AH18" s="245">
        <f t="shared" ref="AH18:AH25" ca="1" si="33">AD18+AG18/100+AF18/10000+(10-Y18)/1000000</f>
        <v>2.0101100000000001</v>
      </c>
      <c r="AI18" s="1"/>
    </row>
    <row r="19" spans="2:80" s="2" customFormat="1" x14ac:dyDescent="0.2">
      <c r="C19" s="2" t="str">
        <f t="shared" ca="1" si="23"/>
        <v>Maibach 1822 eV</v>
      </c>
      <c r="D19" s="1">
        <f t="shared" ca="1" si="12"/>
        <v>3</v>
      </c>
      <c r="E19" s="1">
        <f t="shared" ca="1" si="12"/>
        <v>1</v>
      </c>
      <c r="F19" s="1">
        <f t="shared" ca="1" si="12"/>
        <v>0</v>
      </c>
      <c r="G19" s="1">
        <f t="shared" ca="1" si="12"/>
        <v>2</v>
      </c>
      <c r="H19" s="1">
        <f t="shared" ca="1" si="13"/>
        <v>8</v>
      </c>
      <c r="I19" s="1">
        <f t="shared" ca="1" si="13"/>
        <v>15</v>
      </c>
      <c r="J19" s="13">
        <f t="shared" ca="1" si="13"/>
        <v>-7</v>
      </c>
      <c r="K19" s="1">
        <f t="shared" ca="1" si="13"/>
        <v>3</v>
      </c>
      <c r="L19" s="30">
        <f t="shared" ca="1" si="14"/>
        <v>3493008</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'Finals 4'!$AF28</f>
        <v>0</v>
      </c>
      <c r="Z19" s="1">
        <f t="shared" ca="1" si="26"/>
        <v>1.9</v>
      </c>
      <c r="AA19" s="1">
        <f t="shared" ca="1" si="27"/>
        <v>0</v>
      </c>
      <c r="AB19" s="1">
        <f t="shared" ca="1" si="28"/>
        <v>0</v>
      </c>
      <c r="AC19" s="1">
        <f t="shared" ca="1" si="29"/>
        <v>0</v>
      </c>
      <c r="AD19" s="242">
        <f t="shared" ca="1" si="30"/>
        <v>4</v>
      </c>
      <c r="AE19" s="30">
        <f ca="1">(J19+$H$65)*$F$65+H19*$F$66</f>
        <v>493008</v>
      </c>
      <c r="AF19" s="1">
        <f t="shared" ca="1" si="31"/>
        <v>4</v>
      </c>
      <c r="AG19" s="1">
        <f t="shared" ca="1" si="32"/>
        <v>1</v>
      </c>
      <c r="AH19" s="245">
        <f t="shared" ca="1" si="33"/>
        <v>4.0104099999999994</v>
      </c>
      <c r="AI19" s="1"/>
    </row>
    <row r="20" spans="2:80" s="2" customFormat="1" x14ac:dyDescent="0.2">
      <c r="C20" s="2" t="str">
        <f t="shared" ca="1" si="23"/>
        <v>FC Grönlingen</v>
      </c>
      <c r="D20" s="1">
        <f t="shared" ca="1" si="12"/>
        <v>3</v>
      </c>
      <c r="E20" s="1">
        <f t="shared" ca="1" si="12"/>
        <v>1</v>
      </c>
      <c r="F20" s="1">
        <f t="shared" ca="1" si="12"/>
        <v>1</v>
      </c>
      <c r="G20" s="1">
        <f t="shared" ca="1" si="12"/>
        <v>1</v>
      </c>
      <c r="H20" s="1">
        <f t="shared" ca="1" si="13"/>
        <v>15</v>
      </c>
      <c r="I20" s="1">
        <f t="shared" ca="1" si="13"/>
        <v>10</v>
      </c>
      <c r="J20" s="13">
        <f t="shared" ca="1" si="13"/>
        <v>5</v>
      </c>
      <c r="K20" s="1">
        <f t="shared" ca="1" si="13"/>
        <v>4</v>
      </c>
      <c r="L20" s="30">
        <f t="shared" ca="1" si="14"/>
        <v>4505015</v>
      </c>
      <c r="M20" s="14">
        <f t="shared" ca="1" si="24"/>
        <v>1</v>
      </c>
      <c r="N20" s="14">
        <f t="array" aca="1" ref="N20" ca="1">IF($AI$15,SUM(($K$17:$K$25&gt;=K20)/COUNTIF($K$17:$K$25,$K$17:$K$25)),SUM(($L$17:$L$25&gt;=L20)/COUNTIF($L$17:$L$25,$L$17:$L$25)))</f>
        <v>3</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3.0108999999999999</v>
      </c>
      <c r="Y20" s="13">
        <f>'Finals 4'!$AF29</f>
        <v>0</v>
      </c>
      <c r="Z20" s="1">
        <f t="shared" ca="1" si="26"/>
        <v>1.9</v>
      </c>
      <c r="AA20" s="1">
        <f t="shared" ca="1" si="27"/>
        <v>0</v>
      </c>
      <c r="AB20" s="1">
        <f t="shared" ca="1" si="28"/>
        <v>0</v>
      </c>
      <c r="AC20" s="1">
        <f t="shared" ca="1" si="29"/>
        <v>0</v>
      </c>
      <c r="AD20" s="242">
        <f t="shared" ca="1" si="30"/>
        <v>2</v>
      </c>
      <c r="AE20" s="30">
        <f ca="1">(J20+$H$65)*$F$65+H20*$F$66</f>
        <v>505015</v>
      </c>
      <c r="AF20" s="1">
        <f t="shared" ca="1" si="31"/>
        <v>2</v>
      </c>
      <c r="AG20" s="1">
        <f t="shared" ca="1" si="32"/>
        <v>1</v>
      </c>
      <c r="AH20" s="245">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 ca="1">$F$4</f>
        <v>Knock Out Rangers</v>
      </c>
      <c r="BT29" s="2" t="str">
        <f ca="1">$F$5</f>
        <v>Borussia Heine</v>
      </c>
      <c r="BU29" s="2" t="str">
        <f ca="1">$F$6</f>
        <v>Maibach 1822 eV</v>
      </c>
      <c r="BV29" s="2" t="str">
        <f ca="1">$F$7</f>
        <v>FC Grönlingen</v>
      </c>
      <c r="BW29" s="2" t="str">
        <f>$F$8</f>
        <v/>
      </c>
      <c r="BX29" s="2" t="str">
        <f>$F$9</f>
        <v/>
      </c>
      <c r="BY29" s="2" t="str">
        <f>$F$10</f>
        <v/>
      </c>
      <c r="BZ29" s="2" t="str">
        <f>$F$11</f>
        <v/>
      </c>
      <c r="CA29" s="2" t="str">
        <f>$F$12</f>
        <v/>
      </c>
      <c r="CB29" s="53"/>
    </row>
    <row r="30" spans="2:80" s="2" customFormat="1" x14ac:dyDescent="0.2">
      <c r="C30" s="2" t="str">
        <f ca="1">$Q64</f>
        <v>Knock Out Rangers</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Knock Out Rangers</v>
      </c>
      <c r="BS30" s="7"/>
      <c r="BT30" s="8">
        <f t="shared" ref="BT30:CA32" ca="1" si="35">SUMIFS($X$64:$X$135,$V$64:$V$135,$BR30,$W$64:$W$135,BT$29)+SUMIFS($Y$64:$Y$135,$W$64:$W$135,$BR30,$V$64:$V$135,BT$29)</f>
        <v>8</v>
      </c>
      <c r="BU30" s="8">
        <f t="shared" ca="1" si="35"/>
        <v>4</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Borussia Heine</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Borussia Heine</v>
      </c>
      <c r="BS31" s="9">
        <f t="shared" ref="BS31:BU38" ca="1" si="37">SUMIFS($X$64:$X$135,$V$64:$V$135,$BR31,$W$64:$W$135,BS$29)+SUMIFS($Y$64:$Y$135,$W$64:$W$135,$BR31,$V$64:$V$135,BS$29)</f>
        <v>14</v>
      </c>
      <c r="BT31" s="7"/>
      <c r="BU31" s="8">
        <f t="shared" ca="1" si="35"/>
        <v>1</v>
      </c>
      <c r="BV31" s="8">
        <f t="shared" ca="1" si="35"/>
        <v>4</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Maibach 1822 eV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Maibach 1822 eV</v>
      </c>
      <c r="BS32" s="9">
        <f t="shared" ca="1" si="37"/>
        <v>2</v>
      </c>
      <c r="BT32" s="9">
        <f t="shared" ca="1" si="37"/>
        <v>2</v>
      </c>
      <c r="BU32" s="7"/>
      <c r="BV32" s="8">
        <f t="shared" ca="1" si="35"/>
        <v>4</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FC Grönlingen</v>
      </c>
      <c r="BS33" s="9">
        <f t="shared" ca="1" si="37"/>
        <v>1</v>
      </c>
      <c r="BT33" s="9">
        <f t="shared" ca="1" si="37"/>
        <v>4</v>
      </c>
      <c r="BU33" s="9">
        <f t="shared" ca="1" si="37"/>
        <v>10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Knock Out Rangers</v>
      </c>
      <c r="BT40" s="2" t="str">
        <f ca="1">$F$5</f>
        <v>Borussia Heine</v>
      </c>
      <c r="BU40" s="2" t="str">
        <f ca="1">$F$6</f>
        <v>Maibach 1822 eV</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Knock Out Rangers</v>
      </c>
      <c r="BS41" s="7"/>
      <c r="BT41" s="8">
        <f ca="1">BT30-BS31</f>
        <v>-6</v>
      </c>
      <c r="BU41" s="8">
        <f ca="1">BU30-BS32</f>
        <v>2</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Borussia Heine</v>
      </c>
      <c r="BS42" s="9">
        <f ca="1">IF(BT41="","",-1*BT41)</f>
        <v>6</v>
      </c>
      <c r="BT42" s="7"/>
      <c r="BU42" s="8">
        <f ca="1">BU31-BT32</f>
        <v>-1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Maibach 1822 eV</v>
      </c>
      <c r="BS43" s="9">
        <f ca="1">IF(BU41="","",-1*BU41)</f>
        <v>-2</v>
      </c>
      <c r="BT43" s="9">
        <f ca="1">IF(BU42="","",-1*BU42)</f>
        <v>1</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FC Grönlingen</v>
      </c>
      <c r="BS44" s="9">
        <f ca="1">IF(BV41="","",-1*BV41)</f>
        <v>-1</v>
      </c>
      <c r="BT44" s="9">
        <f ca="1">IF(BV42="","",-1*BV42)</f>
        <v>0</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Knock Out Rangers</v>
      </c>
      <c r="BT51" s="2" t="str">
        <f ca="1">$F$5</f>
        <v>Borussia Heine</v>
      </c>
      <c r="BU51" s="2" t="str">
        <f ca="1">$F$6</f>
        <v>Maibach 1822 eV</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Knock Out Rangers</v>
      </c>
      <c r="BS52" s="7"/>
      <c r="BT52" s="8">
        <f t="shared" ref="BT52:CA58" ca="1" si="41">SUMIFS($AE$64:$AE$135,$V$64:$V$135,$BR52,$W$64:$W$135,BT$51)+SUMIFS($AF$64:$AF$135,$W$64:$W$135,$BR52,$V$64:$V$135,BT$51)</f>
        <v>0</v>
      </c>
      <c r="BU52" s="8">
        <f t="shared" ca="1" si="41"/>
        <v>3</v>
      </c>
      <c r="BV52" s="8">
        <f t="shared" ca="1" si="41"/>
        <v>3</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Borussia Heine</v>
      </c>
      <c r="BS53" s="9">
        <f t="shared" ref="BS53:BU60" ca="1" si="42">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1</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Maibach 1822 eV</v>
      </c>
      <c r="BS54" s="9">
        <f t="shared" ca="1" si="42"/>
        <v>0</v>
      </c>
      <c r="BT54" s="9">
        <f t="shared" ca="1" si="42"/>
        <v>3</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FC Grönlingen</v>
      </c>
      <c r="BS55" s="9">
        <f t="shared" ca="1" si="42"/>
        <v>0</v>
      </c>
      <c r="BT55" s="9">
        <f t="shared" ca="1" si="42"/>
        <v>1</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467"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IF('Finals 4'!$AE26="","",'Finals 4'!$AE26)</f>
        <v>Knock Out Rangers</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IF(AA64&gt;0,X64&amp;Language!$E$80&amp;Y64,"")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 ca="1">IF('Finals 4'!$AE27="","",'Finals 4'!$AE27)</f>
        <v>Borussia Heine</v>
      </c>
      <c r="U65" s="67" t="s">
        <v>8</v>
      </c>
      <c r="V65" s="41" t="str">
        <f ca="1">'Finals 4'!$I13</f>
        <v>VFB Essenheim</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3">V65&amp;W65</f>
        <v>VFB EssenheimSSV Wildbach</v>
      </c>
      <c r="AA65" s="13">
        <f t="shared" ref="AA65:AA88" ca="1" si="44">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IF('Finals 4'!$AE28="","",'Finals 4'!$AE28)</f>
        <v>Maibach 1822 eV</v>
      </c>
      <c r="U66" s="67" t="s">
        <v>9</v>
      </c>
      <c r="V66" s="41" t="str">
        <f ca="1">'Finals 4'!$I14</f>
        <v>Knock Out Rangers</v>
      </c>
      <c r="W66" s="13" t="str">
        <f ca="1">'Finals 4'!$K14</f>
        <v>FC Grönlingen</v>
      </c>
      <c r="X66" s="13">
        <f ca="1">IF(AND('Finals 4'!$L14&lt;&gt;"",'Finals 4'!$N14&lt;&gt;"",$V66&lt;&gt;$W66,$V66&lt;&gt;"",$W66&lt;&gt;""),'Finals 4'!$L14,"")</f>
        <v>2</v>
      </c>
      <c r="Y66" s="36">
        <f ca="1">IF(AND('Finals 4'!$L14&lt;&gt;"",'Finals 4'!$N14&lt;&gt;"",$V66&lt;&gt;$W66,$V66&lt;&gt;"",$W66&lt;&gt;""),'Finals 4'!$N14,"")</f>
        <v>1</v>
      </c>
      <c r="Z66" s="35" t="str">
        <f t="shared" ca="1" si="43"/>
        <v>Knock Out RangersFC Grönlingen</v>
      </c>
      <c r="AA66" s="13">
        <f t="shared" ca="1" si="44"/>
        <v>1</v>
      </c>
      <c r="AB66" s="13" t="str">
        <f ca="1">IF(AA66&gt;0,X66&amp;Language!$E$80&amp;Y66,"")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4'!$AE29="","",'Finals 4'!$AE29)</f>
        <v>FC Grönlingen</v>
      </c>
      <c r="U67" s="67" t="s">
        <v>10</v>
      </c>
      <c r="V67" s="41" t="str">
        <f ca="1">'Finals 4'!$I15</f>
        <v>Raslo Winners</v>
      </c>
      <c r="W67" s="13" t="str">
        <f ca="1">'Finals 4'!$K15</f>
        <v>Mainz 05</v>
      </c>
      <c r="X67" s="13">
        <f ca="1">IF(AND('Finals 4'!$L15&lt;&gt;"",'Finals 4'!$N15&lt;&gt;"",$V67&lt;&gt;$W67,$V67&lt;&gt;"",$W67&lt;&gt;""),'Finals 4'!$L15,"")</f>
        <v>1</v>
      </c>
      <c r="Y67" s="36">
        <f ca="1">IF(AND('Finals 4'!$L15&lt;&gt;"",'Finals 4'!$N15&lt;&gt;"",$V67&lt;&gt;$W67,$V67&lt;&gt;"",$W67&lt;&gt;""),'Finals 4'!$N15,"")</f>
        <v>1</v>
      </c>
      <c r="Z67" s="35" t="str">
        <f t="shared" ca="1" si="43"/>
        <v>Raslo WinnersMainz 05</v>
      </c>
      <c r="AA67" s="13">
        <f t="shared" ca="1" si="44"/>
        <v>1</v>
      </c>
      <c r="AB67" s="13" t="str">
        <f ca="1">IF(AA67&gt;0,X67&amp;Language!$E$80&amp;Y67,"")</f>
        <v>1-1</v>
      </c>
      <c r="AD67" s="144"/>
      <c r="AE67" s="149">
        <f ca="1">IF($AA67=0,"",IF($X67&gt;$Y67,Settings!$C$4,IF($X67=$Y67,1,0)))</f>
        <v>1</v>
      </c>
      <c r="AF67" s="144">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FC Barcelona</v>
      </c>
      <c r="W68" s="13" t="str">
        <f ca="1">'Finals 4'!$K16</f>
        <v>AC Roma</v>
      </c>
      <c r="X68" s="13">
        <f ca="1">IF(AND('Finals 4'!$L16&lt;&gt;"",'Finals 4'!$N16&lt;&gt;"",$V68&lt;&gt;$W68,$V68&lt;&gt;"",$W68&lt;&gt;""),'Finals 4'!$L16,"")</f>
        <v>5</v>
      </c>
      <c r="Y68" s="36">
        <f ca="1">IF(AND('Finals 4'!$L16&lt;&gt;"",'Finals 4'!$N16&lt;&gt;"",$V68&lt;&gt;$W68,$V68&lt;&gt;"",$W68&lt;&gt;""),'Finals 4'!$N16,"")</f>
        <v>1</v>
      </c>
      <c r="Z68" s="35" t="str">
        <f t="shared" ca="1" si="43"/>
        <v>FC BarcelonaAC Roma</v>
      </c>
      <c r="AA68" s="13">
        <f t="shared" ca="1" si="44"/>
        <v>1</v>
      </c>
      <c r="AB68" s="13" t="str">
        <f ca="1">IF(AA68&gt;0,X68&amp;Language!$E$80&amp;Y68,"")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VFL Ronsdorf</v>
      </c>
      <c r="W69" s="13" t="str">
        <f ca="1">'Finals 4'!$K17</f>
        <v>1. FC Riedwald</v>
      </c>
      <c r="X69" s="13">
        <f ca="1">IF(AND('Finals 4'!$L17&lt;&gt;"",'Finals 4'!$N17&lt;&gt;"",$V69&lt;&gt;$W69,$V69&lt;&gt;"",$W69&lt;&gt;""),'Finals 4'!$L17,"")</f>
        <v>2</v>
      </c>
      <c r="Y69" s="36">
        <f ca="1">IF(AND('Finals 4'!$L17&lt;&gt;"",'Finals 4'!$N17&lt;&gt;"",$V69&lt;&gt;$W69,$V69&lt;&gt;"",$W69&lt;&gt;""),'Finals 4'!$N17,"")</f>
        <v>0</v>
      </c>
      <c r="Z69" s="35" t="str">
        <f t="shared" ca="1" si="43"/>
        <v>VFL Ronsdorf1. FC Riedwald</v>
      </c>
      <c r="AA69" s="13">
        <f t="shared" ca="1" si="44"/>
        <v>1</v>
      </c>
      <c r="AB69" s="13" t="str">
        <f ca="1">IF(AA69&gt;0,X69&amp;Language!$E$80&amp;Y69,"")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Borussia Heine</v>
      </c>
      <c r="W70" s="13" t="str">
        <f ca="1">'Finals 4'!$K18</f>
        <v>Maibach 1822 eV</v>
      </c>
      <c r="X70" s="13">
        <f ca="1">IF(AND('Finals 4'!$L18&lt;&gt;"",'Finals 4'!$N18&lt;&gt;"",$V70&lt;&gt;$W70,$V70&lt;&gt;"",$W70&lt;&gt;""),'Finals 4'!$L18,"")</f>
        <v>1</v>
      </c>
      <c r="Y70" s="36">
        <f ca="1">IF(AND('Finals 4'!$L18&lt;&gt;"",'Finals 4'!$N18&lt;&gt;"",$V70&lt;&gt;$W70,$V70&lt;&gt;"",$W70&lt;&gt;""),'Finals 4'!$N18,"")</f>
        <v>2</v>
      </c>
      <c r="Z70" s="35" t="str">
        <f t="shared" ca="1" si="43"/>
        <v>Borussia HeineMaibach 1822 eV</v>
      </c>
      <c r="AA70" s="13">
        <f t="shared" ca="1" si="44"/>
        <v>1</v>
      </c>
      <c r="AB70" s="13" t="str">
        <f ca="1">IF(AA70&gt;0,X70&amp;Language!$E$80&amp;Y70,"")</f>
        <v>1-2</v>
      </c>
      <c r="AD70" s="144"/>
      <c r="AE70" s="149">
        <f ca="1">IF($AA70=0,"",IF($X70&gt;$Y70,Settings!$C$4,IF($X70=$Y70,1,0)))</f>
        <v>0</v>
      </c>
      <c r="AF70" s="144">
        <f ca="1">IF($AA70=0,"",IF($X70&lt;$Y70,Settings!$C$4,IF($X70=$Y70,1,0)))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Inter Mailand</v>
      </c>
      <c r="W71" s="13" t="str">
        <f ca="1">'Finals 4'!$K19</f>
        <v>Fun Kickers Oes</v>
      </c>
      <c r="X71" s="13">
        <f ca="1">IF(AND('Finals 4'!$L19&lt;&gt;"",'Finals 4'!$N19&lt;&gt;"",$V71&lt;&gt;$W71,$V71&lt;&gt;"",$W71&lt;&gt;""),'Finals 4'!$L19,"")</f>
        <v>5</v>
      </c>
      <c r="Y71" s="36">
        <f ca="1">IF(AND('Finals 4'!$L19&lt;&gt;"",'Finals 4'!$N19&lt;&gt;"",$V71&lt;&gt;$W71,$V71&lt;&gt;"",$W71&lt;&gt;""),'Finals 4'!$N19,"")</f>
        <v>3</v>
      </c>
      <c r="Z71" s="35" t="str">
        <f t="shared" ca="1" si="43"/>
        <v>Inter MailandFun Kickers Oes</v>
      </c>
      <c r="AA71" s="13">
        <f t="shared" ca="1" si="44"/>
        <v>1</v>
      </c>
      <c r="AB71" s="13" t="str">
        <f ca="1">IF(AA71&gt;0,X71&amp;Language!$E$80&amp;Y71,"")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Manchester CityEintracht Frankfurt</v>
      </c>
      <c r="AA72" s="13">
        <f t="shared" ca="1" si="44"/>
        <v>1</v>
      </c>
      <c r="AB72" s="13" t="str">
        <f ca="1">IF(AA72&gt;0,X72&amp;Language!$E$80&amp;Y72,"")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VFB Essenheim</v>
      </c>
      <c r="W73" s="13" t="str">
        <f ca="1">'Finals 4'!$K21</f>
        <v>1. FC Riedwald</v>
      </c>
      <c r="X73" s="13">
        <f ca="1">IF(AND('Finals 4'!$L21&lt;&gt;"",'Finals 4'!$N21&lt;&gt;"",$V73&lt;&gt;$W73,$V73&lt;&gt;"",$W73&lt;&gt;""),'Finals 4'!$L21,"")</f>
        <v>2</v>
      </c>
      <c r="Y73" s="36">
        <f ca="1">IF(AND('Finals 4'!$L21&lt;&gt;"",'Finals 4'!$N21&lt;&gt;"",$V73&lt;&gt;$W73,$V73&lt;&gt;"",$W73&lt;&gt;""),'Finals 4'!$N21,"")</f>
        <v>2</v>
      </c>
      <c r="Z73" s="35" t="str">
        <f t="shared" ca="1" si="43"/>
        <v>VFB Essenheim1. FC Riedwald</v>
      </c>
      <c r="AA73" s="13">
        <f t="shared" ca="1" si="44"/>
        <v>1</v>
      </c>
      <c r="AB73" s="13" t="str">
        <f ca="1">IF(AA73&gt;0,X73&amp;Language!$E$80&amp;Y73,"")</f>
        <v>2-2</v>
      </c>
      <c r="AD73" s="144"/>
      <c r="AE73" s="149">
        <f ca="1">IF($AA73=0,"",IF($X73&gt;$Y73,Settings!$C$4,IF($X73=$Y73,1,0)))</f>
        <v>1</v>
      </c>
      <c r="AF73" s="144">
        <f ca="1">IF($AA73=0,"",IF($X73&lt;$Y73,Settings!$C$4,IF($X73=$Y73,1,0)))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Knock Out Rangers</v>
      </c>
      <c r="W74" s="13" t="str">
        <f ca="1">'Finals 4'!$K22</f>
        <v>Maibach 1822 eV</v>
      </c>
      <c r="X74" s="13">
        <f ca="1">IF(AND('Finals 4'!$L22&lt;&gt;"",'Finals 4'!$N22&lt;&gt;"",$V74&lt;&gt;$W74,$V74&lt;&gt;"",$W74&lt;&gt;""),'Finals 4'!$L22,"")</f>
        <v>4</v>
      </c>
      <c r="Y74" s="36">
        <f ca="1">IF(AND('Finals 4'!$L22&lt;&gt;"",'Finals 4'!$N22&lt;&gt;"",$V74&lt;&gt;$W74,$V74&lt;&gt;"",$W74&lt;&gt;""),'Finals 4'!$N22,"")</f>
        <v>2</v>
      </c>
      <c r="Z74" s="35" t="str">
        <f ca="1">V74&amp;W74</f>
        <v>Knock Out RangersMaibach 1822 eV</v>
      </c>
      <c r="AA74" s="13">
        <f t="shared" ca="1" si="44"/>
        <v>1</v>
      </c>
      <c r="AB74" s="13" t="str">
        <f ca="1">IF(AA74&gt;0,X74&amp;Language!$E$80&amp;Y74,"")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Raslo Winners</v>
      </c>
      <c r="W75" s="13" t="str">
        <f ca="1">'Finals 4'!$K23</f>
        <v>Fun Kickers Oes</v>
      </c>
      <c r="X75" s="13">
        <f ca="1">IF(AND('Finals 4'!$L23&lt;&gt;"",'Finals 4'!$N23&lt;&gt;"",$V75&lt;&gt;$W75,$V75&lt;&gt;"",$W75&lt;&gt;""),'Finals 4'!$L23,"")</f>
        <v>4</v>
      </c>
      <c r="Y75" s="36">
        <f ca="1">IF(AND('Finals 4'!$L23&lt;&gt;"",'Finals 4'!$N23&lt;&gt;"",$V75&lt;&gt;$W75,$V75&lt;&gt;"",$W75&lt;&gt;""),'Finals 4'!$N23,"")</f>
        <v>3</v>
      </c>
      <c r="Z75" s="35" t="str">
        <f t="shared" ref="Z75:Z88" ca="1" si="45">V75&amp;W75</f>
        <v>Raslo WinnersFun Kickers Oes</v>
      </c>
      <c r="AA75" s="13">
        <f t="shared" ca="1" si="44"/>
        <v>1</v>
      </c>
      <c r="AB75" s="13" t="str">
        <f ca="1">IF(AA75&gt;0,X75&amp;Language!$E$80&amp;Y75,"")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FC Barcelona</v>
      </c>
      <c r="W76" s="13" t="str">
        <f ca="1">'Finals 4'!$K24</f>
        <v>Eintracht Frankfurt</v>
      </c>
      <c r="X76" s="13">
        <f ca="1">IF(AND('Finals 4'!$L24&lt;&gt;"",'Finals 4'!$N24&lt;&gt;"",$V76&lt;&gt;$W76,$V76&lt;&gt;"",$W76&lt;&gt;""),'Finals 4'!$L24,"")</f>
        <v>0</v>
      </c>
      <c r="Y76" s="36">
        <f ca="1">IF(AND('Finals 4'!$L24&lt;&gt;"",'Finals 4'!$N24&lt;&gt;"",$V76&lt;&gt;$W76,$V76&lt;&gt;"",$W76&lt;&gt;""),'Finals 4'!$N24,"")</f>
        <v>0</v>
      </c>
      <c r="Z76" s="35" t="str">
        <f t="shared" ca="1" si="45"/>
        <v>FC BarcelonaEintracht Frankfurt</v>
      </c>
      <c r="AA76" s="13">
        <f t="shared" ca="1" si="44"/>
        <v>1</v>
      </c>
      <c r="AB76" s="13" t="str">
        <f ca="1">IF(AA76&gt;0,X76&amp;Language!$E$80&amp;Y76,"")</f>
        <v>0-0</v>
      </c>
      <c r="AD76" s="144"/>
      <c r="AE76" s="149">
        <f ca="1">IF($AA76=0,"",IF($X76&gt;$Y76,Settings!$C$4,IF($X76=$Y76,1,0)))</f>
        <v>1</v>
      </c>
      <c r="AF76" s="144">
        <f ca="1">IF($AA76=0,"",IF($X76&lt;$Y76,Settings!$C$4,IF($X76=$Y76,1,0)))</f>
        <v>1</v>
      </c>
    </row>
    <row r="77" spans="2:43" s="2" customFormat="1" x14ac:dyDescent="0.2">
      <c r="B77" s="4"/>
      <c r="C77" s="4"/>
      <c r="D77" s="4"/>
      <c r="E77" s="4"/>
      <c r="F77" s="13"/>
      <c r="G77" s="13"/>
      <c r="H77" s="13"/>
      <c r="I77" s="13"/>
      <c r="J77" s="13"/>
      <c r="K77" s="13"/>
      <c r="L77" s="13"/>
      <c r="M77" s="13"/>
      <c r="U77" s="67" t="s">
        <v>29</v>
      </c>
      <c r="V77" s="41" t="str">
        <f ca="1">'Finals 4'!$I25</f>
        <v>VFL Ronsdorf</v>
      </c>
      <c r="W77" s="13" t="str">
        <f ca="1">'Finals 4'!$K25</f>
        <v>SSV Wildbach</v>
      </c>
      <c r="X77" s="13">
        <f ca="1">IF(AND('Finals 4'!$L25&lt;&gt;"",'Finals 4'!$N25&lt;&gt;"",$V77&lt;&gt;$W77,$V77&lt;&gt;"",$W77&lt;&gt;""),'Finals 4'!$L25,"")</f>
        <v>1</v>
      </c>
      <c r="Y77" s="36">
        <f ca="1">IF(AND('Finals 4'!$L25&lt;&gt;"",'Finals 4'!$N25&lt;&gt;"",$V77&lt;&gt;$W77,$V77&lt;&gt;"",$W77&lt;&gt;""),'Finals 4'!$N25,"")</f>
        <v>5</v>
      </c>
      <c r="Z77" s="35" t="str">
        <f t="shared" ca="1" si="45"/>
        <v>VFL RonsdorfSSV Wildbach</v>
      </c>
      <c r="AA77" s="13">
        <f t="shared" ca="1" si="44"/>
        <v>1</v>
      </c>
      <c r="AB77" s="13" t="str">
        <f ca="1">IF(AA77&gt;0,X77&amp;Language!$E$80&amp;Y77,"")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Borussia Heine</v>
      </c>
      <c r="W78" s="13" t="str">
        <f ca="1">'Finals 4'!$K26</f>
        <v>FC Grönlingen</v>
      </c>
      <c r="X78" s="13">
        <f ca="1">IF(AND('Finals 4'!$L26&lt;&gt;"",'Finals 4'!$N26&lt;&gt;"",$V78&lt;&gt;$W78,$V78&lt;&gt;"",$W78&lt;&gt;""),'Finals 4'!$L26,"")</f>
        <v>4</v>
      </c>
      <c r="Y78" s="36">
        <f ca="1">IF(AND('Finals 4'!$L26&lt;&gt;"",'Finals 4'!$N26&lt;&gt;"",$V78&lt;&gt;$W78,$V78&lt;&gt;"",$W78&lt;&gt;""),'Finals 4'!$N26,"")</f>
        <v>4</v>
      </c>
      <c r="Z78" s="35" t="str">
        <f t="shared" ca="1" si="45"/>
        <v>Borussia HeineFC Grönlingen</v>
      </c>
      <c r="AA78" s="13">
        <f t="shared" ca="1" si="44"/>
        <v>1</v>
      </c>
      <c r="AB78" s="13" t="str">
        <f ca="1">IF(AA78&gt;0,X78&amp;Language!$E$80&amp;Y78,"")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Inter Mailand</v>
      </c>
      <c r="W79" s="13" t="str">
        <f ca="1">'Finals 4'!$K27</f>
        <v>Mainz 05</v>
      </c>
      <c r="X79" s="13">
        <f ca="1">IF(AND('Finals 4'!$L27&lt;&gt;"",'Finals 4'!$N27&lt;&gt;"",$V79&lt;&gt;$W79,$V79&lt;&gt;"",$W79&lt;&gt;""),'Finals 4'!$L27,"")</f>
        <v>0</v>
      </c>
      <c r="Y79" s="36">
        <f ca="1">IF(AND('Finals 4'!$L27&lt;&gt;"",'Finals 4'!$N27&lt;&gt;"",$V79&lt;&gt;$W79,$V79&lt;&gt;"",$W79&lt;&gt;""),'Finals 4'!$N27,"")</f>
        <v>7</v>
      </c>
      <c r="Z79" s="35" t="str">
        <f t="shared" ca="1" si="45"/>
        <v>Inter MailandMainz 05</v>
      </c>
      <c r="AA79" s="13">
        <f t="shared" ca="1" si="44"/>
        <v>1</v>
      </c>
      <c r="AB79" s="13" t="str">
        <f ca="1">IF(AA79&gt;0,X79&amp;Language!$E$80&amp;Y79,"")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Manchester City</v>
      </c>
      <c r="W80" s="13" t="str">
        <f ca="1">'Finals 4'!$K28</f>
        <v>AC Roma</v>
      </c>
      <c r="X80" s="13">
        <f ca="1">IF(AND('Finals 4'!$L28&lt;&gt;"",'Finals 4'!$N28&lt;&gt;"",$V80&lt;&gt;$W80,$V80&lt;&gt;"",$W80&lt;&gt;""),'Finals 4'!$L28,"")</f>
        <v>2</v>
      </c>
      <c r="Y80" s="36">
        <f ca="1">IF(AND('Finals 4'!$L28&lt;&gt;"",'Finals 4'!$N28&lt;&gt;"",$V80&lt;&gt;$W80,$V80&lt;&gt;"",$W80&lt;&gt;""),'Finals 4'!$N28,"")</f>
        <v>8</v>
      </c>
      <c r="Z80" s="35" t="str">
        <f t="shared" ca="1" si="45"/>
        <v>Manchester CityAC Roma</v>
      </c>
      <c r="AA80" s="13">
        <f t="shared" ca="1" si="44"/>
        <v>1</v>
      </c>
      <c r="AB80" s="13" t="str">
        <f ca="1">IF(AA80&gt;0,X80&amp;Language!$E$80&amp;Y80,"")</f>
        <v>2-8</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1. FC Riedwald</v>
      </c>
      <c r="W81" s="13" t="str">
        <f ca="1">'Finals 4'!$K29</f>
        <v>SSV Wildbach</v>
      </c>
      <c r="X81" s="13">
        <f ca="1">IF(AND('Finals 4'!$L29&lt;&gt;"",'Finals 4'!$N29&lt;&gt;"",$V81&lt;&gt;$W81,$V81&lt;&gt;"",$W81&lt;&gt;""),'Finals 4'!$L29,"")</f>
        <v>3</v>
      </c>
      <c r="Y81" s="36">
        <f ca="1">IF(AND('Finals 4'!$L29&lt;&gt;"",'Finals 4'!$N29&lt;&gt;"",$V81&lt;&gt;$W81,$V81&lt;&gt;"",$W81&lt;&gt;""),'Finals 4'!$N29,"")</f>
        <v>9</v>
      </c>
      <c r="Z81" s="35" t="str">
        <f t="shared" ca="1" si="45"/>
        <v>1. FC RiedwaldSSV Wildbach</v>
      </c>
      <c r="AA81" s="13">
        <f t="shared" ca="1" si="44"/>
        <v>1</v>
      </c>
      <c r="AB81" s="13" t="str">
        <f ca="1">IF(AA81&gt;0,X81&amp;Language!$E$80&amp;Y81,"")</f>
        <v>3-9</v>
      </c>
      <c r="AC81" s="4"/>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'Finals 4'!$I30</f>
        <v>Maibach 1822 eV</v>
      </c>
      <c r="W82" s="13" t="str">
        <f ca="1">'Finals 4'!$K30</f>
        <v>FC Grönlingen</v>
      </c>
      <c r="X82" s="13">
        <f ca="1">IF(AND('Finals 4'!$L30&lt;&gt;"",'Finals 4'!$N30&lt;&gt;"",$V82&lt;&gt;$W82,$V82&lt;&gt;"",$W82&lt;&gt;""),'Finals 4'!$L30,"")</f>
        <v>4</v>
      </c>
      <c r="Y82" s="36">
        <f ca="1">IF(AND('Finals 4'!$L30&lt;&gt;"",'Finals 4'!$N30&lt;&gt;"",$V82&lt;&gt;$W82,$V82&lt;&gt;"",$W82&lt;&gt;""),'Finals 4'!$N30,"")</f>
        <v>10</v>
      </c>
      <c r="Z82" s="35" t="str">
        <f t="shared" ca="1" si="45"/>
        <v>Maibach 1822 eVFC Grönlingen</v>
      </c>
      <c r="AA82" s="13">
        <f t="shared" ca="1" si="44"/>
        <v>1</v>
      </c>
      <c r="AB82" s="13" t="str">
        <f ca="1">IF(AA82&gt;0,X82&amp;Language!$E$80&amp;Y82,"")</f>
        <v>4-10</v>
      </c>
      <c r="AC82" s="4"/>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Fun Kickers Oes</v>
      </c>
      <c r="W83" s="13" t="str">
        <f ca="1">'Finals 4'!$K31</f>
        <v>Mainz 05</v>
      </c>
      <c r="X83" s="13">
        <f ca="1">IF(AND('Finals 4'!$L31&lt;&gt;"",'Finals 4'!$N31&lt;&gt;"",$V83&lt;&gt;$W83,$V83&lt;&gt;"",$W83&lt;&gt;""),'Finals 4'!$L31,"")</f>
        <v>5</v>
      </c>
      <c r="Y83" s="36">
        <f ca="1">IF(AND('Finals 4'!$L31&lt;&gt;"",'Finals 4'!$N31&lt;&gt;"",$V83&lt;&gt;$W83,$V83&lt;&gt;"",$W83&lt;&gt;""),'Finals 4'!$N31,"")</f>
        <v>11</v>
      </c>
      <c r="Z83" s="35" t="str">
        <f t="shared" ca="1" si="45"/>
        <v>Fun Kickers OesMainz 05</v>
      </c>
      <c r="AA83" s="13">
        <f t="shared" ca="1" si="44"/>
        <v>1</v>
      </c>
      <c r="AB83" s="13" t="str">
        <f ca="1">IF(AA83&gt;0,X83&amp;Language!$E$80&amp;Y83,"")</f>
        <v>5-11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'Finals 4'!$I32</f>
        <v>Eintracht Frankfurt</v>
      </c>
      <c r="W84" s="13" t="str">
        <f ca="1">'Finals 4'!$K32</f>
        <v>AC Roma</v>
      </c>
      <c r="X84" s="13">
        <f ca="1">IF(AND('Finals 4'!$L32&lt;&gt;"",'Finals 4'!$N32&lt;&gt;"",$V84&lt;&gt;$W84,$V84&lt;&gt;"",$W84&lt;&gt;""),'Finals 4'!$L32,"")</f>
        <v>6</v>
      </c>
      <c r="Y84" s="36">
        <f ca="1">IF(AND('Finals 4'!$L32&lt;&gt;"",'Finals 4'!$N32&lt;&gt;"",$V84&lt;&gt;$W84,$V84&lt;&gt;"",$W84&lt;&gt;""),'Finals 4'!$N32,"")</f>
        <v>12</v>
      </c>
      <c r="Z84" s="35" t="str">
        <f t="shared" ca="1" si="45"/>
        <v>Eintracht FrankfurtAC Roma</v>
      </c>
      <c r="AA84" s="13">
        <f t="shared" ca="1" si="44"/>
        <v>1</v>
      </c>
      <c r="AB84" s="13" t="str">
        <f ca="1">IF(AA84&gt;0,X84&amp;Language!$E$80&amp;Y84,"")</f>
        <v>6-12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VFL Ronsdorf</v>
      </c>
      <c r="X85" s="13">
        <f ca="1">IF(AND('Finals 4'!$L33&lt;&gt;"",'Finals 4'!$N33&lt;&gt;"",$V85&lt;&gt;$W85,$V85&lt;&gt;"",$W85&lt;&gt;""),'Finals 4'!$L33,"")</f>
        <v>7</v>
      </c>
      <c r="Y85" s="36">
        <f ca="1">IF(AND('Finals 4'!$L33&lt;&gt;"",'Finals 4'!$N33&lt;&gt;"",$V85&lt;&gt;$W85,$V85&lt;&gt;"",$W85&lt;&gt;""),'Finals 4'!$N33,"")</f>
        <v>13</v>
      </c>
      <c r="Z85" s="35" t="str">
        <f t="shared" ca="1" si="45"/>
        <v>VFB EssenheimVFL Ronsdorf</v>
      </c>
      <c r="AA85" s="13">
        <f t="shared" ca="1" si="44"/>
        <v>1</v>
      </c>
      <c r="AB85" s="13" t="str">
        <f ca="1">IF(AA85&gt;0,X85&amp;Language!$E$80&amp;Y85,"")</f>
        <v>7-13</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Knock Out Rangers</v>
      </c>
      <c r="W86" s="13" t="str">
        <f ca="1">'Finals 4'!$K34</f>
        <v>Borussia Heine</v>
      </c>
      <c r="X86" s="13">
        <f ca="1">IF(AND('Finals 4'!$L34&lt;&gt;"",'Finals 4'!$N34&lt;&gt;"",$V86&lt;&gt;$W86,$V86&lt;&gt;"",$W86&lt;&gt;""),'Finals 4'!$L34,"")</f>
        <v>8</v>
      </c>
      <c r="Y86" s="36">
        <f ca="1">IF(AND('Finals 4'!$L34&lt;&gt;"",'Finals 4'!$N34&lt;&gt;"",$V86&lt;&gt;$W86,$V86&lt;&gt;"",$W86&lt;&gt;""),'Finals 4'!$N34,"")</f>
        <v>14</v>
      </c>
      <c r="Z86" s="35" t="str">
        <f t="shared" ca="1" si="45"/>
        <v>Knock Out RangersBorussia Heine</v>
      </c>
      <c r="AA86" s="13">
        <f t="shared" ca="1" si="44"/>
        <v>1</v>
      </c>
      <c r="AB86" s="13" t="str">
        <f ca="1">IF(AA86&gt;0,X86&amp;Language!$E$80&amp;Y86,"")</f>
        <v>8-14</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'Finals 4'!$I35</f>
        <v>Raslo Winners</v>
      </c>
      <c r="W87" s="13" t="str">
        <f ca="1">'Finals 4'!$K35</f>
        <v>Inter Mailand</v>
      </c>
      <c r="X87" s="13">
        <f ca="1">IF(AND('Finals 4'!$L35&lt;&gt;"",'Finals 4'!$N35&lt;&gt;"",$V87&lt;&gt;$W87,$V87&lt;&gt;"",$W87&lt;&gt;""),'Finals 4'!$L35,"")</f>
        <v>9</v>
      </c>
      <c r="Y87" s="36">
        <f ca="1">IF(AND('Finals 4'!$L35&lt;&gt;"",'Finals 4'!$N35&lt;&gt;"",$V87&lt;&gt;$W87,$V87&lt;&gt;"",$W87&lt;&gt;""),'Finals 4'!$N35,"")</f>
        <v>15</v>
      </c>
      <c r="Z87" s="35" t="str">
        <f t="shared" ca="1" si="45"/>
        <v>Raslo WinnersInter Mailand</v>
      </c>
      <c r="AA87" s="13">
        <f t="shared" ca="1" si="44"/>
        <v>1</v>
      </c>
      <c r="AB87" s="13" t="str">
        <f ca="1">IF(AA87&gt;0,X87&amp;Language!$E$80&amp;Y87,"")</f>
        <v>9-15</v>
      </c>
      <c r="AD87" s="144"/>
      <c r="AE87" s="149">
        <f ca="1">IF($AA87=0,"",IF($X87&gt;$Y87,Settings!$C$4,IF($X87=$Y87,1,0)))</f>
        <v>0</v>
      </c>
      <c r="AF87" s="144">
        <f ca="1">IF($AA87=0,"",IF($X87&lt;$Y87,Settings!$C$4,IF($X87=$Y87,1,0)))</f>
        <v>3</v>
      </c>
    </row>
    <row r="88" spans="2:32" s="2" customFormat="1" x14ac:dyDescent="0.2">
      <c r="B88" s="4"/>
      <c r="C88" s="4"/>
      <c r="D88" s="4"/>
      <c r="E88" s="4"/>
      <c r="F88" s="13"/>
      <c r="G88" s="13"/>
      <c r="H88" s="13"/>
      <c r="I88" s="13"/>
      <c r="J88" s="13"/>
      <c r="K88" s="13"/>
      <c r="L88" s="13"/>
      <c r="M88" s="13"/>
      <c r="U88" s="67" t="s">
        <v>40</v>
      </c>
      <c r="V88" s="41" t="str">
        <f ca="1">'Finals 4'!$I36</f>
        <v>FC Barcelona</v>
      </c>
      <c r="W88" s="13" t="str">
        <f ca="1">'Finals 4'!$K36</f>
        <v>Manchester City</v>
      </c>
      <c r="X88" s="13">
        <f ca="1">IF(AND('Finals 4'!$L36&lt;&gt;"",'Finals 4'!$N36&lt;&gt;"",$V88&lt;&gt;$W88,$V88&lt;&gt;"",$W88&lt;&gt;""),'Finals 4'!$L36,"")</f>
        <v>4</v>
      </c>
      <c r="Y88" s="36">
        <f ca="1">IF(AND('Finals 4'!$L36&lt;&gt;"",'Finals 4'!$N36&lt;&gt;"",$V88&lt;&gt;$W88,$V88&lt;&gt;"",$W88&lt;&gt;""),'Finals 4'!$N36,"")</f>
        <v>0</v>
      </c>
      <c r="Z88" s="35" t="str">
        <f t="shared" ca="1" si="45"/>
        <v>FC BarcelonaManchester City</v>
      </c>
      <c r="AA88" s="13">
        <f t="shared" ca="1" si="44"/>
        <v>1</v>
      </c>
      <c r="AB88" s="13" t="str">
        <f ca="1">IF(AA88&gt;0,X88&amp;Language!$E$80&amp;Y88,"")</f>
        <v>4-0</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ref="Z89:Z93" si="46">V89&amp;W89</f>
        <v/>
      </c>
      <c r="AA89" s="13">
        <f t="shared" ref="AA89:AA128" si="47">IF(AND(V89&lt;&gt;"",W89&lt;&gt;"",V89&lt;&gt;W89,X89&lt;&gt;"",Y89&lt;&gt;""),1,0)</f>
        <v>0</v>
      </c>
      <c r="AB89" s="13" t="str">
        <f>IF(AA89&gt;0,X89&amp;Language!$E$80&amp;Y89,"")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7"/>
        <v>0</v>
      </c>
      <c r="AB90" s="13" t="str">
        <f>IF(AA90&gt;0,X90&amp;Language!$E$80&amp;Y90,"")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7"/>
        <v>0</v>
      </c>
      <c r="AB91" s="13" t="str">
        <f>IF(AA91&gt;0,X91&amp;Language!$E$80&amp;Y91,"")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7"/>
        <v>0</v>
      </c>
      <c r="AB92" s="13" t="str">
        <f>IF(AA92&gt;0,X92&amp;Language!$E$80&amp;Y92,"")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7"/>
        <v>0</v>
      </c>
      <c r="AB93" s="13" t="str">
        <f>IF(AA93&gt;0,X93&amp;Language!$E$80&amp;Y93,"")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7"/>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7"/>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7"/>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7"/>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7"/>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7"/>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7"/>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7"/>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7"/>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7"/>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7"/>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7"/>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7"/>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7"/>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7"/>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7"/>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8">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8"/>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8"/>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8"/>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8"/>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8"/>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8"/>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IF(AA136&gt;0,Y64&amp;Language!$E$80&amp;X64,"")</f>
        <v/>
      </c>
      <c r="AD136" s="144"/>
    </row>
    <row r="137" spans="2:32" x14ac:dyDescent="0.2">
      <c r="Y137" s="67" t="s">
        <v>8</v>
      </c>
      <c r="Z137" s="35" t="str">
        <f ca="1">W65&amp;V65</f>
        <v>SSV WildbachVFB Essenheim</v>
      </c>
      <c r="AA137" s="13">
        <f t="shared" ref="AA137:AA200" ca="1" si="49">AA65</f>
        <v>1</v>
      </c>
      <c r="AB137" s="13" t="str">
        <f ca="1">IF(AA137&gt;0,Y65&amp;Language!$E$80&amp;X65,"")</f>
        <v>4-2</v>
      </c>
      <c r="AC137" s="2"/>
      <c r="AD137" s="144"/>
    </row>
    <row r="138" spans="2:32" x14ac:dyDescent="0.2">
      <c r="Y138" s="67" t="s">
        <v>9</v>
      </c>
      <c r="Z138" s="35" t="str">
        <f t="shared" ref="Z138:Z201" ca="1" si="50">W66&amp;V66</f>
        <v>FC GrönlingenKnock Out Rangers</v>
      </c>
      <c r="AA138" s="13">
        <f t="shared" ca="1" si="49"/>
        <v>1</v>
      </c>
      <c r="AB138" s="13" t="str">
        <f ca="1">IF(AA138&gt;0,Y66&amp;Language!$E$80&amp;X66,"")</f>
        <v>1-2</v>
      </c>
      <c r="AC138" s="2"/>
      <c r="AD138" s="144"/>
    </row>
    <row r="139" spans="2:32" x14ac:dyDescent="0.2">
      <c r="Y139" s="67" t="s">
        <v>10</v>
      </c>
      <c r="Z139" s="35" t="str">
        <f t="shared" ca="1" si="50"/>
        <v>Mainz 05Raslo Winners</v>
      </c>
      <c r="AA139" s="13">
        <f t="shared" ca="1" si="49"/>
        <v>1</v>
      </c>
      <c r="AB139" s="13" t="str">
        <f ca="1">IF(AA139&gt;0,Y67&amp;Language!$E$80&amp;X67,"")</f>
        <v>1-1</v>
      </c>
      <c r="AC139" s="2"/>
      <c r="AD139" s="144"/>
    </row>
    <row r="140" spans="2:32" x14ac:dyDescent="0.2">
      <c r="Y140" s="67" t="s">
        <v>11</v>
      </c>
      <c r="Z140" s="35" t="str">
        <f t="shared" ca="1" si="50"/>
        <v>AC RomaFC Barcelona</v>
      </c>
      <c r="AA140" s="13">
        <f t="shared" ca="1" si="49"/>
        <v>1</v>
      </c>
      <c r="AB140" s="13" t="str">
        <f ca="1">IF(AA140&gt;0,Y68&amp;Language!$E$80&amp;X68,"")</f>
        <v>1-5</v>
      </c>
      <c r="AC140" s="2"/>
      <c r="AD140" s="144"/>
    </row>
    <row r="141" spans="2:32" x14ac:dyDescent="0.2">
      <c r="Y141" s="67" t="s">
        <v>12</v>
      </c>
      <c r="Z141" s="35" t="str">
        <f t="shared" ca="1" si="50"/>
        <v>1. FC RiedwaldVFL Ronsdorf</v>
      </c>
      <c r="AA141" s="13">
        <f t="shared" ca="1" si="49"/>
        <v>1</v>
      </c>
      <c r="AB141" s="13" t="str">
        <f ca="1">IF(AA141&gt;0,Y69&amp;Language!$E$80&amp;X69,"")</f>
        <v>0-2</v>
      </c>
      <c r="AC141" s="2"/>
      <c r="AD141" s="144"/>
    </row>
    <row r="142" spans="2:32" x14ac:dyDescent="0.2">
      <c r="Y142" s="67" t="s">
        <v>17</v>
      </c>
      <c r="Z142" s="35" t="str">
        <f t="shared" ca="1" si="50"/>
        <v>Maibach 1822 eVBorussia Heine</v>
      </c>
      <c r="AA142" s="13">
        <f t="shared" ca="1" si="49"/>
        <v>1</v>
      </c>
      <c r="AB142" s="13" t="str">
        <f ca="1">IF(AA142&gt;0,Y70&amp;Language!$E$80&amp;X70,"")</f>
        <v>2-1</v>
      </c>
      <c r="AC142" s="2"/>
      <c r="AD142" s="144"/>
    </row>
    <row r="143" spans="2:32" x14ac:dyDescent="0.2">
      <c r="Y143" s="67" t="s">
        <v>18</v>
      </c>
      <c r="Z143" s="35" t="str">
        <f t="shared" ca="1" si="50"/>
        <v>Fun Kickers OesInter Mailand</v>
      </c>
      <c r="AA143" s="13">
        <f t="shared" ca="1" si="49"/>
        <v>1</v>
      </c>
      <c r="AB143" s="13" t="str">
        <f ca="1">IF(AA143&gt;0,Y71&amp;Language!$E$80&amp;X71,"")</f>
        <v>3-5</v>
      </c>
      <c r="AC143" s="2"/>
      <c r="AD143" s="144"/>
    </row>
    <row r="144" spans="2:32" x14ac:dyDescent="0.2">
      <c r="Y144" s="67" t="s">
        <v>19</v>
      </c>
      <c r="Z144" s="35" t="str">
        <f t="shared" ca="1" si="50"/>
        <v>Eintracht FrankfurtManchester City</v>
      </c>
      <c r="AA144" s="13">
        <f t="shared" ca="1" si="49"/>
        <v>1</v>
      </c>
      <c r="AB144" s="13" t="str">
        <f ca="1">IF(AA144&gt;0,Y72&amp;Language!$E$80&amp;X72,"")</f>
        <v>1-2</v>
      </c>
      <c r="AC144" s="2"/>
      <c r="AD144" s="144"/>
    </row>
    <row r="145" spans="25:30" x14ac:dyDescent="0.2">
      <c r="Y145" s="67" t="s">
        <v>25</v>
      </c>
      <c r="Z145" s="35" t="str">
        <f t="shared" ca="1" si="50"/>
        <v>1. FC RiedwaldVFB Essenheim</v>
      </c>
      <c r="AA145" s="13">
        <f t="shared" ca="1" si="49"/>
        <v>1</v>
      </c>
      <c r="AB145" s="13" t="str">
        <f ca="1">IF(AA145&gt;0,Y73&amp;Language!$E$80&amp;X73,"")</f>
        <v>2-2</v>
      </c>
      <c r="AC145" s="2"/>
      <c r="AD145" s="144"/>
    </row>
    <row r="146" spans="25:30" x14ac:dyDescent="0.2">
      <c r="Y146" s="67" t="s">
        <v>26</v>
      </c>
      <c r="Z146" s="35" t="str">
        <f t="shared" ca="1" si="50"/>
        <v>Maibach 1822 eVKnock Out Rangers</v>
      </c>
      <c r="AA146" s="13">
        <f t="shared" ca="1" si="49"/>
        <v>1</v>
      </c>
      <c r="AB146" s="13" t="str">
        <f ca="1">IF(AA146&gt;0,Y74&amp;Language!$E$80&amp;X74,"")</f>
        <v>2-4</v>
      </c>
      <c r="AC146" s="2"/>
      <c r="AD146" s="144"/>
    </row>
    <row r="147" spans="25:30" x14ac:dyDescent="0.2">
      <c r="Y147" s="67" t="s">
        <v>27</v>
      </c>
      <c r="Z147" s="35" t="str">
        <f t="shared" ca="1" si="50"/>
        <v>Fun Kickers OesRaslo Winners</v>
      </c>
      <c r="AA147" s="13">
        <f t="shared" ca="1" si="49"/>
        <v>1</v>
      </c>
      <c r="AB147" s="13" t="str">
        <f ca="1">IF(AA147&gt;0,Y75&amp;Language!$E$80&amp;X75,"")</f>
        <v>3-4</v>
      </c>
      <c r="AC147" s="2"/>
      <c r="AD147" s="144"/>
    </row>
    <row r="148" spans="25:30" x14ac:dyDescent="0.2">
      <c r="Y148" s="67" t="s">
        <v>28</v>
      </c>
      <c r="Z148" s="35" t="str">
        <f t="shared" ca="1" si="50"/>
        <v>Eintracht FrankfurtFC Barcelona</v>
      </c>
      <c r="AA148" s="13">
        <f t="shared" ca="1" si="49"/>
        <v>1</v>
      </c>
      <c r="AB148" s="13" t="str">
        <f ca="1">IF(AA148&gt;0,Y76&amp;Language!$E$80&amp;X76,"")</f>
        <v>0-0</v>
      </c>
      <c r="AC148" s="2"/>
      <c r="AD148" s="144"/>
    </row>
    <row r="149" spans="25:30" x14ac:dyDescent="0.2">
      <c r="Y149" s="67" t="s">
        <v>29</v>
      </c>
      <c r="Z149" s="35" t="str">
        <f t="shared" ca="1" si="50"/>
        <v>SSV WildbachVFL Ronsdorf</v>
      </c>
      <c r="AA149" s="13">
        <f t="shared" ca="1" si="49"/>
        <v>1</v>
      </c>
      <c r="AB149" s="13" t="str">
        <f ca="1">IF(AA149&gt;0,Y77&amp;Language!$E$80&amp;X77,"")</f>
        <v>5-1</v>
      </c>
      <c r="AC149" s="2"/>
      <c r="AD149" s="144"/>
    </row>
    <row r="150" spans="25:30" x14ac:dyDescent="0.2">
      <c r="Y150" s="67" t="s">
        <v>30</v>
      </c>
      <c r="Z150" s="35" t="str">
        <f t="shared" ca="1" si="50"/>
        <v>FC GrönlingenBorussia Heine</v>
      </c>
      <c r="AA150" s="13">
        <f t="shared" ca="1" si="49"/>
        <v>1</v>
      </c>
      <c r="AB150" s="13" t="str">
        <f ca="1">IF(AA150&gt;0,Y78&amp;Language!$E$80&amp;X78,"")</f>
        <v>4-4</v>
      </c>
      <c r="AC150" s="2"/>
      <c r="AD150" s="144"/>
    </row>
    <row r="151" spans="25:30" x14ac:dyDescent="0.2">
      <c r="Y151" s="67" t="s">
        <v>31</v>
      </c>
      <c r="Z151" s="35" t="str">
        <f t="shared" ca="1" si="50"/>
        <v>Mainz 05Inter Mailand</v>
      </c>
      <c r="AA151" s="13">
        <f t="shared" ca="1" si="49"/>
        <v>1</v>
      </c>
      <c r="AB151" s="13" t="str">
        <f ca="1">IF(AA151&gt;0,Y79&amp;Language!$E$80&amp;X79,"")</f>
        <v>7-0</v>
      </c>
      <c r="AC151" s="2"/>
      <c r="AD151" s="144"/>
    </row>
    <row r="152" spans="25:30" x14ac:dyDescent="0.2">
      <c r="Y152" s="67" t="s">
        <v>32</v>
      </c>
      <c r="Z152" s="35" t="str">
        <f t="shared" ca="1" si="50"/>
        <v>AC RomaManchester City</v>
      </c>
      <c r="AA152" s="13">
        <f t="shared" ca="1" si="49"/>
        <v>1</v>
      </c>
      <c r="AB152" s="13" t="str">
        <f ca="1">IF(AA152&gt;0,Y80&amp;Language!$E$80&amp;X80,"")</f>
        <v>8-2</v>
      </c>
      <c r="AC152" s="2"/>
      <c r="AD152" s="144"/>
    </row>
    <row r="153" spans="25:30" x14ac:dyDescent="0.2">
      <c r="Y153" s="67" t="s">
        <v>33</v>
      </c>
      <c r="Z153" s="35" t="str">
        <f t="shared" ca="1" si="50"/>
        <v>SSV Wildbach1. FC Riedwald</v>
      </c>
      <c r="AA153" s="13">
        <f t="shared" ca="1" si="49"/>
        <v>1</v>
      </c>
      <c r="AB153" s="13" t="str">
        <f ca="1">IF(AA153&gt;0,Y81&amp;Language!$E$80&amp;X81,"")</f>
        <v>9-3</v>
      </c>
      <c r="AC153" s="2"/>
      <c r="AD153" s="144"/>
    </row>
    <row r="154" spans="25:30" x14ac:dyDescent="0.2">
      <c r="Y154" s="67" t="s">
        <v>34</v>
      </c>
      <c r="Z154" s="35" t="str">
        <f t="shared" ca="1" si="50"/>
        <v>FC GrönlingenMaibach 1822 eV</v>
      </c>
      <c r="AA154" s="13">
        <f t="shared" ca="1" si="49"/>
        <v>1</v>
      </c>
      <c r="AB154" s="13" t="str">
        <f ca="1">IF(AA154&gt;0,Y82&amp;Language!$E$80&amp;X82,"")</f>
        <v>10-4</v>
      </c>
      <c r="AC154" s="2"/>
      <c r="AD154" s="144"/>
    </row>
    <row r="155" spans="25:30" x14ac:dyDescent="0.2">
      <c r="Y155" s="67" t="s">
        <v>35</v>
      </c>
      <c r="Z155" s="35" t="str">
        <f t="shared" ca="1" si="50"/>
        <v>Mainz 05Fun Kickers Oes</v>
      </c>
      <c r="AA155" s="13">
        <f t="shared" ca="1" si="49"/>
        <v>1</v>
      </c>
      <c r="AB155" s="13" t="str">
        <f ca="1">IF(AA155&gt;0,Y83&amp;Language!$E$80&amp;X83,"")</f>
        <v>11-5</v>
      </c>
      <c r="AC155" s="2"/>
      <c r="AD155" s="144"/>
    </row>
    <row r="156" spans="25:30" x14ac:dyDescent="0.2">
      <c r="Y156" s="67" t="s">
        <v>36</v>
      </c>
      <c r="Z156" s="35" t="str">
        <f t="shared" ca="1" si="50"/>
        <v>AC RomaEintracht Frankfurt</v>
      </c>
      <c r="AA156" s="13">
        <f t="shared" ca="1" si="49"/>
        <v>1</v>
      </c>
      <c r="AB156" s="13" t="str">
        <f ca="1">IF(AA156&gt;0,Y84&amp;Language!$E$80&amp;X84,"")</f>
        <v>12-6</v>
      </c>
      <c r="AC156" s="2"/>
      <c r="AD156" s="144"/>
    </row>
    <row r="157" spans="25:30" x14ac:dyDescent="0.2">
      <c r="Y157" s="67" t="s">
        <v>37</v>
      </c>
      <c r="Z157" s="35" t="str">
        <f t="shared" ca="1" si="50"/>
        <v>VFL RonsdorfVFB Essenheim</v>
      </c>
      <c r="AA157" s="13">
        <f t="shared" ca="1" si="49"/>
        <v>1</v>
      </c>
      <c r="AB157" s="13" t="str">
        <f ca="1">IF(AA157&gt;0,Y85&amp;Language!$E$80&amp;X85,"")</f>
        <v>13-7</v>
      </c>
      <c r="AC157" s="2"/>
      <c r="AD157" s="144"/>
    </row>
    <row r="158" spans="25:30" x14ac:dyDescent="0.2">
      <c r="Y158" s="67" t="s">
        <v>38</v>
      </c>
      <c r="Z158" s="35" t="str">
        <f t="shared" ca="1" si="50"/>
        <v>Borussia HeineKnock Out Rangers</v>
      </c>
      <c r="AA158" s="13">
        <f t="shared" ca="1" si="49"/>
        <v>1</v>
      </c>
      <c r="AB158" s="13" t="str">
        <f ca="1">IF(AA158&gt;0,Y86&amp;Language!$E$80&amp;X86,"")</f>
        <v>14-8</v>
      </c>
      <c r="AC158" s="2"/>
      <c r="AD158" s="144"/>
    </row>
    <row r="159" spans="25:30" x14ac:dyDescent="0.2">
      <c r="Y159" s="67" t="s">
        <v>39</v>
      </c>
      <c r="Z159" s="35" t="str">
        <f t="shared" ca="1" si="50"/>
        <v>Inter MailandRaslo Winners</v>
      </c>
      <c r="AA159" s="13">
        <f t="shared" ca="1" si="49"/>
        <v>1</v>
      </c>
      <c r="AB159" s="13" t="str">
        <f ca="1">IF(AA159&gt;0,Y87&amp;Language!$E$80&amp;X87,"")</f>
        <v>15-9</v>
      </c>
      <c r="AC159" s="2"/>
      <c r="AD159" s="144"/>
    </row>
    <row r="160" spans="25:30" x14ac:dyDescent="0.2">
      <c r="Y160" s="67" t="s">
        <v>40</v>
      </c>
      <c r="Z160" s="35" t="str">
        <f t="shared" ca="1" si="50"/>
        <v>Manchester CityFC Barcelona</v>
      </c>
      <c r="AA160" s="13">
        <f t="shared" ca="1" si="49"/>
        <v>1</v>
      </c>
      <c r="AB160" s="13" t="str">
        <f ca="1">IF(AA160&gt;0,Y88&amp;Language!$E$80&amp;X88,"")</f>
        <v>0-4</v>
      </c>
      <c r="AC160" s="2"/>
      <c r="AD160" s="144"/>
    </row>
    <row r="161" spans="25:30" x14ac:dyDescent="0.2">
      <c r="Y161" s="67" t="s">
        <v>41</v>
      </c>
      <c r="Z161" s="35" t="str">
        <f t="shared" si="50"/>
        <v/>
      </c>
      <c r="AA161" s="13">
        <f t="shared" si="49"/>
        <v>0</v>
      </c>
      <c r="AB161" s="13" t="str">
        <f>IF(AA161&gt;0,Y89&amp;Language!$E$80&amp;X89,"")</f>
        <v/>
      </c>
      <c r="AC161" s="2"/>
      <c r="AD161" s="144"/>
    </row>
    <row r="162" spans="25:30" x14ac:dyDescent="0.2">
      <c r="Y162" s="67" t="s">
        <v>42</v>
      </c>
      <c r="Z162" s="35" t="str">
        <f t="shared" si="50"/>
        <v/>
      </c>
      <c r="AA162" s="13">
        <f t="shared" si="49"/>
        <v>0</v>
      </c>
      <c r="AB162" s="13" t="str">
        <f>IF(AA162&gt;0,Y90&amp;Language!$E$80&amp;X90,"")</f>
        <v/>
      </c>
      <c r="AC162" s="2"/>
      <c r="AD162" s="144"/>
    </row>
    <row r="163" spans="25:30" x14ac:dyDescent="0.2">
      <c r="Y163" s="67" t="s">
        <v>43</v>
      </c>
      <c r="Z163" s="35" t="str">
        <f t="shared" si="50"/>
        <v/>
      </c>
      <c r="AA163" s="13">
        <f t="shared" si="49"/>
        <v>0</v>
      </c>
      <c r="AB163" s="13" t="str">
        <f>IF(AA163&gt;0,Y91&amp;Language!$E$80&amp;X91,"")</f>
        <v/>
      </c>
      <c r="AC163" s="2"/>
      <c r="AD163" s="144"/>
    </row>
    <row r="164" spans="25:30" x14ac:dyDescent="0.2">
      <c r="Y164" s="67" t="s">
        <v>44</v>
      </c>
      <c r="Z164" s="35" t="str">
        <f t="shared" si="50"/>
        <v/>
      </c>
      <c r="AA164" s="13">
        <f t="shared" si="49"/>
        <v>0</v>
      </c>
      <c r="AB164" s="13" t="str">
        <f>IF(AA164&gt;0,Y92&amp;Language!$E$80&amp;X92,"")</f>
        <v/>
      </c>
      <c r="AC164" s="2"/>
      <c r="AD164" s="144"/>
    </row>
    <row r="165" spans="25:30" x14ac:dyDescent="0.2">
      <c r="Y165" s="67" t="s">
        <v>45</v>
      </c>
      <c r="Z165" s="35" t="str">
        <f t="shared" si="50"/>
        <v/>
      </c>
      <c r="AA165" s="13">
        <f t="shared" si="49"/>
        <v>0</v>
      </c>
      <c r="AB165" s="13" t="str">
        <f>IF(AA165&gt;0,Y93&amp;Language!$E$80&amp;X93,"")</f>
        <v/>
      </c>
      <c r="AC165" s="2"/>
      <c r="AD165" s="144"/>
    </row>
    <row r="166" spans="25:30" x14ac:dyDescent="0.2">
      <c r="Y166" s="67" t="s">
        <v>46</v>
      </c>
      <c r="Z166" s="35" t="str">
        <f t="shared" si="50"/>
        <v/>
      </c>
      <c r="AA166" s="13">
        <f t="shared" si="49"/>
        <v>0</v>
      </c>
      <c r="AB166" s="13" t="str">
        <f>IF(AA166&gt;0,Y94&amp;Language!$E$80&amp;X94,"")</f>
        <v/>
      </c>
      <c r="AC166" s="2"/>
      <c r="AD166" s="144"/>
    </row>
    <row r="167" spans="25:30" x14ac:dyDescent="0.2">
      <c r="Y167" s="67" t="s">
        <v>47</v>
      </c>
      <c r="Z167" s="35" t="str">
        <f t="shared" si="50"/>
        <v/>
      </c>
      <c r="AA167" s="13">
        <f t="shared" si="49"/>
        <v>0</v>
      </c>
      <c r="AB167" s="13" t="str">
        <f>IF(AA167&gt;0,Y95&amp;Language!$E$80&amp;X95,"")</f>
        <v/>
      </c>
      <c r="AC167" s="2"/>
      <c r="AD167" s="144"/>
    </row>
    <row r="168" spans="25:30" x14ac:dyDescent="0.2">
      <c r="Y168" s="67" t="s">
        <v>48</v>
      </c>
      <c r="Z168" s="35" t="str">
        <f t="shared" si="50"/>
        <v/>
      </c>
      <c r="AA168" s="13">
        <f t="shared" si="49"/>
        <v>0</v>
      </c>
      <c r="AB168" s="13" t="str">
        <f>IF(AA168&gt;0,Y96&amp;Language!$E$80&amp;X96,"")</f>
        <v/>
      </c>
      <c r="AC168" s="2"/>
      <c r="AD168" s="144"/>
    </row>
    <row r="169" spans="25:30" x14ac:dyDescent="0.2">
      <c r="Y169" s="67" t="s">
        <v>49</v>
      </c>
      <c r="Z169" s="35" t="str">
        <f t="shared" si="50"/>
        <v/>
      </c>
      <c r="AA169" s="13">
        <f t="shared" si="49"/>
        <v>0</v>
      </c>
      <c r="AB169" s="13" t="str">
        <f>IF(AA169&gt;0,Y97&amp;Language!$E$80&amp;X97,"")</f>
        <v/>
      </c>
      <c r="AC169" s="2"/>
      <c r="AD169" s="144"/>
    </row>
    <row r="170" spans="25:30" x14ac:dyDescent="0.2">
      <c r="Y170" s="67" t="s">
        <v>50</v>
      </c>
      <c r="Z170" s="35" t="str">
        <f t="shared" si="50"/>
        <v/>
      </c>
      <c r="AA170" s="13">
        <f t="shared" si="49"/>
        <v>0</v>
      </c>
      <c r="AB170" s="13" t="str">
        <f>IF(AA170&gt;0,Y98&amp;Language!$E$80&amp;X98,"")</f>
        <v/>
      </c>
      <c r="AC170" s="2"/>
      <c r="AD170" s="144"/>
    </row>
    <row r="171" spans="25:30" x14ac:dyDescent="0.2">
      <c r="Y171" s="67" t="s">
        <v>51</v>
      </c>
      <c r="Z171" s="35" t="str">
        <f t="shared" si="50"/>
        <v/>
      </c>
      <c r="AA171" s="13">
        <f t="shared" si="49"/>
        <v>0</v>
      </c>
      <c r="AB171" s="13" t="str">
        <f>IF(AA171&gt;0,Y99&amp;Language!$E$80&amp;X99,"")</f>
        <v/>
      </c>
      <c r="AC171" s="2"/>
      <c r="AD171" s="144"/>
    </row>
    <row r="172" spans="25:30" x14ac:dyDescent="0.2">
      <c r="Y172" s="67" t="s">
        <v>60</v>
      </c>
      <c r="Z172" s="35" t="str">
        <f t="shared" si="50"/>
        <v/>
      </c>
      <c r="AA172" s="13">
        <f t="shared" si="49"/>
        <v>0</v>
      </c>
      <c r="AB172" s="13" t="str">
        <f>IF(AA172&gt;0,Y100&amp;Language!$E$80&amp;X100,"")</f>
        <v/>
      </c>
      <c r="AC172" s="2"/>
      <c r="AD172" s="144"/>
    </row>
    <row r="173" spans="25:30" x14ac:dyDescent="0.2">
      <c r="Y173" s="67" t="s">
        <v>61</v>
      </c>
      <c r="Z173" s="35" t="str">
        <f t="shared" si="50"/>
        <v/>
      </c>
      <c r="AA173" s="13">
        <f t="shared" si="49"/>
        <v>0</v>
      </c>
      <c r="AB173" s="13" t="str">
        <f>IF(AA173&gt;0,Y101&amp;Language!$E$80&amp;X101,"")</f>
        <v/>
      </c>
      <c r="AC173" s="2"/>
      <c r="AD173" s="144"/>
    </row>
    <row r="174" spans="25:30" x14ac:dyDescent="0.2">
      <c r="Y174" s="67" t="s">
        <v>62</v>
      </c>
      <c r="Z174" s="35" t="str">
        <f t="shared" si="50"/>
        <v/>
      </c>
      <c r="AA174" s="13">
        <f t="shared" si="49"/>
        <v>0</v>
      </c>
      <c r="AB174" s="13" t="str">
        <f>IF(AA174&gt;0,Y102&amp;Language!$E$80&amp;X102,"")</f>
        <v/>
      </c>
      <c r="AC174" s="2"/>
      <c r="AD174" s="144"/>
    </row>
    <row r="175" spans="25:30" x14ac:dyDescent="0.2">
      <c r="Y175" s="67" t="s">
        <v>63</v>
      </c>
      <c r="Z175" s="35" t="str">
        <f t="shared" si="50"/>
        <v/>
      </c>
      <c r="AA175" s="13">
        <f t="shared" si="49"/>
        <v>0</v>
      </c>
      <c r="AB175" s="13" t="str">
        <f>IF(AA175&gt;0,Y103&amp;Language!$E$80&amp;X103,"")</f>
        <v/>
      </c>
      <c r="AC175" s="2"/>
      <c r="AD175" s="144"/>
    </row>
    <row r="176" spans="25:30" x14ac:dyDescent="0.2">
      <c r="Y176" s="67" t="s">
        <v>64</v>
      </c>
      <c r="Z176" s="35" t="str">
        <f t="shared" si="50"/>
        <v/>
      </c>
      <c r="AA176" s="13">
        <f t="shared" si="49"/>
        <v>0</v>
      </c>
      <c r="AB176" s="13" t="str">
        <f>IF(AA176&gt;0,Y104&amp;Language!$E$80&amp;X104,"")</f>
        <v/>
      </c>
      <c r="AC176" s="2"/>
      <c r="AD176" s="144"/>
    </row>
    <row r="177" spans="25:30" x14ac:dyDescent="0.2">
      <c r="Y177" s="67" t="s">
        <v>65</v>
      </c>
      <c r="Z177" s="35" t="str">
        <f t="shared" si="50"/>
        <v/>
      </c>
      <c r="AA177" s="13">
        <f t="shared" si="49"/>
        <v>0</v>
      </c>
      <c r="AB177" s="13" t="str">
        <f>IF(AA177&gt;0,Y105&amp;Language!$E$80&amp;X105,"")</f>
        <v/>
      </c>
      <c r="AC177" s="2"/>
      <c r="AD177" s="144"/>
    </row>
    <row r="178" spans="25:30" x14ac:dyDescent="0.2">
      <c r="Y178" s="67" t="s">
        <v>66</v>
      </c>
      <c r="Z178" s="35" t="str">
        <f t="shared" si="50"/>
        <v/>
      </c>
      <c r="AA178" s="13">
        <f t="shared" si="49"/>
        <v>0</v>
      </c>
      <c r="AB178" s="13" t="str">
        <f>IF(AA178&gt;0,Y106&amp;Language!$E$80&amp;X106,"")</f>
        <v/>
      </c>
      <c r="AC178" s="2"/>
      <c r="AD178" s="144"/>
    </row>
    <row r="179" spans="25:30" x14ac:dyDescent="0.2">
      <c r="Y179" s="67" t="s">
        <v>67</v>
      </c>
      <c r="Z179" s="35" t="str">
        <f t="shared" si="50"/>
        <v/>
      </c>
      <c r="AA179" s="13">
        <f t="shared" si="49"/>
        <v>0</v>
      </c>
      <c r="AB179" s="13" t="str">
        <f>IF(AA179&gt;0,Y107&amp;Language!$E$80&amp;X107,"")</f>
        <v/>
      </c>
      <c r="AC179" s="2"/>
      <c r="AD179" s="144"/>
    </row>
    <row r="180" spans="25:30" x14ac:dyDescent="0.2">
      <c r="Y180" s="67" t="s">
        <v>68</v>
      </c>
      <c r="Z180" s="35" t="str">
        <f t="shared" si="50"/>
        <v/>
      </c>
      <c r="AA180" s="13">
        <f t="shared" si="49"/>
        <v>0</v>
      </c>
      <c r="AB180" s="13" t="str">
        <f>IF(AA180&gt;0,Y108&amp;Language!$E$80&amp;X108,"")</f>
        <v/>
      </c>
      <c r="AC180" s="2"/>
      <c r="AD180" s="144"/>
    </row>
    <row r="181" spans="25:30" x14ac:dyDescent="0.2">
      <c r="Y181" s="67" t="s">
        <v>69</v>
      </c>
      <c r="Z181" s="35" t="str">
        <f t="shared" si="50"/>
        <v/>
      </c>
      <c r="AA181" s="13">
        <f t="shared" si="49"/>
        <v>0</v>
      </c>
      <c r="AB181" s="13" t="str">
        <f>IF(AA181&gt;0,Y109&amp;Language!$E$80&amp;X109,"")</f>
        <v/>
      </c>
      <c r="AC181" s="2"/>
      <c r="AD181" s="144"/>
    </row>
    <row r="182" spans="25:30" x14ac:dyDescent="0.2">
      <c r="Y182" s="67" t="s">
        <v>70</v>
      </c>
      <c r="Z182" s="35" t="str">
        <f t="shared" si="50"/>
        <v/>
      </c>
      <c r="AA182" s="13">
        <f t="shared" si="49"/>
        <v>0</v>
      </c>
      <c r="AB182" s="13" t="str">
        <f>IF(AA182&gt;0,Y110&amp;Language!$E$80&amp;X110,"")</f>
        <v/>
      </c>
      <c r="AC182" s="2"/>
      <c r="AD182" s="144"/>
    </row>
    <row r="183" spans="25:30" x14ac:dyDescent="0.2">
      <c r="Y183" s="67" t="s">
        <v>71</v>
      </c>
      <c r="Z183" s="35" t="str">
        <f t="shared" si="50"/>
        <v/>
      </c>
      <c r="AA183" s="13">
        <f t="shared" si="49"/>
        <v>0</v>
      </c>
      <c r="AB183" s="13" t="str">
        <f>IF(AA183&gt;0,Y111&amp;Language!$E$80&amp;X111,"")</f>
        <v/>
      </c>
      <c r="AC183" s="2"/>
      <c r="AD183" s="144"/>
    </row>
    <row r="184" spans="25:30" x14ac:dyDescent="0.2">
      <c r="Y184" s="67" t="s">
        <v>72</v>
      </c>
      <c r="Z184" s="35" t="str">
        <f t="shared" si="50"/>
        <v/>
      </c>
      <c r="AA184" s="13">
        <f t="shared" si="49"/>
        <v>0</v>
      </c>
      <c r="AB184" s="13" t="str">
        <f>IF(AA184&gt;0,Y112&amp;Language!$E$80&amp;X112,"")</f>
        <v/>
      </c>
      <c r="AC184" s="2"/>
      <c r="AD184" s="144"/>
    </row>
    <row r="185" spans="25:30" x14ac:dyDescent="0.2">
      <c r="Y185" s="67" t="s">
        <v>73</v>
      </c>
      <c r="Z185" s="35" t="str">
        <f t="shared" si="50"/>
        <v/>
      </c>
      <c r="AA185" s="13">
        <f t="shared" si="49"/>
        <v>0</v>
      </c>
      <c r="AB185" s="13" t="str">
        <f>IF(AA185&gt;0,Y113&amp;Language!$E$80&amp;X113,"")</f>
        <v/>
      </c>
      <c r="AC185" s="2"/>
      <c r="AD185" s="144"/>
    </row>
    <row r="186" spans="25:30" x14ac:dyDescent="0.2">
      <c r="Y186" s="67" t="s">
        <v>74</v>
      </c>
      <c r="Z186" s="35" t="str">
        <f t="shared" si="50"/>
        <v/>
      </c>
      <c r="AA186" s="13">
        <f t="shared" si="49"/>
        <v>0</v>
      </c>
      <c r="AB186" s="13" t="str">
        <f>IF(AA186&gt;0,Y114&amp;Language!$E$80&amp;X114,"")</f>
        <v/>
      </c>
      <c r="AC186" s="2"/>
      <c r="AD186" s="144"/>
    </row>
    <row r="187" spans="25:30" x14ac:dyDescent="0.2">
      <c r="Y187" s="67" t="s">
        <v>75</v>
      </c>
      <c r="Z187" s="35" t="str">
        <f t="shared" si="50"/>
        <v/>
      </c>
      <c r="AA187" s="13">
        <f t="shared" si="49"/>
        <v>0</v>
      </c>
      <c r="AB187" s="13" t="str">
        <f>IF(AA187&gt;0,Y115&amp;Language!$E$80&amp;X115,"")</f>
        <v/>
      </c>
      <c r="AC187" s="2"/>
      <c r="AD187" s="144"/>
    </row>
    <row r="188" spans="25:30" x14ac:dyDescent="0.2">
      <c r="Y188" s="67" t="s">
        <v>76</v>
      </c>
      <c r="Z188" s="35" t="str">
        <f t="shared" si="50"/>
        <v/>
      </c>
      <c r="AA188" s="13">
        <f t="shared" si="49"/>
        <v>0</v>
      </c>
      <c r="AB188" s="13" t="str">
        <f>IF(AA188&gt;0,Y116&amp;Language!$E$80&amp;X116,"")</f>
        <v/>
      </c>
      <c r="AC188" s="2"/>
      <c r="AD188" s="144"/>
    </row>
    <row r="189" spans="25:30" x14ac:dyDescent="0.2">
      <c r="Y189" s="67" t="s">
        <v>77</v>
      </c>
      <c r="Z189" s="35" t="str">
        <f t="shared" si="50"/>
        <v/>
      </c>
      <c r="AA189" s="13">
        <f t="shared" si="49"/>
        <v>0</v>
      </c>
      <c r="AB189" s="13" t="str">
        <f>IF(AA189&gt;0,Y117&amp;Language!$E$80&amp;X117,"")</f>
        <v/>
      </c>
      <c r="AC189" s="2"/>
      <c r="AD189" s="144"/>
    </row>
    <row r="190" spans="25:30" x14ac:dyDescent="0.2">
      <c r="Y190" s="67" t="s">
        <v>78</v>
      </c>
      <c r="Z190" s="35" t="str">
        <f t="shared" si="50"/>
        <v/>
      </c>
      <c r="AA190" s="13">
        <f t="shared" si="49"/>
        <v>0</v>
      </c>
      <c r="AB190" s="13" t="str">
        <f>IF(AA190&gt;0,Y118&amp;Language!$E$80&amp;X118,"")</f>
        <v/>
      </c>
      <c r="AC190" s="2"/>
      <c r="AD190" s="144"/>
    </row>
    <row r="191" spans="25:30" x14ac:dyDescent="0.2">
      <c r="Y191" s="67" t="s">
        <v>79</v>
      </c>
      <c r="Z191" s="35" t="str">
        <f t="shared" si="50"/>
        <v/>
      </c>
      <c r="AA191" s="13">
        <f t="shared" si="49"/>
        <v>0</v>
      </c>
      <c r="AB191" s="13" t="str">
        <f>IF(AA191&gt;0,Y119&amp;Language!$E$80&amp;X119,"")</f>
        <v/>
      </c>
      <c r="AC191" s="2"/>
      <c r="AD191" s="144"/>
    </row>
    <row r="192" spans="25:30" x14ac:dyDescent="0.2">
      <c r="Y192" s="67" t="s">
        <v>80</v>
      </c>
      <c r="Z192" s="35" t="str">
        <f t="shared" si="50"/>
        <v/>
      </c>
      <c r="AA192" s="13">
        <f t="shared" si="49"/>
        <v>0</v>
      </c>
      <c r="AB192" s="13" t="str">
        <f>IF(AA192&gt;0,Y120&amp;Language!$E$80&amp;X120,"")</f>
        <v/>
      </c>
      <c r="AC192" s="2"/>
      <c r="AD192" s="144"/>
    </row>
    <row r="193" spans="25:30" x14ac:dyDescent="0.2">
      <c r="Y193" s="67" t="s">
        <v>81</v>
      </c>
      <c r="Z193" s="35" t="str">
        <f t="shared" si="50"/>
        <v/>
      </c>
      <c r="AA193" s="13">
        <f t="shared" si="49"/>
        <v>0</v>
      </c>
      <c r="AB193" s="13" t="str">
        <f>IF(AA193&gt;0,Y121&amp;Language!$E$80&amp;X121,"")</f>
        <v/>
      </c>
      <c r="AC193" s="2"/>
      <c r="AD193" s="144"/>
    </row>
    <row r="194" spans="25:30" x14ac:dyDescent="0.2">
      <c r="Y194" s="67" t="s">
        <v>82</v>
      </c>
      <c r="Z194" s="35" t="str">
        <f t="shared" si="50"/>
        <v/>
      </c>
      <c r="AA194" s="13">
        <f t="shared" si="49"/>
        <v>0</v>
      </c>
      <c r="AB194" s="13" t="str">
        <f>IF(AA194&gt;0,Y122&amp;Language!$E$80&amp;X122,"")</f>
        <v/>
      </c>
      <c r="AC194" s="2"/>
      <c r="AD194" s="144"/>
    </row>
    <row r="195" spans="25:30" x14ac:dyDescent="0.2">
      <c r="Y195" s="67" t="s">
        <v>83</v>
      </c>
      <c r="Z195" s="35" t="str">
        <f t="shared" si="50"/>
        <v/>
      </c>
      <c r="AA195" s="13">
        <f t="shared" si="49"/>
        <v>0</v>
      </c>
      <c r="AB195" s="13" t="str">
        <f>IF(AA195&gt;0,Y123&amp;Language!$E$80&amp;X123,"")</f>
        <v/>
      </c>
      <c r="AC195" s="2"/>
      <c r="AD195" s="144"/>
    </row>
    <row r="196" spans="25:30" x14ac:dyDescent="0.2">
      <c r="Y196" s="67" t="s">
        <v>84</v>
      </c>
      <c r="Z196" s="35" t="str">
        <f t="shared" si="50"/>
        <v/>
      </c>
      <c r="AA196" s="13">
        <f t="shared" si="49"/>
        <v>0</v>
      </c>
      <c r="AB196" s="13" t="str">
        <f>IF(AA196&gt;0,Y124&amp;Language!$E$80&amp;X124,"")</f>
        <v/>
      </c>
      <c r="AC196" s="2"/>
      <c r="AD196" s="144"/>
    </row>
    <row r="197" spans="25:30" x14ac:dyDescent="0.2">
      <c r="Y197" s="67" t="s">
        <v>85</v>
      </c>
      <c r="Z197" s="35" t="str">
        <f t="shared" si="50"/>
        <v/>
      </c>
      <c r="AA197" s="13">
        <f t="shared" si="49"/>
        <v>0</v>
      </c>
      <c r="AB197" s="13" t="str">
        <f>IF(AA197&gt;0,Y125&amp;Language!$E$80&amp;X125,"")</f>
        <v/>
      </c>
      <c r="AC197" s="2"/>
      <c r="AD197" s="144"/>
    </row>
    <row r="198" spans="25:30" x14ac:dyDescent="0.2">
      <c r="Y198" s="67" t="s">
        <v>86</v>
      </c>
      <c r="Z198" s="35" t="str">
        <f t="shared" si="50"/>
        <v/>
      </c>
      <c r="AA198" s="13">
        <f t="shared" si="49"/>
        <v>0</v>
      </c>
      <c r="AB198" s="13" t="str">
        <f>IF(AA198&gt;0,Y126&amp;Language!$E$80&amp;X126,"")</f>
        <v/>
      </c>
      <c r="AC198" s="2"/>
      <c r="AD198" s="144"/>
    </row>
    <row r="199" spans="25:30" x14ac:dyDescent="0.2">
      <c r="Y199" s="67" t="s">
        <v>87</v>
      </c>
      <c r="Z199" s="35" t="str">
        <f t="shared" si="50"/>
        <v/>
      </c>
      <c r="AA199" s="13">
        <f t="shared" si="49"/>
        <v>0</v>
      </c>
      <c r="AB199" s="13" t="str">
        <f>IF(AA199&gt;0,Y127&amp;Language!$E$80&amp;X127,"")</f>
        <v/>
      </c>
      <c r="AC199" s="2"/>
      <c r="AD199" s="144"/>
    </row>
    <row r="200" spans="25:30" x14ac:dyDescent="0.2">
      <c r="Y200" s="67" t="s">
        <v>88</v>
      </c>
      <c r="Z200" s="35" t="str">
        <f t="shared" si="50"/>
        <v/>
      </c>
      <c r="AA200" s="13">
        <f t="shared" si="49"/>
        <v>0</v>
      </c>
      <c r="AB200" s="13" t="str">
        <f>IF(AA200&gt;0,Y128&amp;Language!$E$80&amp;X128,"")</f>
        <v/>
      </c>
      <c r="AC200" s="2"/>
      <c r="AD200" s="144"/>
    </row>
    <row r="201" spans="25:30" x14ac:dyDescent="0.2">
      <c r="Y201" s="67" t="s">
        <v>89</v>
      </c>
      <c r="Z201" s="35" t="str">
        <f t="shared" si="50"/>
        <v/>
      </c>
      <c r="AA201" s="13">
        <f t="shared" ref="AA201:AA207" si="51">AA129</f>
        <v>0</v>
      </c>
      <c r="AB201" s="13" t="str">
        <f>IF(AA201&gt;0,Y129&amp;Language!$E$80&amp;X129,"")</f>
        <v/>
      </c>
      <c r="AC201" s="2"/>
      <c r="AD201" s="144"/>
    </row>
    <row r="202" spans="25:30" x14ac:dyDescent="0.2">
      <c r="Y202" s="67" t="s">
        <v>90</v>
      </c>
      <c r="Z202" s="35" t="str">
        <f t="shared" ref="Z202:Z206" si="52">W130&amp;V130</f>
        <v/>
      </c>
      <c r="AA202" s="13">
        <f t="shared" si="51"/>
        <v>0</v>
      </c>
      <c r="AB202" s="13" t="str">
        <f>IF(AA202&gt;0,Y130&amp;Language!$E$80&amp;X130,"")</f>
        <v/>
      </c>
      <c r="AC202" s="2"/>
      <c r="AD202" s="144"/>
    </row>
    <row r="203" spans="25:30" x14ac:dyDescent="0.2">
      <c r="Y203" s="67" t="s">
        <v>91</v>
      </c>
      <c r="Z203" s="35" t="str">
        <f t="shared" si="52"/>
        <v/>
      </c>
      <c r="AA203" s="13">
        <f t="shared" si="51"/>
        <v>0</v>
      </c>
      <c r="AB203" s="13" t="str">
        <f>IF(AA203&gt;0,Y131&amp;Language!$E$80&amp;X131,"")</f>
        <v/>
      </c>
      <c r="AC203" s="2"/>
      <c r="AD203" s="144"/>
    </row>
    <row r="204" spans="25:30" x14ac:dyDescent="0.2">
      <c r="Y204" s="67" t="s">
        <v>92</v>
      </c>
      <c r="Z204" s="35" t="str">
        <f t="shared" si="52"/>
        <v/>
      </c>
      <c r="AA204" s="13">
        <f t="shared" si="51"/>
        <v>0</v>
      </c>
      <c r="AB204" s="13" t="str">
        <f>IF(AA204&gt;0,Y132&amp;Language!$E$80&amp;X132,"")</f>
        <v/>
      </c>
      <c r="AC204" s="2"/>
      <c r="AD204" s="144"/>
    </row>
    <row r="205" spans="25:30" x14ac:dyDescent="0.2">
      <c r="Y205" s="67" t="s">
        <v>93</v>
      </c>
      <c r="Z205" s="35" t="str">
        <f t="shared" si="52"/>
        <v/>
      </c>
      <c r="AA205" s="13">
        <f t="shared" si="51"/>
        <v>0</v>
      </c>
      <c r="AB205" s="13" t="str">
        <f>IF(AA205&gt;0,Y133&amp;Language!$E$80&amp;X133,"")</f>
        <v/>
      </c>
      <c r="AC205" s="2"/>
      <c r="AD205" s="144"/>
    </row>
    <row r="206" spans="25:30" x14ac:dyDescent="0.2">
      <c r="Y206" s="67" t="s">
        <v>94</v>
      </c>
      <c r="Z206" s="35" t="str">
        <f t="shared" si="52"/>
        <v/>
      </c>
      <c r="AA206" s="13">
        <f t="shared" si="51"/>
        <v>0</v>
      </c>
      <c r="AB206" s="13" t="str">
        <f>IF(AA206&gt;0,Y134&amp;Language!$E$80&amp;X134,"")</f>
        <v/>
      </c>
      <c r="AC206" s="2"/>
      <c r="AD206" s="144"/>
    </row>
    <row r="207" spans="25:30" ht="12.75" thickBot="1" x14ac:dyDescent="0.25">
      <c r="Y207" s="68" t="s">
        <v>95</v>
      </c>
      <c r="Z207" s="37" t="str">
        <f>W135&amp;V135</f>
        <v/>
      </c>
      <c r="AA207" s="38">
        <f t="shared" si="51"/>
        <v>0</v>
      </c>
      <c r="AB207" s="145" t="str">
        <f>IF(AA207&gt;0,Y135&amp;Language!$E$80&amp;X135,"")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639C-05DC-465C-8A1D-6F507C994F6A}">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796"/>
      <c r="X3" s="797"/>
      <c r="Y3" s="797"/>
      <c r="Z3" s="797"/>
      <c r="AA3" s="797"/>
      <c r="AB3" s="796"/>
      <c r="AC3" s="797"/>
      <c r="AD3" s="797"/>
      <c r="AE3" s="797"/>
      <c r="AF3" s="797"/>
      <c r="AG3" s="796"/>
      <c r="AH3" s="797"/>
      <c r="AI3" s="797"/>
      <c r="AJ3" s="797"/>
      <c r="AK3" s="797"/>
      <c r="AL3" s="796"/>
      <c r="AM3" s="797"/>
      <c r="AN3" s="797"/>
      <c r="AO3" s="797"/>
      <c r="AP3" s="797"/>
    </row>
    <row r="4" spans="1:42" s="2" customFormat="1" ht="12.75" thickTop="1" x14ac:dyDescent="0.2">
      <c r="A4" s="237"/>
      <c r="B4" s="1">
        <v>1</v>
      </c>
      <c r="C4" s="21">
        <f ca="1">RANK(D4,$D$4:$D$12,1)</f>
        <v>3</v>
      </c>
      <c r="D4" s="13">
        <f ca="1">E4+ROW()/1000+(F4="")*10</f>
        <v>3.004</v>
      </c>
      <c r="E4" s="248">
        <f ca="1">IF($AI$15,RANK(AH17,AH$17:AH$25,1),RANK(X17,X$17:X$25,1))</f>
        <v>3</v>
      </c>
      <c r="F4" s="1" t="str">
        <f ca="1">$Q64</f>
        <v>VFB Essenheim</v>
      </c>
      <c r="G4" s="1">
        <f t="shared" ref="G4:G12" ca="1" si="0">SUMIFS($X$64:$X$135,$V$64:$V$135,$F4)+SUMIFS($Y$64:$Y$135,$W$64:$W$135,$F4)</f>
        <v>11</v>
      </c>
      <c r="H4" s="1">
        <f t="shared" ref="H4:H12" ca="1" si="1">SUMIFS($Y$64:$Y$135,$V$64:$V$135,$F4)+SUMIFS($X$64:$X$135,$W$64:$W$135,$F4)</f>
        <v>19</v>
      </c>
      <c r="I4" s="13">
        <f t="shared" ref="I4:I12" ca="1" si="2">G4-H4</f>
        <v>-8</v>
      </c>
      <c r="J4" s="1">
        <f ca="1">SUMIF($V$64:$V$135,F4,$AE$64:$AE$135)+SUMIF($W$64:$W$135,F4,$AF$64:$AF$135)</f>
        <v>1</v>
      </c>
      <c r="K4" s="1">
        <f t="shared" ref="K4:K12" ca="1" si="3">SUMPRODUCT(($V$64:$V$135=F4)*($X$64:$X$135&lt;&gt;""))+SUMPRODUCT(($W$64:$W$135=F4)*($Y$64:$Y$135&lt;&gt;""))</f>
        <v>3</v>
      </c>
      <c r="L4" s="1">
        <f t="shared" ref="L4:L12" ca="1" si="4">SUMPRODUCT(($V$64:$V$135=F4)*($X$64:$X$135&gt;$Y$64:$Y$135))+SUMPRODUCT(($W$64:$W$135=F4)*($X$64:$X$135&lt;$Y$64:$Y$135))</f>
        <v>0</v>
      </c>
      <c r="M4" s="1">
        <f t="shared" ref="M4:M12" ca="1" si="5">SUMPRODUCT(($V$64:$W$135=F4)*($X$64:$X$135=$Y$64:$Y$135)*($X$64:$X$135&lt;&gt;"")*($Y$64:$Y$135&lt;&gt;""))</f>
        <v>1</v>
      </c>
      <c r="N4" s="1">
        <f t="shared" ref="N4:N12" ca="1" si="6">SUMPRODUCT(($V$64:$V$135=F4)*($X$64:$X$135&lt;$Y$64:$Y$135))+SUMPRODUCT(($W$64:$W$135=F4)*($X$64:$X$135&gt;$Y$64:$Y$135))</f>
        <v>2</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2.0049999999999999</v>
      </c>
      <c r="E5" s="248">
        <f t="shared" ref="E5:E12" ca="1" si="9">IF($AI$15,RANK(AH18,AH$17:AH$25,1),RANK(X18,X$17:X$25,1))</f>
        <v>2</v>
      </c>
      <c r="F5" s="1" t="str">
        <f t="shared" ref="F5:F12" ca="1" si="10">$Q65</f>
        <v>VFL Ronsdorf</v>
      </c>
      <c r="G5" s="1">
        <f t="shared" ca="1" si="0"/>
        <v>16</v>
      </c>
      <c r="H5" s="1">
        <f t="shared" ca="1" si="1"/>
        <v>12</v>
      </c>
      <c r="I5" s="13">
        <f t="shared" ca="1" si="2"/>
        <v>4</v>
      </c>
      <c r="J5" s="1">
        <f t="shared" ref="J5:J12" ca="1" si="11">SUMIF($V$64:$V$135,F5,$AE$64:$AE$135)+SUMIF($W$64:$W$135,F5,$AF$64:$AF$135)</f>
        <v>6</v>
      </c>
      <c r="K5" s="1">
        <f t="shared" ca="1" si="3"/>
        <v>3</v>
      </c>
      <c r="L5" s="1">
        <f t="shared" ca="1" si="4"/>
        <v>2</v>
      </c>
      <c r="M5" s="1">
        <f t="shared" ca="1" si="5"/>
        <v>0</v>
      </c>
      <c r="N5" s="1">
        <f t="shared" ca="1" si="6"/>
        <v>1</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4</v>
      </c>
      <c r="D6" s="13">
        <f t="shared" ca="1" si="8"/>
        <v>4.0060000000000002</v>
      </c>
      <c r="E6" s="248">
        <f t="shared" ca="1" si="9"/>
        <v>4</v>
      </c>
      <c r="F6" s="1" t="str">
        <f t="shared" ca="1" si="10"/>
        <v>1. FC Riedwald</v>
      </c>
      <c r="G6" s="1">
        <f t="shared" ca="1" si="0"/>
        <v>5</v>
      </c>
      <c r="H6" s="1">
        <f t="shared" ca="1" si="1"/>
        <v>13</v>
      </c>
      <c r="I6" s="13">
        <f t="shared" ca="1" si="2"/>
        <v>-8</v>
      </c>
      <c r="J6" s="1">
        <f t="shared" ca="1" si="11"/>
        <v>1</v>
      </c>
      <c r="K6" s="1">
        <f t="shared" ca="1" si="3"/>
        <v>3</v>
      </c>
      <c r="L6" s="1">
        <f t="shared" ca="1" si="4"/>
        <v>0</v>
      </c>
      <c r="M6" s="1">
        <f t="shared" ca="1" si="5"/>
        <v>1</v>
      </c>
      <c r="N6" s="1">
        <f t="shared" ca="1" si="6"/>
        <v>2</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1</v>
      </c>
      <c r="D7" s="13">
        <f t="shared" ca="1" si="8"/>
        <v>1.0069999999999999</v>
      </c>
      <c r="E7" s="248">
        <f t="shared" ca="1" si="9"/>
        <v>1</v>
      </c>
      <c r="F7" s="1" t="str">
        <f t="shared" ca="1" si="10"/>
        <v>SSV Wildbach</v>
      </c>
      <c r="G7" s="1">
        <f t="shared" ca="1" si="0"/>
        <v>18</v>
      </c>
      <c r="H7" s="1">
        <f t="shared" ca="1" si="1"/>
        <v>6</v>
      </c>
      <c r="I7" s="13">
        <f t="shared" ca="1" si="2"/>
        <v>12</v>
      </c>
      <c r="J7" s="1">
        <f t="shared" ca="1" si="11"/>
        <v>9</v>
      </c>
      <c r="K7" s="1">
        <f t="shared" ca="1" si="3"/>
        <v>3</v>
      </c>
      <c r="L7" s="1">
        <f t="shared" ca="1" si="4"/>
        <v>3</v>
      </c>
      <c r="M7" s="1">
        <f t="shared" ca="1" si="5"/>
        <v>0</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15.007999999999999</v>
      </c>
      <c r="E8" s="248">
        <f t="shared" ca="1" si="9"/>
        <v>5</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15.009</v>
      </c>
      <c r="E9" s="248">
        <f t="shared" ca="1" si="9"/>
        <v>5</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15.01</v>
      </c>
      <c r="E10" s="248">
        <f t="shared" ca="1" si="9"/>
        <v>5</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15.010999999999999</v>
      </c>
      <c r="E11" s="248">
        <f t="shared" ca="1" si="9"/>
        <v>5</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15.012</v>
      </c>
      <c r="E12" s="248">
        <f t="shared" ca="1" si="9"/>
        <v>5</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VFB Essenheim</v>
      </c>
      <c r="D17" s="1">
        <f t="shared" ref="D17:G25" ca="1" si="12">K4</f>
        <v>3</v>
      </c>
      <c r="E17" s="1">
        <f t="shared" ca="1" si="12"/>
        <v>0</v>
      </c>
      <c r="F17" s="1">
        <f t="shared" ca="1" si="12"/>
        <v>1</v>
      </c>
      <c r="G17" s="1">
        <f t="shared" ca="1" si="12"/>
        <v>2</v>
      </c>
      <c r="H17" s="1">
        <f t="shared" ref="H17:K25" ca="1" si="13">G4</f>
        <v>11</v>
      </c>
      <c r="I17" s="1">
        <f t="shared" ca="1" si="13"/>
        <v>19</v>
      </c>
      <c r="J17" s="13">
        <f t="shared" ca="1" si="13"/>
        <v>-8</v>
      </c>
      <c r="K17" s="1">
        <f t="shared" ca="1" si="13"/>
        <v>1</v>
      </c>
      <c r="L17" s="30">
        <f t="shared" ref="L17:L25" ca="1" si="14">K17*$F$64+(J17+$H$65)*$F$65+H17*$F$66</f>
        <v>1492011</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'Finals 4'!$AF33</f>
        <v>0</v>
      </c>
      <c r="Z17" s="1">
        <f ca="1">RANK($W17,$W$17:$W$25)+(9-$Y17)/10</f>
        <v>1.9</v>
      </c>
      <c r="AA17" s="1">
        <f ca="1">SUM(E30:BP30)</f>
        <v>0</v>
      </c>
      <c r="AB17" s="1">
        <f ca="1">SUM(E41:BP41)</f>
        <v>0</v>
      </c>
      <c r="AC17" s="1">
        <f ca="1">SUM(E52:BP52)</f>
        <v>0</v>
      </c>
      <c r="AD17" s="242">
        <f ca="1">RANK($K17,$K$17:$K$25)</f>
        <v>3</v>
      </c>
      <c r="AE17" s="30">
        <f ca="1">(J17+$H$65)*$F$65+H17*$F$66</f>
        <v>492011</v>
      </c>
      <c r="AF17" s="1">
        <f ca="1">RANK($AE17,$AE$17:$AE$25)</f>
        <v>3</v>
      </c>
      <c r="AG17" s="1">
        <f ca="1">RANK($W17,$W$17:$W$25)</f>
        <v>1</v>
      </c>
      <c r="AH17" s="244">
        <f ca="1">AD17+AG17/100+AF17/10000+(10-Y17)/1000000</f>
        <v>3.01031</v>
      </c>
      <c r="AI17" s="1"/>
    </row>
    <row r="18" spans="2:80" s="2" customFormat="1" x14ac:dyDescent="0.2">
      <c r="C18" s="2" t="str">
        <f t="shared" ref="C18:C25" ca="1" si="23">$Q65</f>
        <v>VFL Ronsdorf</v>
      </c>
      <c r="D18" s="1">
        <f t="shared" ca="1" si="12"/>
        <v>3</v>
      </c>
      <c r="E18" s="1">
        <f t="shared" ca="1" si="12"/>
        <v>2</v>
      </c>
      <c r="F18" s="1">
        <f t="shared" ca="1" si="12"/>
        <v>0</v>
      </c>
      <c r="G18" s="1">
        <f t="shared" ca="1" si="12"/>
        <v>1</v>
      </c>
      <c r="H18" s="1">
        <f t="shared" ca="1" si="13"/>
        <v>16</v>
      </c>
      <c r="I18" s="1">
        <f t="shared" ca="1" si="13"/>
        <v>12</v>
      </c>
      <c r="J18" s="13">
        <f t="shared" ca="1" si="13"/>
        <v>4</v>
      </c>
      <c r="K18" s="1">
        <f t="shared" ca="1" si="13"/>
        <v>6</v>
      </c>
      <c r="L18" s="30">
        <f t="shared" ca="1" si="14"/>
        <v>6504016</v>
      </c>
      <c r="M18" s="14">
        <f t="shared" ref="M18:M25" ca="1" si="24">IF($AI$15,COUNTIF($K$17:$K$25,K18),COUNTIF($L$17:$L$25,L18))</f>
        <v>1</v>
      </c>
      <c r="N18" s="14">
        <f t="array" aca="1" ref="N18" ca="1">IF($AI$15,SUM(($K$17:$K$25&gt;=K18)/COUNTIF($K$17:$K$25,$K$17:$K$25)),SUM(($L$17:$L$25&gt;=L18)/COUNTIF($L$17:$L$25,$L$17:$L$25)))</f>
        <v>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2.0108999999999999</v>
      </c>
      <c r="Y18" s="13">
        <f>'Finals 4'!$AF34</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2</v>
      </c>
      <c r="AE18" s="30">
        <f ca="1">(J18+$H$65)*$F$65+H18*$F$66</f>
        <v>504016</v>
      </c>
      <c r="AF18" s="1">
        <f t="shared" ref="AF18:AF25" ca="1" si="31">RANK($AE18,$AE$17:$AE$25)</f>
        <v>2</v>
      </c>
      <c r="AG18" s="1">
        <f t="shared" ref="AG18:AG25" ca="1" si="32">RANK($W18,$W$17:$W$25)</f>
        <v>1</v>
      </c>
      <c r="AH18" s="245">
        <f t="shared" ref="AH18:AH25" ca="1" si="33">AD18+AG18/100+AF18/10000+(10-Y18)/1000000</f>
        <v>2.0102099999999998</v>
      </c>
      <c r="AI18" s="1"/>
    </row>
    <row r="19" spans="2:80" s="2" customFormat="1" x14ac:dyDescent="0.2">
      <c r="C19" s="2" t="str">
        <f t="shared" ca="1" si="23"/>
        <v>1. FC Riedwald</v>
      </c>
      <c r="D19" s="1">
        <f t="shared" ca="1" si="12"/>
        <v>3</v>
      </c>
      <c r="E19" s="1">
        <f t="shared" ca="1" si="12"/>
        <v>0</v>
      </c>
      <c r="F19" s="1">
        <f t="shared" ca="1" si="12"/>
        <v>1</v>
      </c>
      <c r="G19" s="1">
        <f t="shared" ca="1" si="12"/>
        <v>2</v>
      </c>
      <c r="H19" s="1">
        <f t="shared" ca="1" si="13"/>
        <v>5</v>
      </c>
      <c r="I19" s="1">
        <f t="shared" ca="1" si="13"/>
        <v>13</v>
      </c>
      <c r="J19" s="13">
        <f t="shared" ca="1" si="13"/>
        <v>-8</v>
      </c>
      <c r="K19" s="1">
        <f t="shared" ca="1" si="13"/>
        <v>1</v>
      </c>
      <c r="L19" s="30">
        <f t="shared" ca="1" si="14"/>
        <v>1492005</v>
      </c>
      <c r="M19" s="14">
        <f t="shared" ca="1" si="24"/>
        <v>1</v>
      </c>
      <c r="N19" s="14">
        <f t="array" aca="1" ref="N19" ca="1">IF($AI$15,SUM(($K$17:$K$25&gt;=K19)/COUNTIF($K$17:$K$25,$K$17:$K$25)),SUM(($L$17:$L$25&gt;=L19)/COUNTIF($L$17:$L$25,$L$17:$L$25)))</f>
        <v>4</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4.0108999999999995</v>
      </c>
      <c r="Y19" s="13">
        <f>'Finals 4'!$AF35</f>
        <v>0</v>
      </c>
      <c r="Z19" s="1">
        <f t="shared" ca="1" si="26"/>
        <v>1.9</v>
      </c>
      <c r="AA19" s="1">
        <f t="shared" ca="1" si="27"/>
        <v>0</v>
      </c>
      <c r="AB19" s="1">
        <f t="shared" ca="1" si="28"/>
        <v>0</v>
      </c>
      <c r="AC19" s="1">
        <f t="shared" ca="1" si="29"/>
        <v>0</v>
      </c>
      <c r="AD19" s="242">
        <f t="shared" ca="1" si="30"/>
        <v>3</v>
      </c>
      <c r="AE19" s="30">
        <f ca="1">(J19+$H$65)*$F$65+H19*$F$66</f>
        <v>492005</v>
      </c>
      <c r="AF19" s="1">
        <f t="shared" ca="1" si="31"/>
        <v>4</v>
      </c>
      <c r="AG19" s="1">
        <f t="shared" ca="1" si="32"/>
        <v>1</v>
      </c>
      <c r="AH19" s="245">
        <f t="shared" ca="1" si="33"/>
        <v>3.0104099999999998</v>
      </c>
      <c r="AI19" s="1"/>
    </row>
    <row r="20" spans="2:80" s="2" customFormat="1" x14ac:dyDescent="0.2">
      <c r="C20" s="2" t="str">
        <f t="shared" ca="1" si="23"/>
        <v>SSV Wildbach</v>
      </c>
      <c r="D20" s="1">
        <f t="shared" ca="1" si="12"/>
        <v>3</v>
      </c>
      <c r="E20" s="1">
        <f t="shared" ca="1" si="12"/>
        <v>3</v>
      </c>
      <c r="F20" s="1">
        <f t="shared" ca="1" si="12"/>
        <v>0</v>
      </c>
      <c r="G20" s="1">
        <f t="shared" ca="1" si="12"/>
        <v>0</v>
      </c>
      <c r="H20" s="1">
        <f t="shared" ca="1" si="13"/>
        <v>18</v>
      </c>
      <c r="I20" s="1">
        <f t="shared" ca="1" si="13"/>
        <v>6</v>
      </c>
      <c r="J20" s="13">
        <f t="shared" ca="1" si="13"/>
        <v>12</v>
      </c>
      <c r="K20" s="1">
        <f t="shared" ca="1" si="13"/>
        <v>9</v>
      </c>
      <c r="L20" s="30">
        <f t="shared" ca="1" si="14"/>
        <v>9512018</v>
      </c>
      <c r="M20" s="14">
        <f t="shared" ca="1" si="24"/>
        <v>1</v>
      </c>
      <c r="N20" s="14">
        <f t="array" aca="1" ref="N20" ca="1">IF($AI$15,SUM(($K$17:$K$25&gt;=K20)/COUNTIF($K$17:$K$25,$K$17:$K$25)),SUM(($L$17:$L$25&gt;=L20)/COUNTIF($L$17:$L$25,$L$17:$L$25)))</f>
        <v>1</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1.0108999999999999</v>
      </c>
      <c r="Y20" s="13">
        <f>'Finals 4'!$AF36</f>
        <v>0</v>
      </c>
      <c r="Z20" s="1">
        <f t="shared" ca="1" si="26"/>
        <v>1.9</v>
      </c>
      <c r="AA20" s="1">
        <f t="shared" ca="1" si="27"/>
        <v>0</v>
      </c>
      <c r="AB20" s="1">
        <f t="shared" ca="1" si="28"/>
        <v>0</v>
      </c>
      <c r="AC20" s="1">
        <f t="shared" ca="1" si="29"/>
        <v>0</v>
      </c>
      <c r="AD20" s="242">
        <f t="shared" ca="1" si="30"/>
        <v>1</v>
      </c>
      <c r="AE20" s="30">
        <f ca="1">(J20+$H$65)*$F$65+H20*$F$66</f>
        <v>512018</v>
      </c>
      <c r="AF20" s="1">
        <f t="shared" ca="1" si="31"/>
        <v>1</v>
      </c>
      <c r="AG20" s="1">
        <f t="shared" ca="1" si="32"/>
        <v>1</v>
      </c>
      <c r="AH20" s="245">
        <f t="shared" ca="1" si="33"/>
        <v>1.0101100000000001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5.0000000000000009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5.0508999999999995</v>
      </c>
      <c r="Y21" s="13">
        <v>0</v>
      </c>
      <c r="Z21" s="1">
        <f t="shared" ca="1" si="26"/>
        <v>5.9</v>
      </c>
      <c r="AA21" s="1">
        <f t="shared" ca="1" si="27"/>
        <v>0</v>
      </c>
      <c r="AB21" s="1">
        <f t="shared" ca="1" si="28"/>
        <v>0</v>
      </c>
      <c r="AC21" s="1">
        <f t="shared" ca="1" si="29"/>
        <v>0</v>
      </c>
      <c r="AD21" s="242">
        <f t="shared" ca="1" si="30"/>
        <v>5</v>
      </c>
      <c r="AE21" s="30">
        <v>0</v>
      </c>
      <c r="AF21" s="1">
        <f t="shared" ca="1" si="31"/>
        <v>5</v>
      </c>
      <c r="AG21" s="1">
        <f t="shared" ca="1" si="32"/>
        <v>5</v>
      </c>
      <c r="AH21" s="245">
        <f t="shared" ca="1" si="33"/>
        <v>5.0505099999999992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5.0000000000000009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5.0508999999999995</v>
      </c>
      <c r="Y22" s="13">
        <v>0</v>
      </c>
      <c r="Z22" s="1">
        <f t="shared" ca="1" si="26"/>
        <v>5.9</v>
      </c>
      <c r="AA22" s="1">
        <f t="shared" ca="1" si="27"/>
        <v>0</v>
      </c>
      <c r="AB22" s="1">
        <f t="shared" ca="1" si="28"/>
        <v>0</v>
      </c>
      <c r="AC22" s="1">
        <f t="shared" ca="1" si="29"/>
        <v>0</v>
      </c>
      <c r="AD22" s="242">
        <f t="shared" ca="1" si="30"/>
        <v>5</v>
      </c>
      <c r="AE22" s="30">
        <v>0</v>
      </c>
      <c r="AF22" s="1">
        <f t="shared" ca="1" si="31"/>
        <v>5</v>
      </c>
      <c r="AG22" s="1">
        <f t="shared" ca="1" si="32"/>
        <v>5</v>
      </c>
      <c r="AH22" s="245">
        <f t="shared" ca="1" si="33"/>
        <v>5.0505099999999992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5.0000000000000009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5.0508999999999995</v>
      </c>
      <c r="Y23" s="13">
        <v>0</v>
      </c>
      <c r="Z23" s="1">
        <f t="shared" ca="1" si="26"/>
        <v>5.9</v>
      </c>
      <c r="AA23" s="1">
        <f t="shared" ca="1" si="27"/>
        <v>0</v>
      </c>
      <c r="AB23" s="1">
        <f t="shared" ca="1" si="28"/>
        <v>0</v>
      </c>
      <c r="AC23" s="1">
        <f t="shared" ca="1" si="29"/>
        <v>0</v>
      </c>
      <c r="AD23" s="242">
        <f t="shared" ca="1" si="30"/>
        <v>5</v>
      </c>
      <c r="AE23" s="30">
        <v>0</v>
      </c>
      <c r="AF23" s="1">
        <f t="shared" ca="1" si="31"/>
        <v>5</v>
      </c>
      <c r="AG23" s="1">
        <f t="shared" ca="1" si="32"/>
        <v>5</v>
      </c>
      <c r="AH23" s="245">
        <f t="shared" ca="1" si="33"/>
        <v>5.0505099999999992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5.0000000000000009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5.0508999999999995</v>
      </c>
      <c r="Y24" s="13">
        <v>0</v>
      </c>
      <c r="Z24" s="1">
        <f t="shared" ca="1" si="26"/>
        <v>5.9</v>
      </c>
      <c r="AA24" s="1">
        <f t="shared" ca="1" si="27"/>
        <v>0</v>
      </c>
      <c r="AB24" s="1">
        <f t="shared" ca="1" si="28"/>
        <v>0</v>
      </c>
      <c r="AC24" s="1">
        <f t="shared" ca="1" si="29"/>
        <v>0</v>
      </c>
      <c r="AD24" s="242">
        <f t="shared" ca="1" si="30"/>
        <v>5</v>
      </c>
      <c r="AE24" s="30">
        <v>0</v>
      </c>
      <c r="AF24" s="1">
        <f t="shared" ca="1" si="31"/>
        <v>5</v>
      </c>
      <c r="AG24" s="1">
        <f t="shared" ca="1" si="32"/>
        <v>5</v>
      </c>
      <c r="AH24" s="245">
        <f t="shared" ca="1" si="33"/>
        <v>5.0505099999999992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5.0000000000000009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5.0508999999999995</v>
      </c>
      <c r="Y25" s="13">
        <v>0</v>
      </c>
      <c r="Z25" s="1">
        <f t="shared" ca="1" si="26"/>
        <v>5.9</v>
      </c>
      <c r="AA25" s="1">
        <f t="shared" ca="1" si="27"/>
        <v>0</v>
      </c>
      <c r="AB25" s="1">
        <f t="shared" ca="1" si="28"/>
        <v>0</v>
      </c>
      <c r="AC25" s="1">
        <f t="shared" ca="1" si="29"/>
        <v>0</v>
      </c>
      <c r="AD25" s="242">
        <f t="shared" ca="1" si="30"/>
        <v>5</v>
      </c>
      <c r="AE25" s="30">
        <v>0</v>
      </c>
      <c r="AF25" s="1">
        <f t="shared" ca="1" si="31"/>
        <v>5</v>
      </c>
      <c r="AG25" s="1">
        <f t="shared" ca="1" si="32"/>
        <v>5</v>
      </c>
      <c r="AH25" s="246">
        <f t="shared" ca="1" si="33"/>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 ca="1">$F$4</f>
        <v>VFB Essenheim</v>
      </c>
      <c r="BT29" s="2" t="str">
        <f ca="1">$F$5</f>
        <v>VFL Ronsdorf</v>
      </c>
      <c r="BU29" s="2" t="str">
        <f ca="1">$F$6</f>
        <v>1. FC Riedwald</v>
      </c>
      <c r="BV29" s="2" t="str">
        <f ca="1">$F$7</f>
        <v>SSV Wildbach</v>
      </c>
      <c r="BW29" s="2" t="str">
        <f>$F$8</f>
        <v/>
      </c>
      <c r="BX29" s="2" t="str">
        <f>$F$9</f>
        <v/>
      </c>
      <c r="BY29" s="2" t="str">
        <f>$F$10</f>
        <v/>
      </c>
      <c r="BZ29" s="2" t="str">
        <f>$F$11</f>
        <v/>
      </c>
      <c r="CA29" s="2" t="str">
        <f>$F$12</f>
        <v/>
      </c>
      <c r="CB29" s="53"/>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VFB Essenheim</v>
      </c>
      <c r="BS30" s="7"/>
      <c r="BT30" s="8">
        <f t="shared" ref="BT30:CA32" ca="1" si="35">SUMIFS($X$64:$X$135,$V$64:$V$135,$BR30,$W$64:$W$135,BT$29)+SUMIFS($Y$64:$Y$135,$W$64:$W$135,$BR30,$V$64:$V$135,BT$29)</f>
        <v>7</v>
      </c>
      <c r="BU30" s="8">
        <f t="shared" ca="1" si="35"/>
        <v>2</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VFL Ronsdorf</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VFL Ronsdorf</v>
      </c>
      <c r="BS31" s="9">
        <f t="shared" ref="BS31:BU38" ca="1" si="37">SUMIFS($X$64:$X$135,$V$64:$V$135,$BR31,$W$64:$W$135,BS$29)+SUMIFS($Y$64:$Y$135,$W$64:$W$135,$BR31,$V$64:$V$135,BS$29)</f>
        <v>13</v>
      </c>
      <c r="BT31" s="7"/>
      <c r="BU31" s="8">
        <f t="shared" ca="1" si="35"/>
        <v>2</v>
      </c>
      <c r="BV31" s="8">
        <f t="shared" ca="1" si="35"/>
        <v>1</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1. FC Riedwald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1. FC Riedwald</v>
      </c>
      <c r="BS32" s="9">
        <f t="shared" ca="1" si="37"/>
        <v>2</v>
      </c>
      <c r="BT32" s="9">
        <f t="shared" ca="1" si="37"/>
        <v>0</v>
      </c>
      <c r="BU32" s="7"/>
      <c r="BV32" s="8">
        <f t="shared" ca="1" si="35"/>
        <v>3</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SSV Wildbach</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SSV Wildbach</v>
      </c>
      <c r="BS33" s="9">
        <f t="shared" ca="1" si="37"/>
        <v>4</v>
      </c>
      <c r="BT33" s="9">
        <f t="shared" ca="1" si="37"/>
        <v>5</v>
      </c>
      <c r="BU33" s="9">
        <f t="shared" ca="1" si="37"/>
        <v>9</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VFB Essenheim</v>
      </c>
      <c r="BT40" s="2" t="str">
        <f ca="1">$F$5</f>
        <v>VFL Ronsdorf</v>
      </c>
      <c r="BU40" s="2" t="str">
        <f ca="1">$F$6</f>
        <v>1. FC Riedwald</v>
      </c>
      <c r="BV40" s="2" t="str">
        <f ca="1">$F$7</f>
        <v>SSV Wildbach</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VFB Essenheim</v>
      </c>
      <c r="BS41" s="7"/>
      <c r="BT41" s="8">
        <f ca="1">BT30-BS31</f>
        <v>-6</v>
      </c>
      <c r="BU41" s="8">
        <f ca="1">BU30-BS32</f>
        <v>0</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VFL Ronsdorf</v>
      </c>
      <c r="BS42" s="9">
        <f ca="1">IF(BT41="","",-1*BT41)</f>
        <v>6</v>
      </c>
      <c r="BT42" s="7"/>
      <c r="BU42" s="8">
        <f ca="1">BU31-BT32</f>
        <v>2</v>
      </c>
      <c r="BV42" s="8">
        <f ca="1">BV31-BT33</f>
        <v>-4</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1. FC Riedwald</v>
      </c>
      <c r="BS43" s="9">
        <f ca="1">IF(BU41="","",-1*BU41)</f>
        <v>0</v>
      </c>
      <c r="BT43" s="9">
        <f ca="1">IF(BU42="","",-1*BU42)</f>
        <v>-2</v>
      </c>
      <c r="BU43" s="7"/>
      <c r="BV43" s="8">
        <f ca="1">BV32-BU33</f>
        <v>-6</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SSV Wildbach</v>
      </c>
      <c r="BS44" s="9">
        <f ca="1">IF(BV41="","",-1*BV41)</f>
        <v>2</v>
      </c>
      <c r="BT44" s="9">
        <f ca="1">IF(BV42="","",-1*BV42)</f>
        <v>4</v>
      </c>
      <c r="BU44" s="9">
        <f ca="1">IF(BV43="","",-1*BV43)</f>
        <v>6</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VFB Essenheim</v>
      </c>
      <c r="BT51" s="2" t="str">
        <f ca="1">$F$5</f>
        <v>VFL Ronsdorf</v>
      </c>
      <c r="BU51" s="2" t="str">
        <f ca="1">$F$6</f>
        <v>1. FC Riedwald</v>
      </c>
      <c r="BV51" s="2" t="str">
        <f ca="1">$F$7</f>
        <v>SSV Wildbach</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VFB Essenheim</v>
      </c>
      <c r="BS52" s="7"/>
      <c r="BT52" s="8">
        <f t="shared" ref="BT52:CA58" ca="1" si="41">SUMIFS($AE$64:$AE$135,$V$64:$V$135,$BR52,$W$64:$W$135,BT$51)+SUMIFS($AF$64:$AF$135,$W$64:$W$135,$BR52,$V$64:$V$135,BT$51)</f>
        <v>0</v>
      </c>
      <c r="BU52" s="8">
        <f t="shared" ca="1" si="41"/>
        <v>1</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VFL Ronsdorf</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1. FC Riedwald</v>
      </c>
      <c r="BS54" s="9">
        <f t="shared" ca="1" si="42"/>
        <v>1</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SSV Wildbach</v>
      </c>
      <c r="BS55" s="9">
        <f t="shared" ca="1" si="42"/>
        <v>3</v>
      </c>
      <c r="BT55" s="9">
        <f t="shared" ca="1" si="42"/>
        <v>3</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574"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IF('Finals 4'!$AE33="","",'Finals 4'!$AE33)</f>
        <v>VFB Essenheim</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IF(AA64&gt;0,X64&amp;Language!$E$80&amp;Y64,"")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 ca="1">IF('Finals 4'!$AE34="","",'Finals 4'!$AE34)</f>
        <v>VFL Ronsdorf</v>
      </c>
      <c r="U65" s="67" t="s">
        <v>8</v>
      </c>
      <c r="V65" s="41" t="str">
        <f ca="1">'Finals 4'!$I13</f>
        <v>VFB Essenheim</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3">V65&amp;W65</f>
        <v>VFB EssenheimSSV Wildbach</v>
      </c>
      <c r="AA65" s="13">
        <f t="shared" ref="AA65:AA128" ca="1" si="44">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t="s">
        <v>9</v>
      </c>
      <c r="Q66" s="62" t="str">
        <f ca="1">IF('Finals 4'!$AE35="","",'Finals 4'!$AE35)</f>
        <v>1. FC Riedwald</v>
      </c>
      <c r="U66" s="67" t="s">
        <v>9</v>
      </c>
      <c r="V66" s="41" t="str">
        <f ca="1">'Finals 4'!$I14</f>
        <v>Knock Out Rangers</v>
      </c>
      <c r="W66" s="13" t="str">
        <f ca="1">'Finals 4'!$K14</f>
        <v>FC Grönlingen</v>
      </c>
      <c r="X66" s="13">
        <f ca="1">IF(AND('Finals 4'!$L14&lt;&gt;"",'Finals 4'!$N14&lt;&gt;"",$V66&lt;&gt;$W66,$V66&lt;&gt;"",$W66&lt;&gt;""),'Finals 4'!$L14,"")</f>
        <v>2</v>
      </c>
      <c r="Y66" s="36">
        <f ca="1">IF(AND('Finals 4'!$L14&lt;&gt;"",'Finals 4'!$N14&lt;&gt;"",$V66&lt;&gt;$W66,$V66&lt;&gt;"",$W66&lt;&gt;""),'Finals 4'!$N14,"")</f>
        <v>1</v>
      </c>
      <c r="Z66" s="35" t="str">
        <f t="shared" ca="1" si="43"/>
        <v>Knock Out RangersFC Grönlingen</v>
      </c>
      <c r="AA66" s="13">
        <f t="shared" ca="1" si="44"/>
        <v>1</v>
      </c>
      <c r="AB66" s="13" t="str">
        <f ca="1">IF(AA66&gt;0,X66&amp;Language!$E$80&amp;Y66,"")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4'!$AE36="","",'Finals 4'!$AE36)</f>
        <v>SSV Wildbach</v>
      </c>
      <c r="U67" s="67" t="s">
        <v>10</v>
      </c>
      <c r="V67" s="41" t="str">
        <f ca="1">'Finals 4'!$I15</f>
        <v>Raslo Winners</v>
      </c>
      <c r="W67" s="13" t="str">
        <f ca="1">'Finals 4'!$K15</f>
        <v>Mainz 05</v>
      </c>
      <c r="X67" s="13">
        <f ca="1">IF(AND('Finals 4'!$L15&lt;&gt;"",'Finals 4'!$N15&lt;&gt;"",$V67&lt;&gt;$W67,$V67&lt;&gt;"",$W67&lt;&gt;""),'Finals 4'!$L15,"")</f>
        <v>1</v>
      </c>
      <c r="Y67" s="36">
        <f ca="1">IF(AND('Finals 4'!$L15&lt;&gt;"",'Finals 4'!$N15&lt;&gt;"",$V67&lt;&gt;$W67,$V67&lt;&gt;"",$W67&lt;&gt;""),'Finals 4'!$N15,"")</f>
        <v>1</v>
      </c>
      <c r="Z67" s="35" t="str">
        <f t="shared" ca="1" si="43"/>
        <v>Raslo WinnersMainz 05</v>
      </c>
      <c r="AA67" s="13">
        <f t="shared" ca="1" si="44"/>
        <v>1</v>
      </c>
      <c r="AB67" s="13" t="str">
        <f ca="1">IF(AA67&gt;0,X67&amp;Language!$E$80&amp;Y67,"")</f>
        <v>1-1</v>
      </c>
      <c r="AD67" s="144"/>
      <c r="AE67" s="149">
        <f ca="1">IF($AA67=0,"",IF($X67&gt;$Y67,Settings!$C$4,IF($X67=$Y67,1,0)))</f>
        <v>1</v>
      </c>
      <c r="AF67" s="144">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FC Barcelona</v>
      </c>
      <c r="W68" s="13" t="str">
        <f ca="1">'Finals 4'!$K16</f>
        <v>AC Roma</v>
      </c>
      <c r="X68" s="13">
        <f ca="1">IF(AND('Finals 4'!$L16&lt;&gt;"",'Finals 4'!$N16&lt;&gt;"",$V68&lt;&gt;$W68,$V68&lt;&gt;"",$W68&lt;&gt;""),'Finals 4'!$L16,"")</f>
        <v>5</v>
      </c>
      <c r="Y68" s="36">
        <f ca="1">IF(AND('Finals 4'!$L16&lt;&gt;"",'Finals 4'!$N16&lt;&gt;"",$V68&lt;&gt;$W68,$V68&lt;&gt;"",$W68&lt;&gt;""),'Finals 4'!$N16,"")</f>
        <v>1</v>
      </c>
      <c r="Z68" s="35" t="str">
        <f t="shared" ca="1" si="43"/>
        <v>FC BarcelonaAC Roma</v>
      </c>
      <c r="AA68" s="13">
        <f t="shared" ca="1" si="44"/>
        <v>1</v>
      </c>
      <c r="AB68" s="13" t="str">
        <f ca="1">IF(AA68&gt;0,X68&amp;Language!$E$80&amp;Y68,"")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VFL Ronsdorf</v>
      </c>
      <c r="W69" s="13" t="str">
        <f ca="1">'Finals 4'!$K17</f>
        <v>1. FC Riedwald</v>
      </c>
      <c r="X69" s="13">
        <f ca="1">IF(AND('Finals 4'!$L17&lt;&gt;"",'Finals 4'!$N17&lt;&gt;"",$V69&lt;&gt;$W69,$V69&lt;&gt;"",$W69&lt;&gt;""),'Finals 4'!$L17,"")</f>
        <v>2</v>
      </c>
      <c r="Y69" s="36">
        <f ca="1">IF(AND('Finals 4'!$L17&lt;&gt;"",'Finals 4'!$N17&lt;&gt;"",$V69&lt;&gt;$W69,$V69&lt;&gt;"",$W69&lt;&gt;""),'Finals 4'!$N17,"")</f>
        <v>0</v>
      </c>
      <c r="Z69" s="35" t="str">
        <f t="shared" ca="1" si="43"/>
        <v>VFL Ronsdorf1. FC Riedwald</v>
      </c>
      <c r="AA69" s="13">
        <f t="shared" ca="1" si="44"/>
        <v>1</v>
      </c>
      <c r="AB69" s="13" t="str">
        <f ca="1">IF(AA69&gt;0,X69&amp;Language!$E$80&amp;Y69,"")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Borussia Heine</v>
      </c>
      <c r="W70" s="13" t="str">
        <f ca="1">'Finals 4'!$K18</f>
        <v>Maibach 1822 eV</v>
      </c>
      <c r="X70" s="13">
        <f ca="1">IF(AND('Finals 4'!$L18&lt;&gt;"",'Finals 4'!$N18&lt;&gt;"",$V70&lt;&gt;$W70,$V70&lt;&gt;"",$W70&lt;&gt;""),'Finals 4'!$L18,"")</f>
        <v>1</v>
      </c>
      <c r="Y70" s="36">
        <f ca="1">IF(AND('Finals 4'!$L18&lt;&gt;"",'Finals 4'!$N18&lt;&gt;"",$V70&lt;&gt;$W70,$V70&lt;&gt;"",$W70&lt;&gt;""),'Finals 4'!$N18,"")</f>
        <v>2</v>
      </c>
      <c r="Z70" s="35" t="str">
        <f t="shared" ca="1" si="43"/>
        <v>Borussia HeineMaibach 1822 eV</v>
      </c>
      <c r="AA70" s="13">
        <f t="shared" ca="1" si="44"/>
        <v>1</v>
      </c>
      <c r="AB70" s="13" t="str">
        <f ca="1">IF(AA70&gt;0,X70&amp;Language!$E$80&amp;Y70,"")</f>
        <v>1-2</v>
      </c>
      <c r="AD70" s="144"/>
      <c r="AE70" s="149">
        <f ca="1">IF($AA70=0,"",IF($X70&gt;$Y70,Settings!$C$4,IF($X70=$Y70,1,0)))</f>
        <v>0</v>
      </c>
      <c r="AF70" s="144">
        <f ca="1">IF($AA70=0,"",IF($X70&lt;$Y70,Settings!$C$4,IF($X70=$Y70,1,0)))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Inter Mailand</v>
      </c>
      <c r="W71" s="13" t="str">
        <f ca="1">'Finals 4'!$K19</f>
        <v>Fun Kickers Oes</v>
      </c>
      <c r="X71" s="13">
        <f ca="1">IF(AND('Finals 4'!$L19&lt;&gt;"",'Finals 4'!$N19&lt;&gt;"",$V71&lt;&gt;$W71,$V71&lt;&gt;"",$W71&lt;&gt;""),'Finals 4'!$L19,"")</f>
        <v>5</v>
      </c>
      <c r="Y71" s="36">
        <f ca="1">IF(AND('Finals 4'!$L19&lt;&gt;"",'Finals 4'!$N19&lt;&gt;"",$V71&lt;&gt;$W71,$V71&lt;&gt;"",$W71&lt;&gt;""),'Finals 4'!$N19,"")</f>
        <v>3</v>
      </c>
      <c r="Z71" s="35" t="str">
        <f t="shared" ca="1" si="43"/>
        <v>Inter MailandFun Kickers Oes</v>
      </c>
      <c r="AA71" s="13">
        <f t="shared" ca="1" si="44"/>
        <v>1</v>
      </c>
      <c r="AB71" s="13" t="str">
        <f ca="1">IF(AA71&gt;0,X71&amp;Language!$E$80&amp;Y71,"")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Manchester CityEintracht Frankfurt</v>
      </c>
      <c r="AA72" s="13">
        <f t="shared" ca="1" si="44"/>
        <v>1</v>
      </c>
      <c r="AB72" s="13" t="str">
        <f ca="1">IF(AA72&gt;0,X72&amp;Language!$E$80&amp;Y72,"")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VFB Essenheim</v>
      </c>
      <c r="W73" s="13" t="str">
        <f ca="1">'Finals 4'!$K21</f>
        <v>1. FC Riedwald</v>
      </c>
      <c r="X73" s="13">
        <f ca="1">IF(AND('Finals 4'!$L21&lt;&gt;"",'Finals 4'!$N21&lt;&gt;"",$V73&lt;&gt;$W73,$V73&lt;&gt;"",$W73&lt;&gt;""),'Finals 4'!$L21,"")</f>
        <v>2</v>
      </c>
      <c r="Y73" s="36">
        <f ca="1">IF(AND('Finals 4'!$L21&lt;&gt;"",'Finals 4'!$N21&lt;&gt;"",$V73&lt;&gt;$W73,$V73&lt;&gt;"",$W73&lt;&gt;""),'Finals 4'!$N21,"")</f>
        <v>2</v>
      </c>
      <c r="Z73" s="35" t="str">
        <f t="shared" ca="1" si="43"/>
        <v>VFB Essenheim1. FC Riedwald</v>
      </c>
      <c r="AA73" s="13">
        <f t="shared" ca="1" si="44"/>
        <v>1</v>
      </c>
      <c r="AB73" s="13" t="str">
        <f ca="1">IF(AA73&gt;0,X73&amp;Language!$E$80&amp;Y73,"")</f>
        <v>2-2</v>
      </c>
      <c r="AD73" s="144"/>
      <c r="AE73" s="149">
        <f ca="1">IF($AA73=0,"",IF($X73&gt;$Y73,Settings!$C$4,IF($X73=$Y73,1,0)))</f>
        <v>1</v>
      </c>
      <c r="AF73" s="144">
        <f ca="1">IF($AA73=0,"",IF($X73&lt;$Y73,Settings!$C$4,IF($X73=$Y73,1,0)))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Knock Out Rangers</v>
      </c>
      <c r="W74" s="13" t="str">
        <f ca="1">'Finals 4'!$K22</f>
        <v>Maibach 1822 eV</v>
      </c>
      <c r="X74" s="13">
        <f ca="1">IF(AND('Finals 4'!$L22&lt;&gt;"",'Finals 4'!$N22&lt;&gt;"",$V74&lt;&gt;$W74,$V74&lt;&gt;"",$W74&lt;&gt;""),'Finals 4'!$L22,"")</f>
        <v>4</v>
      </c>
      <c r="Y74" s="36">
        <f ca="1">IF(AND('Finals 4'!$L22&lt;&gt;"",'Finals 4'!$N22&lt;&gt;"",$V74&lt;&gt;$W74,$V74&lt;&gt;"",$W74&lt;&gt;""),'Finals 4'!$N22,"")</f>
        <v>2</v>
      </c>
      <c r="Z74" s="35" t="str">
        <f ca="1">V74&amp;W74</f>
        <v>Knock Out RangersMaibach 1822 eV</v>
      </c>
      <c r="AA74" s="13">
        <f t="shared" ca="1" si="44"/>
        <v>1</v>
      </c>
      <c r="AB74" s="13" t="str">
        <f ca="1">IF(AA74&gt;0,X74&amp;Language!$E$80&amp;Y74,"")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Raslo Winners</v>
      </c>
      <c r="W75" s="13" t="str">
        <f ca="1">'Finals 4'!$K23</f>
        <v>Fun Kickers Oes</v>
      </c>
      <c r="X75" s="13">
        <f ca="1">IF(AND('Finals 4'!$L23&lt;&gt;"",'Finals 4'!$N23&lt;&gt;"",$V75&lt;&gt;$W75,$V75&lt;&gt;"",$W75&lt;&gt;""),'Finals 4'!$L23,"")</f>
        <v>4</v>
      </c>
      <c r="Y75" s="36">
        <f ca="1">IF(AND('Finals 4'!$L23&lt;&gt;"",'Finals 4'!$N23&lt;&gt;"",$V75&lt;&gt;$W75,$V75&lt;&gt;"",$W75&lt;&gt;""),'Finals 4'!$N23,"")</f>
        <v>3</v>
      </c>
      <c r="Z75" s="35" t="str">
        <f t="shared" ref="Z75:Z93" ca="1" si="45">V75&amp;W75</f>
        <v>Raslo WinnersFun Kickers Oes</v>
      </c>
      <c r="AA75" s="13">
        <f t="shared" ca="1" si="44"/>
        <v>1</v>
      </c>
      <c r="AB75" s="13" t="str">
        <f ca="1">IF(AA75&gt;0,X75&amp;Language!$E$80&amp;Y75,"")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FC Barcelona</v>
      </c>
      <c r="W76" s="13" t="str">
        <f ca="1">'Finals 4'!$K24</f>
        <v>Eintracht Frankfurt</v>
      </c>
      <c r="X76" s="13">
        <f ca="1">IF(AND('Finals 4'!$L24&lt;&gt;"",'Finals 4'!$N24&lt;&gt;"",$V76&lt;&gt;$W76,$V76&lt;&gt;"",$W76&lt;&gt;""),'Finals 4'!$L24,"")</f>
        <v>0</v>
      </c>
      <c r="Y76" s="36">
        <f ca="1">IF(AND('Finals 4'!$L24&lt;&gt;"",'Finals 4'!$N24&lt;&gt;"",$V76&lt;&gt;$W76,$V76&lt;&gt;"",$W76&lt;&gt;""),'Finals 4'!$N24,"")</f>
        <v>0</v>
      </c>
      <c r="Z76" s="35" t="str">
        <f t="shared" ca="1" si="45"/>
        <v>FC BarcelonaEintracht Frankfurt</v>
      </c>
      <c r="AA76" s="13">
        <f t="shared" ca="1" si="44"/>
        <v>1</v>
      </c>
      <c r="AB76" s="13" t="str">
        <f ca="1">IF(AA76&gt;0,X76&amp;Language!$E$80&amp;Y76,"")</f>
        <v>0-0</v>
      </c>
      <c r="AD76" s="144"/>
      <c r="AE76" s="149">
        <f ca="1">IF($AA76=0,"",IF($X76&gt;$Y76,Settings!$C$4,IF($X76=$Y76,1,0)))</f>
        <v>1</v>
      </c>
      <c r="AF76" s="144">
        <f ca="1">IF($AA76=0,"",IF($X76&lt;$Y76,Settings!$C$4,IF($X76=$Y76,1,0)))</f>
        <v>1</v>
      </c>
    </row>
    <row r="77" spans="2:43" s="2" customFormat="1" x14ac:dyDescent="0.2">
      <c r="B77" s="4"/>
      <c r="C77" s="4"/>
      <c r="D77" s="4"/>
      <c r="E77" s="4"/>
      <c r="F77" s="13"/>
      <c r="G77" s="13"/>
      <c r="H77" s="13"/>
      <c r="I77" s="13"/>
      <c r="J77" s="13"/>
      <c r="K77" s="13"/>
      <c r="L77" s="13"/>
      <c r="M77" s="13"/>
      <c r="U77" s="67" t="s">
        <v>29</v>
      </c>
      <c r="V77" s="41" t="str">
        <f ca="1">'Finals 4'!$I25</f>
        <v>VFL Ronsdorf</v>
      </c>
      <c r="W77" s="13" t="str">
        <f ca="1">'Finals 4'!$K25</f>
        <v>SSV Wildbach</v>
      </c>
      <c r="X77" s="13">
        <f ca="1">IF(AND('Finals 4'!$L25&lt;&gt;"",'Finals 4'!$N25&lt;&gt;"",$V77&lt;&gt;$W77,$V77&lt;&gt;"",$W77&lt;&gt;""),'Finals 4'!$L25,"")</f>
        <v>1</v>
      </c>
      <c r="Y77" s="36">
        <f ca="1">IF(AND('Finals 4'!$L25&lt;&gt;"",'Finals 4'!$N25&lt;&gt;"",$V77&lt;&gt;$W77,$V77&lt;&gt;"",$W77&lt;&gt;""),'Finals 4'!$N25,"")</f>
        <v>5</v>
      </c>
      <c r="Z77" s="35" t="str">
        <f t="shared" ca="1" si="45"/>
        <v>VFL RonsdorfSSV Wildbach</v>
      </c>
      <c r="AA77" s="13">
        <f t="shared" ca="1" si="44"/>
        <v>1</v>
      </c>
      <c r="AB77" s="13" t="str">
        <f ca="1">IF(AA77&gt;0,X77&amp;Language!$E$80&amp;Y77,"")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Borussia Heine</v>
      </c>
      <c r="W78" s="13" t="str">
        <f ca="1">'Finals 4'!$K26</f>
        <v>FC Grönlingen</v>
      </c>
      <c r="X78" s="13">
        <f ca="1">IF(AND('Finals 4'!$L26&lt;&gt;"",'Finals 4'!$N26&lt;&gt;"",$V78&lt;&gt;$W78,$V78&lt;&gt;"",$W78&lt;&gt;""),'Finals 4'!$L26,"")</f>
        <v>4</v>
      </c>
      <c r="Y78" s="36">
        <f ca="1">IF(AND('Finals 4'!$L26&lt;&gt;"",'Finals 4'!$N26&lt;&gt;"",$V78&lt;&gt;$W78,$V78&lt;&gt;"",$W78&lt;&gt;""),'Finals 4'!$N26,"")</f>
        <v>4</v>
      </c>
      <c r="Z78" s="35" t="str">
        <f t="shared" ca="1" si="45"/>
        <v>Borussia HeineFC Grönlingen</v>
      </c>
      <c r="AA78" s="13">
        <f t="shared" ca="1" si="44"/>
        <v>1</v>
      </c>
      <c r="AB78" s="13" t="str">
        <f ca="1">IF(AA78&gt;0,X78&amp;Language!$E$80&amp;Y78,"")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Inter Mailand</v>
      </c>
      <c r="W79" s="13" t="str">
        <f ca="1">'Finals 4'!$K27</f>
        <v>Mainz 05</v>
      </c>
      <c r="X79" s="13">
        <f ca="1">IF(AND('Finals 4'!$L27&lt;&gt;"",'Finals 4'!$N27&lt;&gt;"",$V79&lt;&gt;$W79,$V79&lt;&gt;"",$W79&lt;&gt;""),'Finals 4'!$L27,"")</f>
        <v>0</v>
      </c>
      <c r="Y79" s="36">
        <f ca="1">IF(AND('Finals 4'!$L27&lt;&gt;"",'Finals 4'!$N27&lt;&gt;"",$V79&lt;&gt;$W79,$V79&lt;&gt;"",$W79&lt;&gt;""),'Finals 4'!$N27,"")</f>
        <v>7</v>
      </c>
      <c r="Z79" s="35" t="str">
        <f t="shared" ca="1" si="45"/>
        <v>Inter MailandMainz 05</v>
      </c>
      <c r="AA79" s="13">
        <f t="shared" ca="1" si="44"/>
        <v>1</v>
      </c>
      <c r="AB79" s="13" t="str">
        <f ca="1">IF(AA79&gt;0,X79&amp;Language!$E$80&amp;Y79,"")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Manchester City</v>
      </c>
      <c r="W80" s="13" t="str">
        <f ca="1">'Finals 4'!$K28</f>
        <v>AC Roma</v>
      </c>
      <c r="X80" s="13">
        <f ca="1">IF(AND('Finals 4'!$L28&lt;&gt;"",'Finals 4'!$N28&lt;&gt;"",$V80&lt;&gt;$W80,$V80&lt;&gt;"",$W80&lt;&gt;""),'Finals 4'!$L28,"")</f>
        <v>2</v>
      </c>
      <c r="Y80" s="36">
        <f ca="1">IF(AND('Finals 4'!$L28&lt;&gt;"",'Finals 4'!$N28&lt;&gt;"",$V80&lt;&gt;$W80,$V80&lt;&gt;"",$W80&lt;&gt;""),'Finals 4'!$N28,"")</f>
        <v>8</v>
      </c>
      <c r="Z80" s="35" t="str">
        <f t="shared" ca="1" si="45"/>
        <v>Manchester CityAC Roma</v>
      </c>
      <c r="AA80" s="13">
        <f t="shared" ca="1" si="44"/>
        <v>1</v>
      </c>
      <c r="AB80" s="13" t="str">
        <f ca="1">IF(AA80&gt;0,X80&amp;Language!$E$80&amp;Y80,"")</f>
        <v>2-8</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1. FC Riedwald</v>
      </c>
      <c r="W81" s="13" t="str">
        <f ca="1">'Finals 4'!$K29</f>
        <v>SSV Wildbach</v>
      </c>
      <c r="X81" s="13">
        <f ca="1">IF(AND('Finals 4'!$L29&lt;&gt;"",'Finals 4'!$N29&lt;&gt;"",$V81&lt;&gt;$W81,$V81&lt;&gt;"",$W81&lt;&gt;""),'Finals 4'!$L29,"")</f>
        <v>3</v>
      </c>
      <c r="Y81" s="36">
        <f ca="1">IF(AND('Finals 4'!$L29&lt;&gt;"",'Finals 4'!$N29&lt;&gt;"",$V81&lt;&gt;$W81,$V81&lt;&gt;"",$W81&lt;&gt;""),'Finals 4'!$N29,"")</f>
        <v>9</v>
      </c>
      <c r="Z81" s="35" t="str">
        <f t="shared" ca="1" si="45"/>
        <v>1. FC RiedwaldSSV Wildbach</v>
      </c>
      <c r="AA81" s="13">
        <f t="shared" ca="1" si="44"/>
        <v>1</v>
      </c>
      <c r="AB81" s="13" t="str">
        <f ca="1">IF(AA81&gt;0,X81&amp;Language!$E$80&amp;Y81,"")</f>
        <v>3-9</v>
      </c>
      <c r="AC81" s="4"/>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'Finals 4'!$I30</f>
        <v>Maibach 1822 eV</v>
      </c>
      <c r="W82" s="13" t="str">
        <f ca="1">'Finals 4'!$K30</f>
        <v>FC Grönlingen</v>
      </c>
      <c r="X82" s="13">
        <f ca="1">IF(AND('Finals 4'!$L30&lt;&gt;"",'Finals 4'!$N30&lt;&gt;"",$V82&lt;&gt;$W82,$V82&lt;&gt;"",$W82&lt;&gt;""),'Finals 4'!$L30,"")</f>
        <v>4</v>
      </c>
      <c r="Y82" s="36">
        <f ca="1">IF(AND('Finals 4'!$L30&lt;&gt;"",'Finals 4'!$N30&lt;&gt;"",$V82&lt;&gt;$W82,$V82&lt;&gt;"",$W82&lt;&gt;""),'Finals 4'!$N30,"")</f>
        <v>10</v>
      </c>
      <c r="Z82" s="35" t="str">
        <f t="shared" ca="1" si="45"/>
        <v>Maibach 1822 eVFC Grönlingen</v>
      </c>
      <c r="AA82" s="13">
        <f t="shared" ca="1" si="44"/>
        <v>1</v>
      </c>
      <c r="AB82" s="13" t="str">
        <f ca="1">IF(AA82&gt;0,X82&amp;Language!$E$80&amp;Y82,"")</f>
        <v>4-10</v>
      </c>
      <c r="AC82" s="4"/>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Fun Kickers Oes</v>
      </c>
      <c r="W83" s="13" t="str">
        <f ca="1">'Finals 4'!$K31</f>
        <v>Mainz 05</v>
      </c>
      <c r="X83" s="13">
        <f ca="1">IF(AND('Finals 4'!$L31&lt;&gt;"",'Finals 4'!$N31&lt;&gt;"",$V83&lt;&gt;$W83,$V83&lt;&gt;"",$W83&lt;&gt;""),'Finals 4'!$L31,"")</f>
        <v>5</v>
      </c>
      <c r="Y83" s="36">
        <f ca="1">IF(AND('Finals 4'!$L31&lt;&gt;"",'Finals 4'!$N31&lt;&gt;"",$V83&lt;&gt;$W83,$V83&lt;&gt;"",$W83&lt;&gt;""),'Finals 4'!$N31,"")</f>
        <v>11</v>
      </c>
      <c r="Z83" s="35" t="str">
        <f t="shared" ca="1" si="45"/>
        <v>Fun Kickers OesMainz 05</v>
      </c>
      <c r="AA83" s="13">
        <f t="shared" ca="1" si="44"/>
        <v>1</v>
      </c>
      <c r="AB83" s="13" t="str">
        <f ca="1">IF(AA83&gt;0,X83&amp;Language!$E$80&amp;Y83,"")</f>
        <v>5-11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'Finals 4'!$I32</f>
        <v>Eintracht Frankfurt</v>
      </c>
      <c r="W84" s="13" t="str">
        <f ca="1">'Finals 4'!$K32</f>
        <v>AC Roma</v>
      </c>
      <c r="X84" s="13">
        <f ca="1">IF(AND('Finals 4'!$L32&lt;&gt;"",'Finals 4'!$N32&lt;&gt;"",$V84&lt;&gt;$W84,$V84&lt;&gt;"",$W84&lt;&gt;""),'Finals 4'!$L32,"")</f>
        <v>6</v>
      </c>
      <c r="Y84" s="36">
        <f ca="1">IF(AND('Finals 4'!$L32&lt;&gt;"",'Finals 4'!$N32&lt;&gt;"",$V84&lt;&gt;$W84,$V84&lt;&gt;"",$W84&lt;&gt;""),'Finals 4'!$N32,"")</f>
        <v>12</v>
      </c>
      <c r="Z84" s="35" t="str">
        <f t="shared" ca="1" si="45"/>
        <v>Eintracht FrankfurtAC Roma</v>
      </c>
      <c r="AA84" s="13">
        <f t="shared" ca="1" si="44"/>
        <v>1</v>
      </c>
      <c r="AB84" s="13" t="str">
        <f ca="1">IF(AA84&gt;0,X84&amp;Language!$E$80&amp;Y84,"")</f>
        <v>6-12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VFL Ronsdorf</v>
      </c>
      <c r="X85" s="13">
        <f ca="1">IF(AND('Finals 4'!$L33&lt;&gt;"",'Finals 4'!$N33&lt;&gt;"",$V85&lt;&gt;$W85,$V85&lt;&gt;"",$W85&lt;&gt;""),'Finals 4'!$L33,"")</f>
        <v>7</v>
      </c>
      <c r="Y85" s="36">
        <f ca="1">IF(AND('Finals 4'!$L33&lt;&gt;"",'Finals 4'!$N33&lt;&gt;"",$V85&lt;&gt;$W85,$V85&lt;&gt;"",$W85&lt;&gt;""),'Finals 4'!$N33,"")</f>
        <v>13</v>
      </c>
      <c r="Z85" s="35" t="str">
        <f t="shared" ca="1" si="45"/>
        <v>VFB EssenheimVFL Ronsdorf</v>
      </c>
      <c r="AA85" s="13">
        <f t="shared" ca="1" si="44"/>
        <v>1</v>
      </c>
      <c r="AB85" s="13" t="str">
        <f ca="1">IF(AA85&gt;0,X85&amp;Language!$E$80&amp;Y85,"")</f>
        <v>7-13</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Knock Out Rangers</v>
      </c>
      <c r="W86" s="13" t="str">
        <f ca="1">'Finals 4'!$K34</f>
        <v>Borussia Heine</v>
      </c>
      <c r="X86" s="13">
        <f ca="1">IF(AND('Finals 4'!$L34&lt;&gt;"",'Finals 4'!$N34&lt;&gt;"",$V86&lt;&gt;$W86,$V86&lt;&gt;"",$W86&lt;&gt;""),'Finals 4'!$L34,"")</f>
        <v>8</v>
      </c>
      <c r="Y86" s="36">
        <f ca="1">IF(AND('Finals 4'!$L34&lt;&gt;"",'Finals 4'!$N34&lt;&gt;"",$V86&lt;&gt;$W86,$V86&lt;&gt;"",$W86&lt;&gt;""),'Finals 4'!$N34,"")</f>
        <v>14</v>
      </c>
      <c r="Z86" s="35" t="str">
        <f t="shared" ca="1" si="45"/>
        <v>Knock Out RangersBorussia Heine</v>
      </c>
      <c r="AA86" s="13">
        <f t="shared" ca="1" si="44"/>
        <v>1</v>
      </c>
      <c r="AB86" s="13" t="str">
        <f ca="1">IF(AA86&gt;0,X86&amp;Language!$E$80&amp;Y86,"")</f>
        <v>8-14</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'Finals 4'!$I35</f>
        <v>Raslo Winners</v>
      </c>
      <c r="W87" s="13" t="str">
        <f ca="1">'Finals 4'!$K35</f>
        <v>Inter Mailand</v>
      </c>
      <c r="X87" s="13">
        <f ca="1">IF(AND('Finals 4'!$L35&lt;&gt;"",'Finals 4'!$N35&lt;&gt;"",$V87&lt;&gt;$W87,$V87&lt;&gt;"",$W87&lt;&gt;""),'Finals 4'!$L35,"")</f>
        <v>9</v>
      </c>
      <c r="Y87" s="36">
        <f ca="1">IF(AND('Finals 4'!$L35&lt;&gt;"",'Finals 4'!$N35&lt;&gt;"",$V87&lt;&gt;$W87,$V87&lt;&gt;"",$W87&lt;&gt;""),'Finals 4'!$N35,"")</f>
        <v>15</v>
      </c>
      <c r="Z87" s="35" t="str">
        <f t="shared" ca="1" si="45"/>
        <v>Raslo WinnersInter Mailand</v>
      </c>
      <c r="AA87" s="13">
        <f t="shared" ca="1" si="44"/>
        <v>1</v>
      </c>
      <c r="AB87" s="13" t="str">
        <f ca="1">IF(AA87&gt;0,X87&amp;Language!$E$80&amp;Y87,"")</f>
        <v>9-15</v>
      </c>
      <c r="AD87" s="144"/>
      <c r="AE87" s="149">
        <f ca="1">IF($AA87=0,"",IF($X87&gt;$Y87,Settings!$C$4,IF($X87=$Y87,1,0)))</f>
        <v>0</v>
      </c>
      <c r="AF87" s="144">
        <f ca="1">IF($AA87=0,"",IF($X87&lt;$Y87,Settings!$C$4,IF($X87=$Y87,1,0)))</f>
        <v>3</v>
      </c>
    </row>
    <row r="88" spans="2:32" s="2" customFormat="1" x14ac:dyDescent="0.2">
      <c r="B88" s="4"/>
      <c r="C88" s="4"/>
      <c r="D88" s="4"/>
      <c r="E88" s="4"/>
      <c r="F88" s="13"/>
      <c r="G88" s="13"/>
      <c r="H88" s="13"/>
      <c r="I88" s="13"/>
      <c r="J88" s="13"/>
      <c r="K88" s="13"/>
      <c r="L88" s="13"/>
      <c r="M88" s="13"/>
      <c r="U88" s="67" t="s">
        <v>40</v>
      </c>
      <c r="V88" s="41" t="str">
        <f ca="1">'Finals 4'!$I36</f>
        <v>FC Barcelona</v>
      </c>
      <c r="W88" s="13" t="str">
        <f ca="1">'Finals 4'!$K36</f>
        <v>Manchester City</v>
      </c>
      <c r="X88" s="13">
        <f ca="1">IF(AND('Finals 4'!$L36&lt;&gt;"",'Finals 4'!$N36&lt;&gt;"",$V88&lt;&gt;$W88,$V88&lt;&gt;"",$W88&lt;&gt;""),'Finals 4'!$L36,"")</f>
        <v>4</v>
      </c>
      <c r="Y88" s="36">
        <f ca="1">IF(AND('Finals 4'!$L36&lt;&gt;"",'Finals 4'!$N36&lt;&gt;"",$V88&lt;&gt;$W88,$V88&lt;&gt;"",$W88&lt;&gt;""),'Finals 4'!$N36,"")</f>
        <v>0</v>
      </c>
      <c r="Z88" s="35" t="str">
        <f t="shared" ca="1" si="45"/>
        <v>FC BarcelonaManchester City</v>
      </c>
      <c r="AA88" s="13">
        <f t="shared" ca="1" si="44"/>
        <v>1</v>
      </c>
      <c r="AB88" s="13" t="str">
        <f ca="1">IF(AA88&gt;0,X88&amp;Language!$E$80&amp;Y88,"")</f>
        <v>4-0</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IF(AA89&gt;0,X89&amp;Language!$E$80&amp;Y89,"")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IF(AA90&gt;0,X90&amp;Language!$E$80&amp;Y90,"")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IF(AA91&gt;0,X91&amp;Language!$E$80&amp;Y91,"")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IF(AA92&gt;0,X92&amp;Language!$E$80&amp;Y92,"")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IF(AA93&gt;0,X93&amp;Language!$E$80&amp;Y93,"")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IF(AA136&gt;0,Y64&amp;Language!$E$80&amp;X64,"")</f>
        <v/>
      </c>
      <c r="AD136" s="144"/>
    </row>
    <row r="137" spans="2:32" x14ac:dyDescent="0.2">
      <c r="Y137" s="67" t="s">
        <v>8</v>
      </c>
      <c r="Z137" s="35" t="str">
        <f ca="1">W65&amp;V65</f>
        <v>SSV WildbachVFB Essenheim</v>
      </c>
      <c r="AA137" s="13">
        <f t="shared" ref="AA137:AA200" ca="1" si="47">AA65</f>
        <v>1</v>
      </c>
      <c r="AB137" s="13" t="str">
        <f ca="1">IF(AA137&gt;0,Y65&amp;Language!$E$80&amp;X65,"")</f>
        <v>4-2</v>
      </c>
      <c r="AC137" s="2"/>
      <c r="AD137" s="144"/>
    </row>
    <row r="138" spans="2:32" x14ac:dyDescent="0.2">
      <c r="Y138" s="67" t="s">
        <v>9</v>
      </c>
      <c r="Z138" s="35" t="str">
        <f t="shared" ref="Z138:Z201" ca="1" si="48">W66&amp;V66</f>
        <v>FC GrönlingenKnock Out Rangers</v>
      </c>
      <c r="AA138" s="13">
        <f t="shared" ca="1" si="47"/>
        <v>1</v>
      </c>
      <c r="AB138" s="13" t="str">
        <f ca="1">IF(AA138&gt;0,Y66&amp;Language!$E$80&amp;X66,"")</f>
        <v>1-2</v>
      </c>
      <c r="AC138" s="2"/>
      <c r="AD138" s="144"/>
    </row>
    <row r="139" spans="2:32" x14ac:dyDescent="0.2">
      <c r="Y139" s="67" t="s">
        <v>10</v>
      </c>
      <c r="Z139" s="35" t="str">
        <f t="shared" ca="1" si="48"/>
        <v>Mainz 05Raslo Winners</v>
      </c>
      <c r="AA139" s="13">
        <f t="shared" ca="1" si="47"/>
        <v>1</v>
      </c>
      <c r="AB139" s="13" t="str">
        <f ca="1">IF(AA139&gt;0,Y67&amp;Language!$E$80&amp;X67,"")</f>
        <v>1-1</v>
      </c>
      <c r="AC139" s="2"/>
      <c r="AD139" s="144"/>
    </row>
    <row r="140" spans="2:32" x14ac:dyDescent="0.2">
      <c r="Y140" s="67" t="s">
        <v>11</v>
      </c>
      <c r="Z140" s="35" t="str">
        <f t="shared" ca="1" si="48"/>
        <v>AC RomaFC Barcelona</v>
      </c>
      <c r="AA140" s="13">
        <f t="shared" ca="1" si="47"/>
        <v>1</v>
      </c>
      <c r="AB140" s="13" t="str">
        <f ca="1">IF(AA140&gt;0,Y68&amp;Language!$E$80&amp;X68,"")</f>
        <v>1-5</v>
      </c>
      <c r="AC140" s="2"/>
      <c r="AD140" s="144"/>
    </row>
    <row r="141" spans="2:32" x14ac:dyDescent="0.2">
      <c r="Y141" s="67" t="s">
        <v>12</v>
      </c>
      <c r="Z141" s="35" t="str">
        <f t="shared" ca="1" si="48"/>
        <v>1. FC RiedwaldVFL Ronsdorf</v>
      </c>
      <c r="AA141" s="13">
        <f t="shared" ca="1" si="47"/>
        <v>1</v>
      </c>
      <c r="AB141" s="13" t="str">
        <f ca="1">IF(AA141&gt;0,Y69&amp;Language!$E$80&amp;X69,"")</f>
        <v>0-2</v>
      </c>
      <c r="AC141" s="2"/>
      <c r="AD141" s="144"/>
    </row>
    <row r="142" spans="2:32" x14ac:dyDescent="0.2">
      <c r="Y142" s="67" t="s">
        <v>17</v>
      </c>
      <c r="Z142" s="35" t="str">
        <f t="shared" ca="1" si="48"/>
        <v>Maibach 1822 eVBorussia Heine</v>
      </c>
      <c r="AA142" s="13">
        <f t="shared" ca="1" si="47"/>
        <v>1</v>
      </c>
      <c r="AB142" s="13" t="str">
        <f ca="1">IF(AA142&gt;0,Y70&amp;Language!$E$80&amp;X70,"")</f>
        <v>2-1</v>
      </c>
      <c r="AC142" s="2"/>
      <c r="AD142" s="144"/>
    </row>
    <row r="143" spans="2:32" x14ac:dyDescent="0.2">
      <c r="Y143" s="67" t="s">
        <v>18</v>
      </c>
      <c r="Z143" s="35" t="str">
        <f t="shared" ca="1" si="48"/>
        <v>Fun Kickers OesInter Mailand</v>
      </c>
      <c r="AA143" s="13">
        <f t="shared" ca="1" si="47"/>
        <v>1</v>
      </c>
      <c r="AB143" s="13" t="str">
        <f ca="1">IF(AA143&gt;0,Y71&amp;Language!$E$80&amp;X71,"")</f>
        <v>3-5</v>
      </c>
      <c r="AC143" s="2"/>
      <c r="AD143" s="144"/>
    </row>
    <row r="144" spans="2:32" x14ac:dyDescent="0.2">
      <c r="Y144" s="67" t="s">
        <v>19</v>
      </c>
      <c r="Z144" s="35" t="str">
        <f t="shared" ca="1" si="48"/>
        <v>Eintracht FrankfurtManchester City</v>
      </c>
      <c r="AA144" s="13">
        <f t="shared" ca="1" si="47"/>
        <v>1</v>
      </c>
      <c r="AB144" s="13" t="str">
        <f ca="1">IF(AA144&gt;0,Y72&amp;Language!$E$80&amp;X72,"")</f>
        <v>1-2</v>
      </c>
      <c r="AC144" s="2"/>
      <c r="AD144" s="144"/>
    </row>
    <row r="145" spans="25:30" x14ac:dyDescent="0.2">
      <c r="Y145" s="67" t="s">
        <v>25</v>
      </c>
      <c r="Z145" s="35" t="str">
        <f t="shared" ca="1" si="48"/>
        <v>1. FC RiedwaldVFB Essenheim</v>
      </c>
      <c r="AA145" s="13">
        <f t="shared" ca="1" si="47"/>
        <v>1</v>
      </c>
      <c r="AB145" s="13" t="str">
        <f ca="1">IF(AA145&gt;0,Y73&amp;Language!$E$80&amp;X73,"")</f>
        <v>2-2</v>
      </c>
      <c r="AC145" s="2"/>
      <c r="AD145" s="144"/>
    </row>
    <row r="146" spans="25:30" x14ac:dyDescent="0.2">
      <c r="Y146" s="67" t="s">
        <v>26</v>
      </c>
      <c r="Z146" s="35" t="str">
        <f t="shared" ca="1" si="48"/>
        <v>Maibach 1822 eVKnock Out Rangers</v>
      </c>
      <c r="AA146" s="13">
        <f t="shared" ca="1" si="47"/>
        <v>1</v>
      </c>
      <c r="AB146" s="13" t="str">
        <f ca="1">IF(AA146&gt;0,Y74&amp;Language!$E$80&amp;X74,"")</f>
        <v>2-4</v>
      </c>
      <c r="AC146" s="2"/>
      <c r="AD146" s="144"/>
    </row>
    <row r="147" spans="25:30" x14ac:dyDescent="0.2">
      <c r="Y147" s="67" t="s">
        <v>27</v>
      </c>
      <c r="Z147" s="35" t="str">
        <f t="shared" ca="1" si="48"/>
        <v>Fun Kickers OesRaslo Winners</v>
      </c>
      <c r="AA147" s="13">
        <f t="shared" ca="1" si="47"/>
        <v>1</v>
      </c>
      <c r="AB147" s="13" t="str">
        <f ca="1">IF(AA147&gt;0,Y75&amp;Language!$E$80&amp;X75,"")</f>
        <v>3-4</v>
      </c>
      <c r="AC147" s="2"/>
      <c r="AD147" s="144"/>
    </row>
    <row r="148" spans="25:30" x14ac:dyDescent="0.2">
      <c r="Y148" s="67" t="s">
        <v>28</v>
      </c>
      <c r="Z148" s="35" t="str">
        <f t="shared" ca="1" si="48"/>
        <v>Eintracht FrankfurtFC Barcelona</v>
      </c>
      <c r="AA148" s="13">
        <f t="shared" ca="1" si="47"/>
        <v>1</v>
      </c>
      <c r="AB148" s="13" t="str">
        <f ca="1">IF(AA148&gt;0,Y76&amp;Language!$E$80&amp;X76,"")</f>
        <v>0-0</v>
      </c>
      <c r="AC148" s="2"/>
      <c r="AD148" s="144"/>
    </row>
    <row r="149" spans="25:30" x14ac:dyDescent="0.2">
      <c r="Y149" s="67" t="s">
        <v>29</v>
      </c>
      <c r="Z149" s="35" t="str">
        <f t="shared" ca="1" si="48"/>
        <v>SSV WildbachVFL Ronsdorf</v>
      </c>
      <c r="AA149" s="13">
        <f t="shared" ca="1" si="47"/>
        <v>1</v>
      </c>
      <c r="AB149" s="13" t="str">
        <f ca="1">IF(AA149&gt;0,Y77&amp;Language!$E$80&amp;X77,"")</f>
        <v>5-1</v>
      </c>
      <c r="AC149" s="2"/>
      <c r="AD149" s="144"/>
    </row>
    <row r="150" spans="25:30" x14ac:dyDescent="0.2">
      <c r="Y150" s="67" t="s">
        <v>30</v>
      </c>
      <c r="Z150" s="35" t="str">
        <f t="shared" ca="1" si="48"/>
        <v>FC GrönlingenBorussia Heine</v>
      </c>
      <c r="AA150" s="13">
        <f t="shared" ca="1" si="47"/>
        <v>1</v>
      </c>
      <c r="AB150" s="13" t="str">
        <f ca="1">IF(AA150&gt;0,Y78&amp;Language!$E$80&amp;X78,"")</f>
        <v>4-4</v>
      </c>
      <c r="AC150" s="2"/>
      <c r="AD150" s="144"/>
    </row>
    <row r="151" spans="25:30" x14ac:dyDescent="0.2">
      <c r="Y151" s="67" t="s">
        <v>31</v>
      </c>
      <c r="Z151" s="35" t="str">
        <f t="shared" ca="1" si="48"/>
        <v>Mainz 05Inter Mailand</v>
      </c>
      <c r="AA151" s="13">
        <f t="shared" ca="1" si="47"/>
        <v>1</v>
      </c>
      <c r="AB151" s="13" t="str">
        <f ca="1">IF(AA151&gt;0,Y79&amp;Language!$E$80&amp;X79,"")</f>
        <v>7-0</v>
      </c>
      <c r="AC151" s="2"/>
      <c r="AD151" s="144"/>
    </row>
    <row r="152" spans="25:30" x14ac:dyDescent="0.2">
      <c r="Y152" s="67" t="s">
        <v>32</v>
      </c>
      <c r="Z152" s="35" t="str">
        <f t="shared" ca="1" si="48"/>
        <v>AC RomaManchester City</v>
      </c>
      <c r="AA152" s="13">
        <f t="shared" ca="1" si="47"/>
        <v>1</v>
      </c>
      <c r="AB152" s="13" t="str">
        <f ca="1">IF(AA152&gt;0,Y80&amp;Language!$E$80&amp;X80,"")</f>
        <v>8-2</v>
      </c>
      <c r="AC152" s="2"/>
      <c r="AD152" s="144"/>
    </row>
    <row r="153" spans="25:30" x14ac:dyDescent="0.2">
      <c r="Y153" s="67" t="s">
        <v>33</v>
      </c>
      <c r="Z153" s="35" t="str">
        <f t="shared" ca="1" si="48"/>
        <v>SSV Wildbach1. FC Riedwald</v>
      </c>
      <c r="AA153" s="13">
        <f t="shared" ca="1" si="47"/>
        <v>1</v>
      </c>
      <c r="AB153" s="13" t="str">
        <f ca="1">IF(AA153&gt;0,Y81&amp;Language!$E$80&amp;X81,"")</f>
        <v>9-3</v>
      </c>
      <c r="AC153" s="2"/>
      <c r="AD153" s="144"/>
    </row>
    <row r="154" spans="25:30" x14ac:dyDescent="0.2">
      <c r="Y154" s="67" t="s">
        <v>34</v>
      </c>
      <c r="Z154" s="35" t="str">
        <f t="shared" ca="1" si="48"/>
        <v>FC GrönlingenMaibach 1822 eV</v>
      </c>
      <c r="AA154" s="13">
        <f t="shared" ca="1" si="47"/>
        <v>1</v>
      </c>
      <c r="AB154" s="13" t="str">
        <f ca="1">IF(AA154&gt;0,Y82&amp;Language!$E$80&amp;X82,"")</f>
        <v>10-4</v>
      </c>
      <c r="AC154" s="2"/>
      <c r="AD154" s="144"/>
    </row>
    <row r="155" spans="25:30" x14ac:dyDescent="0.2">
      <c r="Y155" s="67" t="s">
        <v>35</v>
      </c>
      <c r="Z155" s="35" t="str">
        <f t="shared" ca="1" si="48"/>
        <v>Mainz 05Fun Kickers Oes</v>
      </c>
      <c r="AA155" s="13">
        <f t="shared" ca="1" si="47"/>
        <v>1</v>
      </c>
      <c r="AB155" s="13" t="str">
        <f ca="1">IF(AA155&gt;0,Y83&amp;Language!$E$80&amp;X83,"")</f>
        <v>11-5</v>
      </c>
      <c r="AC155" s="2"/>
      <c r="AD155" s="144"/>
    </row>
    <row r="156" spans="25:30" x14ac:dyDescent="0.2">
      <c r="Y156" s="67" t="s">
        <v>36</v>
      </c>
      <c r="Z156" s="35" t="str">
        <f t="shared" ca="1" si="48"/>
        <v>AC RomaEintracht Frankfurt</v>
      </c>
      <c r="AA156" s="13">
        <f t="shared" ca="1" si="47"/>
        <v>1</v>
      </c>
      <c r="AB156" s="13" t="str">
        <f ca="1">IF(AA156&gt;0,Y84&amp;Language!$E$80&amp;X84,"")</f>
        <v>12-6</v>
      </c>
      <c r="AC156" s="2"/>
      <c r="AD156" s="144"/>
    </row>
    <row r="157" spans="25:30" x14ac:dyDescent="0.2">
      <c r="Y157" s="67" t="s">
        <v>37</v>
      </c>
      <c r="Z157" s="35" t="str">
        <f t="shared" ca="1" si="48"/>
        <v>VFL RonsdorfVFB Essenheim</v>
      </c>
      <c r="AA157" s="13">
        <f t="shared" ca="1" si="47"/>
        <v>1</v>
      </c>
      <c r="AB157" s="13" t="str">
        <f ca="1">IF(AA157&gt;0,Y85&amp;Language!$E$80&amp;X85,"")</f>
        <v>13-7</v>
      </c>
      <c r="AC157" s="2"/>
      <c r="AD157" s="144"/>
    </row>
    <row r="158" spans="25:30" x14ac:dyDescent="0.2">
      <c r="Y158" s="67" t="s">
        <v>38</v>
      </c>
      <c r="Z158" s="35" t="str">
        <f t="shared" ca="1" si="48"/>
        <v>Borussia HeineKnock Out Rangers</v>
      </c>
      <c r="AA158" s="13">
        <f t="shared" ca="1" si="47"/>
        <v>1</v>
      </c>
      <c r="AB158" s="13" t="str">
        <f ca="1">IF(AA158&gt;0,Y86&amp;Language!$E$80&amp;X86,"")</f>
        <v>14-8</v>
      </c>
      <c r="AC158" s="2"/>
      <c r="AD158" s="144"/>
    </row>
    <row r="159" spans="25:30" x14ac:dyDescent="0.2">
      <c r="Y159" s="67" t="s">
        <v>39</v>
      </c>
      <c r="Z159" s="35" t="str">
        <f t="shared" ca="1" si="48"/>
        <v>Inter MailandRaslo Winners</v>
      </c>
      <c r="AA159" s="13">
        <f t="shared" ca="1" si="47"/>
        <v>1</v>
      </c>
      <c r="AB159" s="13" t="str">
        <f ca="1">IF(AA159&gt;0,Y87&amp;Language!$E$80&amp;X87,"")</f>
        <v>15-9</v>
      </c>
      <c r="AC159" s="2"/>
      <c r="AD159" s="144"/>
    </row>
    <row r="160" spans="25:30" x14ac:dyDescent="0.2">
      <c r="Y160" s="67" t="s">
        <v>40</v>
      </c>
      <c r="Z160" s="35" t="str">
        <f t="shared" ca="1" si="48"/>
        <v>Manchester CityFC Barcelona</v>
      </c>
      <c r="AA160" s="13">
        <f t="shared" ca="1" si="47"/>
        <v>1</v>
      </c>
      <c r="AB160" s="13" t="str">
        <f ca="1">IF(AA160&gt;0,Y88&amp;Language!$E$80&amp;X88,"")</f>
        <v>0-4</v>
      </c>
      <c r="AC160" s="2"/>
      <c r="AD160" s="144"/>
    </row>
    <row r="161" spans="25:30" x14ac:dyDescent="0.2">
      <c r="Y161" s="67" t="s">
        <v>41</v>
      </c>
      <c r="Z161" s="35" t="str">
        <f t="shared" si="48"/>
        <v/>
      </c>
      <c r="AA161" s="13">
        <f t="shared" si="47"/>
        <v>0</v>
      </c>
      <c r="AB161" s="13" t="str">
        <f>IF(AA161&gt;0,Y89&amp;Language!$E$80&amp;X89,"")</f>
        <v/>
      </c>
      <c r="AC161" s="2"/>
      <c r="AD161" s="144"/>
    </row>
    <row r="162" spans="25:30" x14ac:dyDescent="0.2">
      <c r="Y162" s="67" t="s">
        <v>42</v>
      </c>
      <c r="Z162" s="35" t="str">
        <f t="shared" si="48"/>
        <v/>
      </c>
      <c r="AA162" s="13">
        <f t="shared" si="47"/>
        <v>0</v>
      </c>
      <c r="AB162" s="13" t="str">
        <f>IF(AA162&gt;0,Y90&amp;Language!$E$80&amp;X90,"")</f>
        <v/>
      </c>
      <c r="AC162" s="2"/>
      <c r="AD162" s="144"/>
    </row>
    <row r="163" spans="25:30" x14ac:dyDescent="0.2">
      <c r="Y163" s="67" t="s">
        <v>43</v>
      </c>
      <c r="Z163" s="35" t="str">
        <f t="shared" si="48"/>
        <v/>
      </c>
      <c r="AA163" s="13">
        <f t="shared" si="47"/>
        <v>0</v>
      </c>
      <c r="AB163" s="13" t="str">
        <f>IF(AA163&gt;0,Y91&amp;Language!$E$80&amp;X91,"")</f>
        <v/>
      </c>
      <c r="AC163" s="2"/>
      <c r="AD163" s="144"/>
    </row>
    <row r="164" spans="25:30" x14ac:dyDescent="0.2">
      <c r="Y164" s="67" t="s">
        <v>44</v>
      </c>
      <c r="Z164" s="35" t="str">
        <f t="shared" si="48"/>
        <v/>
      </c>
      <c r="AA164" s="13">
        <f t="shared" si="47"/>
        <v>0</v>
      </c>
      <c r="AB164" s="13" t="str">
        <f>IF(AA164&gt;0,Y92&amp;Language!$E$80&amp;X92,"")</f>
        <v/>
      </c>
      <c r="AC164" s="2"/>
      <c r="AD164" s="144"/>
    </row>
    <row r="165" spans="25:30" x14ac:dyDescent="0.2">
      <c r="Y165" s="67" t="s">
        <v>45</v>
      </c>
      <c r="Z165" s="35" t="str">
        <f t="shared" si="48"/>
        <v/>
      </c>
      <c r="AA165" s="13">
        <f t="shared" si="47"/>
        <v>0</v>
      </c>
      <c r="AB165" s="13" t="str">
        <f>IF(AA165&gt;0,Y93&amp;Language!$E$80&amp;X93,"")</f>
        <v/>
      </c>
      <c r="AC165" s="2"/>
      <c r="AD165" s="144"/>
    </row>
    <row r="166" spans="25:30" x14ac:dyDescent="0.2">
      <c r="Y166" s="67" t="s">
        <v>46</v>
      </c>
      <c r="Z166" s="35" t="str">
        <f t="shared" si="48"/>
        <v/>
      </c>
      <c r="AA166" s="13">
        <f t="shared" si="47"/>
        <v>0</v>
      </c>
      <c r="AB166" s="13" t="str">
        <f>IF(AA166&gt;0,Y94&amp;Language!$E$80&amp;X94,"")</f>
        <v/>
      </c>
      <c r="AC166" s="2"/>
      <c r="AD166" s="144"/>
    </row>
    <row r="167" spans="25:30" x14ac:dyDescent="0.2">
      <c r="Y167" s="67" t="s">
        <v>47</v>
      </c>
      <c r="Z167" s="35" t="str">
        <f t="shared" si="48"/>
        <v/>
      </c>
      <c r="AA167" s="13">
        <f t="shared" si="47"/>
        <v>0</v>
      </c>
      <c r="AB167" s="13" t="str">
        <f>IF(AA167&gt;0,Y95&amp;Language!$E$80&amp;X95,"")</f>
        <v/>
      </c>
      <c r="AC167" s="2"/>
      <c r="AD167" s="144"/>
    </row>
    <row r="168" spans="25:30" x14ac:dyDescent="0.2">
      <c r="Y168" s="67" t="s">
        <v>48</v>
      </c>
      <c r="Z168" s="35" t="str">
        <f t="shared" si="48"/>
        <v/>
      </c>
      <c r="AA168" s="13">
        <f t="shared" si="47"/>
        <v>0</v>
      </c>
      <c r="AB168" s="13" t="str">
        <f>IF(AA168&gt;0,Y96&amp;Language!$E$80&amp;X96,"")</f>
        <v/>
      </c>
      <c r="AC168" s="2"/>
      <c r="AD168" s="144"/>
    </row>
    <row r="169" spans="25:30" x14ac:dyDescent="0.2">
      <c r="Y169" s="67" t="s">
        <v>49</v>
      </c>
      <c r="Z169" s="35" t="str">
        <f t="shared" si="48"/>
        <v/>
      </c>
      <c r="AA169" s="13">
        <f t="shared" si="47"/>
        <v>0</v>
      </c>
      <c r="AB169" s="13" t="str">
        <f>IF(AA169&gt;0,Y97&amp;Language!$E$80&amp;X97,"")</f>
        <v/>
      </c>
      <c r="AC169" s="2"/>
      <c r="AD169" s="144"/>
    </row>
    <row r="170" spans="25:30" x14ac:dyDescent="0.2">
      <c r="Y170" s="67" t="s">
        <v>50</v>
      </c>
      <c r="Z170" s="35" t="str">
        <f t="shared" si="48"/>
        <v/>
      </c>
      <c r="AA170" s="13">
        <f t="shared" si="47"/>
        <v>0</v>
      </c>
      <c r="AB170" s="13" t="str">
        <f>IF(AA170&gt;0,Y98&amp;Language!$E$80&amp;X98,"")</f>
        <v/>
      </c>
      <c r="AC170" s="2"/>
      <c r="AD170" s="144"/>
    </row>
    <row r="171" spans="25:30" x14ac:dyDescent="0.2">
      <c r="Y171" s="67" t="s">
        <v>51</v>
      </c>
      <c r="Z171" s="35" t="str">
        <f t="shared" si="48"/>
        <v/>
      </c>
      <c r="AA171" s="13">
        <f t="shared" si="47"/>
        <v>0</v>
      </c>
      <c r="AB171" s="13" t="str">
        <f>IF(AA171&gt;0,Y99&amp;Language!$E$80&amp;X99,"")</f>
        <v/>
      </c>
      <c r="AC171" s="2"/>
      <c r="AD171" s="144"/>
    </row>
    <row r="172" spans="25:30" x14ac:dyDescent="0.2">
      <c r="Y172" s="67" t="s">
        <v>60</v>
      </c>
      <c r="Z172" s="35" t="str">
        <f t="shared" si="48"/>
        <v/>
      </c>
      <c r="AA172" s="13">
        <f t="shared" si="47"/>
        <v>0</v>
      </c>
      <c r="AB172" s="13" t="str">
        <f>IF(AA172&gt;0,Y100&amp;Language!$E$80&amp;X100,"")</f>
        <v/>
      </c>
      <c r="AC172" s="2"/>
      <c r="AD172" s="144"/>
    </row>
    <row r="173" spans="25:30" x14ac:dyDescent="0.2">
      <c r="Y173" s="67" t="s">
        <v>61</v>
      </c>
      <c r="Z173" s="35" t="str">
        <f t="shared" si="48"/>
        <v/>
      </c>
      <c r="AA173" s="13">
        <f t="shared" si="47"/>
        <v>0</v>
      </c>
      <c r="AB173" s="13" t="str">
        <f>IF(AA173&gt;0,Y101&amp;Language!$E$80&amp;X101,"")</f>
        <v/>
      </c>
      <c r="AC173" s="2"/>
      <c r="AD173" s="144"/>
    </row>
    <row r="174" spans="25:30" x14ac:dyDescent="0.2">
      <c r="Y174" s="67" t="s">
        <v>62</v>
      </c>
      <c r="Z174" s="35" t="str">
        <f t="shared" si="48"/>
        <v/>
      </c>
      <c r="AA174" s="13">
        <f t="shared" si="47"/>
        <v>0</v>
      </c>
      <c r="AB174" s="13" t="str">
        <f>IF(AA174&gt;0,Y102&amp;Language!$E$80&amp;X102,"")</f>
        <v/>
      </c>
      <c r="AC174" s="2"/>
      <c r="AD174" s="144"/>
    </row>
    <row r="175" spans="25:30" x14ac:dyDescent="0.2">
      <c r="Y175" s="67" t="s">
        <v>63</v>
      </c>
      <c r="Z175" s="35" t="str">
        <f t="shared" si="48"/>
        <v/>
      </c>
      <c r="AA175" s="13">
        <f t="shared" si="47"/>
        <v>0</v>
      </c>
      <c r="AB175" s="13" t="str">
        <f>IF(AA175&gt;0,Y103&amp;Language!$E$80&amp;X103,"")</f>
        <v/>
      </c>
      <c r="AC175" s="2"/>
      <c r="AD175" s="144"/>
    </row>
    <row r="176" spans="25:30" x14ac:dyDescent="0.2">
      <c r="Y176" s="67" t="s">
        <v>64</v>
      </c>
      <c r="Z176" s="35" t="str">
        <f t="shared" si="48"/>
        <v/>
      </c>
      <c r="AA176" s="13">
        <f t="shared" si="47"/>
        <v>0</v>
      </c>
      <c r="AB176" s="13" t="str">
        <f>IF(AA176&gt;0,Y104&amp;Language!$E$80&amp;X104,"")</f>
        <v/>
      </c>
      <c r="AC176" s="2"/>
      <c r="AD176" s="144"/>
    </row>
    <row r="177" spans="25:30" x14ac:dyDescent="0.2">
      <c r="Y177" s="67" t="s">
        <v>65</v>
      </c>
      <c r="Z177" s="35" t="str">
        <f t="shared" si="48"/>
        <v/>
      </c>
      <c r="AA177" s="13">
        <f t="shared" si="47"/>
        <v>0</v>
      </c>
      <c r="AB177" s="13" t="str">
        <f>IF(AA177&gt;0,Y105&amp;Language!$E$80&amp;X105,"")</f>
        <v/>
      </c>
      <c r="AC177" s="2"/>
      <c r="AD177" s="144"/>
    </row>
    <row r="178" spans="25:30" x14ac:dyDescent="0.2">
      <c r="Y178" s="67" t="s">
        <v>66</v>
      </c>
      <c r="Z178" s="35" t="str">
        <f t="shared" si="48"/>
        <v/>
      </c>
      <c r="AA178" s="13">
        <f t="shared" si="47"/>
        <v>0</v>
      </c>
      <c r="AB178" s="13" t="str">
        <f>IF(AA178&gt;0,Y106&amp;Language!$E$80&amp;X106,"")</f>
        <v/>
      </c>
      <c r="AC178" s="2"/>
      <c r="AD178" s="144"/>
    </row>
    <row r="179" spans="25:30" x14ac:dyDescent="0.2">
      <c r="Y179" s="67" t="s">
        <v>67</v>
      </c>
      <c r="Z179" s="35" t="str">
        <f t="shared" si="48"/>
        <v/>
      </c>
      <c r="AA179" s="13">
        <f t="shared" si="47"/>
        <v>0</v>
      </c>
      <c r="AB179" s="13" t="str">
        <f>IF(AA179&gt;0,Y107&amp;Language!$E$80&amp;X107,"")</f>
        <v/>
      </c>
      <c r="AC179" s="2"/>
      <c r="AD179" s="144"/>
    </row>
    <row r="180" spans="25:30" x14ac:dyDescent="0.2">
      <c r="Y180" s="67" t="s">
        <v>68</v>
      </c>
      <c r="Z180" s="35" t="str">
        <f t="shared" si="48"/>
        <v/>
      </c>
      <c r="AA180" s="13">
        <f t="shared" si="47"/>
        <v>0</v>
      </c>
      <c r="AB180" s="13" t="str">
        <f>IF(AA180&gt;0,Y108&amp;Language!$E$80&amp;X108,"")</f>
        <v/>
      </c>
      <c r="AC180" s="2"/>
      <c r="AD180" s="144"/>
    </row>
    <row r="181" spans="25:30" x14ac:dyDescent="0.2">
      <c r="Y181" s="67" t="s">
        <v>69</v>
      </c>
      <c r="Z181" s="35" t="str">
        <f t="shared" si="48"/>
        <v/>
      </c>
      <c r="AA181" s="13">
        <f t="shared" si="47"/>
        <v>0</v>
      </c>
      <c r="AB181" s="13" t="str">
        <f>IF(AA181&gt;0,Y109&amp;Language!$E$80&amp;X109,"")</f>
        <v/>
      </c>
      <c r="AC181" s="2"/>
      <c r="AD181" s="144"/>
    </row>
    <row r="182" spans="25:30" x14ac:dyDescent="0.2">
      <c r="Y182" s="67" t="s">
        <v>70</v>
      </c>
      <c r="Z182" s="35" t="str">
        <f t="shared" si="48"/>
        <v/>
      </c>
      <c r="AA182" s="13">
        <f t="shared" si="47"/>
        <v>0</v>
      </c>
      <c r="AB182" s="13" t="str">
        <f>IF(AA182&gt;0,Y110&amp;Language!$E$80&amp;X110,"")</f>
        <v/>
      </c>
      <c r="AC182" s="2"/>
      <c r="AD182" s="144"/>
    </row>
    <row r="183" spans="25:30" x14ac:dyDescent="0.2">
      <c r="Y183" s="67" t="s">
        <v>71</v>
      </c>
      <c r="Z183" s="35" t="str">
        <f t="shared" si="48"/>
        <v/>
      </c>
      <c r="AA183" s="13">
        <f t="shared" si="47"/>
        <v>0</v>
      </c>
      <c r="AB183" s="13" t="str">
        <f>IF(AA183&gt;0,Y111&amp;Language!$E$80&amp;X111,"")</f>
        <v/>
      </c>
      <c r="AC183" s="2"/>
      <c r="AD183" s="144"/>
    </row>
    <row r="184" spans="25:30" x14ac:dyDescent="0.2">
      <c r="Y184" s="67" t="s">
        <v>72</v>
      </c>
      <c r="Z184" s="35" t="str">
        <f t="shared" si="48"/>
        <v/>
      </c>
      <c r="AA184" s="13">
        <f t="shared" si="47"/>
        <v>0</v>
      </c>
      <c r="AB184" s="13" t="str">
        <f>IF(AA184&gt;0,Y112&amp;Language!$E$80&amp;X112,"")</f>
        <v/>
      </c>
      <c r="AC184" s="2"/>
      <c r="AD184" s="144"/>
    </row>
    <row r="185" spans="25:30" x14ac:dyDescent="0.2">
      <c r="Y185" s="67" t="s">
        <v>73</v>
      </c>
      <c r="Z185" s="35" t="str">
        <f t="shared" si="48"/>
        <v/>
      </c>
      <c r="AA185" s="13">
        <f t="shared" si="47"/>
        <v>0</v>
      </c>
      <c r="AB185" s="13" t="str">
        <f>IF(AA185&gt;0,Y113&amp;Language!$E$80&amp;X113,"")</f>
        <v/>
      </c>
      <c r="AC185" s="2"/>
      <c r="AD185" s="144"/>
    </row>
    <row r="186" spans="25:30" x14ac:dyDescent="0.2">
      <c r="Y186" s="67" t="s">
        <v>74</v>
      </c>
      <c r="Z186" s="35" t="str">
        <f t="shared" si="48"/>
        <v/>
      </c>
      <c r="AA186" s="13">
        <f t="shared" si="47"/>
        <v>0</v>
      </c>
      <c r="AB186" s="13" t="str">
        <f>IF(AA186&gt;0,Y114&amp;Language!$E$80&amp;X114,"")</f>
        <v/>
      </c>
      <c r="AC186" s="2"/>
      <c r="AD186" s="144"/>
    </row>
    <row r="187" spans="25:30" x14ac:dyDescent="0.2">
      <c r="Y187" s="67" t="s">
        <v>75</v>
      </c>
      <c r="Z187" s="35" t="str">
        <f t="shared" si="48"/>
        <v/>
      </c>
      <c r="AA187" s="13">
        <f t="shared" si="47"/>
        <v>0</v>
      </c>
      <c r="AB187" s="13" t="str">
        <f>IF(AA187&gt;0,Y115&amp;Language!$E$80&amp;X115,"")</f>
        <v/>
      </c>
      <c r="AC187" s="2"/>
      <c r="AD187" s="144"/>
    </row>
    <row r="188" spans="25:30" x14ac:dyDescent="0.2">
      <c r="Y188" s="67" t="s">
        <v>76</v>
      </c>
      <c r="Z188" s="35" t="str">
        <f t="shared" si="48"/>
        <v/>
      </c>
      <c r="AA188" s="13">
        <f t="shared" si="47"/>
        <v>0</v>
      </c>
      <c r="AB188" s="13" t="str">
        <f>IF(AA188&gt;0,Y116&amp;Language!$E$80&amp;X116,"")</f>
        <v/>
      </c>
      <c r="AC188" s="2"/>
      <c r="AD188" s="144"/>
    </row>
    <row r="189" spans="25:30" x14ac:dyDescent="0.2">
      <c r="Y189" s="67" t="s">
        <v>77</v>
      </c>
      <c r="Z189" s="35" t="str">
        <f t="shared" si="48"/>
        <v/>
      </c>
      <c r="AA189" s="13">
        <f t="shared" si="47"/>
        <v>0</v>
      </c>
      <c r="AB189" s="13" t="str">
        <f>IF(AA189&gt;0,Y117&amp;Language!$E$80&amp;X117,"")</f>
        <v/>
      </c>
      <c r="AC189" s="2"/>
      <c r="AD189" s="144"/>
    </row>
    <row r="190" spans="25:30" x14ac:dyDescent="0.2">
      <c r="Y190" s="67" t="s">
        <v>78</v>
      </c>
      <c r="Z190" s="35" t="str">
        <f t="shared" si="48"/>
        <v/>
      </c>
      <c r="AA190" s="13">
        <f t="shared" si="47"/>
        <v>0</v>
      </c>
      <c r="AB190" s="13" t="str">
        <f>IF(AA190&gt;0,Y118&amp;Language!$E$80&amp;X118,"")</f>
        <v/>
      </c>
      <c r="AC190" s="2"/>
      <c r="AD190" s="144"/>
    </row>
    <row r="191" spans="25:30" x14ac:dyDescent="0.2">
      <c r="Y191" s="67" t="s">
        <v>79</v>
      </c>
      <c r="Z191" s="35" t="str">
        <f t="shared" si="48"/>
        <v/>
      </c>
      <c r="AA191" s="13">
        <f t="shared" si="47"/>
        <v>0</v>
      </c>
      <c r="AB191" s="13" t="str">
        <f>IF(AA191&gt;0,Y119&amp;Language!$E$80&amp;X119,"")</f>
        <v/>
      </c>
      <c r="AC191" s="2"/>
      <c r="AD191" s="144"/>
    </row>
    <row r="192" spans="25:30" x14ac:dyDescent="0.2">
      <c r="Y192" s="67" t="s">
        <v>80</v>
      </c>
      <c r="Z192" s="35" t="str">
        <f t="shared" si="48"/>
        <v/>
      </c>
      <c r="AA192" s="13">
        <f t="shared" si="47"/>
        <v>0</v>
      </c>
      <c r="AB192" s="13" t="str">
        <f>IF(AA192&gt;0,Y120&amp;Language!$E$80&amp;X120,"")</f>
        <v/>
      </c>
      <c r="AC192" s="2"/>
      <c r="AD192" s="144"/>
    </row>
    <row r="193" spans="25:30" x14ac:dyDescent="0.2">
      <c r="Y193" s="67" t="s">
        <v>81</v>
      </c>
      <c r="Z193" s="35" t="str">
        <f t="shared" si="48"/>
        <v/>
      </c>
      <c r="AA193" s="13">
        <f t="shared" si="47"/>
        <v>0</v>
      </c>
      <c r="AB193" s="13" t="str">
        <f>IF(AA193&gt;0,Y121&amp;Language!$E$80&amp;X121,"")</f>
        <v/>
      </c>
      <c r="AC193" s="2"/>
      <c r="AD193" s="144"/>
    </row>
    <row r="194" spans="25:30" x14ac:dyDescent="0.2">
      <c r="Y194" s="67" t="s">
        <v>82</v>
      </c>
      <c r="Z194" s="35" t="str">
        <f t="shared" si="48"/>
        <v/>
      </c>
      <c r="AA194" s="13">
        <f t="shared" si="47"/>
        <v>0</v>
      </c>
      <c r="AB194" s="13" t="str">
        <f>IF(AA194&gt;0,Y122&amp;Language!$E$80&amp;X122,"")</f>
        <v/>
      </c>
      <c r="AC194" s="2"/>
      <c r="AD194" s="144"/>
    </row>
    <row r="195" spans="25:30" x14ac:dyDescent="0.2">
      <c r="Y195" s="67" t="s">
        <v>83</v>
      </c>
      <c r="Z195" s="35" t="str">
        <f t="shared" si="48"/>
        <v/>
      </c>
      <c r="AA195" s="13">
        <f t="shared" si="47"/>
        <v>0</v>
      </c>
      <c r="AB195" s="13" t="str">
        <f>IF(AA195&gt;0,Y123&amp;Language!$E$80&amp;X123,"")</f>
        <v/>
      </c>
      <c r="AC195" s="2"/>
      <c r="AD195" s="144"/>
    </row>
    <row r="196" spans="25:30" x14ac:dyDescent="0.2">
      <c r="Y196" s="67" t="s">
        <v>84</v>
      </c>
      <c r="Z196" s="35" t="str">
        <f t="shared" si="48"/>
        <v/>
      </c>
      <c r="AA196" s="13">
        <f t="shared" si="47"/>
        <v>0</v>
      </c>
      <c r="AB196" s="13" t="str">
        <f>IF(AA196&gt;0,Y124&amp;Language!$E$80&amp;X124,"")</f>
        <v/>
      </c>
      <c r="AC196" s="2"/>
      <c r="AD196" s="144"/>
    </row>
    <row r="197" spans="25:30" x14ac:dyDescent="0.2">
      <c r="Y197" s="67" t="s">
        <v>85</v>
      </c>
      <c r="Z197" s="35" t="str">
        <f t="shared" si="48"/>
        <v/>
      </c>
      <c r="AA197" s="13">
        <f t="shared" si="47"/>
        <v>0</v>
      </c>
      <c r="AB197" s="13" t="str">
        <f>IF(AA197&gt;0,Y125&amp;Language!$E$80&amp;X125,"")</f>
        <v/>
      </c>
      <c r="AC197" s="2"/>
      <c r="AD197" s="144"/>
    </row>
    <row r="198" spans="25:30" x14ac:dyDescent="0.2">
      <c r="Y198" s="67" t="s">
        <v>86</v>
      </c>
      <c r="Z198" s="35" t="str">
        <f t="shared" si="48"/>
        <v/>
      </c>
      <c r="AA198" s="13">
        <f t="shared" si="47"/>
        <v>0</v>
      </c>
      <c r="AB198" s="13" t="str">
        <f>IF(AA198&gt;0,Y126&amp;Language!$E$80&amp;X126,"")</f>
        <v/>
      </c>
      <c r="AC198" s="2"/>
      <c r="AD198" s="144"/>
    </row>
    <row r="199" spans="25:30" x14ac:dyDescent="0.2">
      <c r="Y199" s="67" t="s">
        <v>87</v>
      </c>
      <c r="Z199" s="35" t="str">
        <f t="shared" si="48"/>
        <v/>
      </c>
      <c r="AA199" s="13">
        <f t="shared" si="47"/>
        <v>0</v>
      </c>
      <c r="AB199" s="13" t="str">
        <f>IF(AA199&gt;0,Y127&amp;Language!$E$80&amp;X127,"")</f>
        <v/>
      </c>
      <c r="AC199" s="2"/>
      <c r="AD199" s="144"/>
    </row>
    <row r="200" spans="25:30" x14ac:dyDescent="0.2">
      <c r="Y200" s="67" t="s">
        <v>88</v>
      </c>
      <c r="Z200" s="35" t="str">
        <f t="shared" si="48"/>
        <v/>
      </c>
      <c r="AA200" s="13">
        <f t="shared" si="47"/>
        <v>0</v>
      </c>
      <c r="AB200" s="13" t="str">
        <f>IF(AA200&gt;0,Y128&amp;Language!$E$80&amp;X128,"")</f>
        <v/>
      </c>
      <c r="AC200" s="2"/>
      <c r="AD200" s="144"/>
    </row>
    <row r="201" spans="25:30" x14ac:dyDescent="0.2">
      <c r="Y201" s="67" t="s">
        <v>89</v>
      </c>
      <c r="Z201" s="35" t="str">
        <f t="shared" si="48"/>
        <v/>
      </c>
      <c r="AA201" s="13">
        <f t="shared" ref="AA201:AA207" si="49">AA129</f>
        <v>0</v>
      </c>
      <c r="AB201" s="13" t="str">
        <f>IF(AA201&gt;0,Y129&amp;Language!$E$80&amp;X129,"")</f>
        <v/>
      </c>
      <c r="AC201" s="2"/>
      <c r="AD201" s="144"/>
    </row>
    <row r="202" spans="25:30" x14ac:dyDescent="0.2">
      <c r="Y202" s="67" t="s">
        <v>90</v>
      </c>
      <c r="Z202" s="35" t="str">
        <f t="shared" ref="Z202:Z206" si="50">W130&amp;V130</f>
        <v/>
      </c>
      <c r="AA202" s="13">
        <f t="shared" si="49"/>
        <v>0</v>
      </c>
      <c r="AB202" s="13" t="str">
        <f>IF(AA202&gt;0,Y130&amp;Language!$E$80&amp;X130,"")</f>
        <v/>
      </c>
      <c r="AC202" s="2"/>
      <c r="AD202" s="144"/>
    </row>
    <row r="203" spans="25:30" x14ac:dyDescent="0.2">
      <c r="Y203" s="67" t="s">
        <v>91</v>
      </c>
      <c r="Z203" s="35" t="str">
        <f t="shared" si="50"/>
        <v/>
      </c>
      <c r="AA203" s="13">
        <f t="shared" si="49"/>
        <v>0</v>
      </c>
      <c r="AB203" s="13" t="str">
        <f>IF(AA203&gt;0,Y131&amp;Language!$E$80&amp;X131,"")</f>
        <v/>
      </c>
      <c r="AC203" s="2"/>
      <c r="AD203" s="144"/>
    </row>
    <row r="204" spans="25:30" x14ac:dyDescent="0.2">
      <c r="Y204" s="67" t="s">
        <v>92</v>
      </c>
      <c r="Z204" s="35" t="str">
        <f t="shared" si="50"/>
        <v/>
      </c>
      <c r="AA204" s="13">
        <f t="shared" si="49"/>
        <v>0</v>
      </c>
      <c r="AB204" s="13" t="str">
        <f>IF(AA204&gt;0,Y132&amp;Language!$E$80&amp;X132,"")</f>
        <v/>
      </c>
      <c r="AC204" s="2"/>
      <c r="AD204" s="144"/>
    </row>
    <row r="205" spans="25:30" x14ac:dyDescent="0.2">
      <c r="Y205" s="67" t="s">
        <v>93</v>
      </c>
      <c r="Z205" s="35" t="str">
        <f t="shared" si="50"/>
        <v/>
      </c>
      <c r="AA205" s="13">
        <f t="shared" si="49"/>
        <v>0</v>
      </c>
      <c r="AB205" s="13" t="str">
        <f>IF(AA205&gt;0,Y133&amp;Language!$E$80&amp;X133,"")</f>
        <v/>
      </c>
      <c r="AC205" s="2"/>
      <c r="AD205" s="144"/>
    </row>
    <row r="206" spans="25:30" x14ac:dyDescent="0.2">
      <c r="Y206" s="67" t="s">
        <v>94</v>
      </c>
      <c r="Z206" s="35" t="str">
        <f t="shared" si="50"/>
        <v/>
      </c>
      <c r="AA206" s="13">
        <f t="shared" si="49"/>
        <v>0</v>
      </c>
      <c r="AB206" s="13" t="str">
        <f>IF(AA206&gt;0,Y134&amp;Language!$E$80&amp;X134,"")</f>
        <v/>
      </c>
      <c r="AC206" s="2"/>
      <c r="AD206" s="144"/>
    </row>
    <row r="207" spans="25:30" ht="12.75" thickBot="1" x14ac:dyDescent="0.25">
      <c r="Y207" s="68" t="s">
        <v>95</v>
      </c>
      <c r="Z207" s="37" t="str">
        <f>W135&amp;V135</f>
        <v/>
      </c>
      <c r="AA207" s="38">
        <f t="shared" si="49"/>
        <v>0</v>
      </c>
      <c r="AB207" s="145" t="str">
        <f>IF(AA207&gt;0,Y135&amp;Language!$E$80&amp;X135,"")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7BC5-DC8D-4E89-A35F-44F2E910242E}">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796"/>
      <c r="X3" s="797"/>
      <c r="Y3" s="797"/>
      <c r="Z3" s="797"/>
      <c r="AA3" s="797"/>
      <c r="AB3" s="796"/>
      <c r="AC3" s="797"/>
      <c r="AD3" s="797"/>
      <c r="AE3" s="797"/>
      <c r="AF3" s="797"/>
      <c r="AG3" s="796"/>
      <c r="AH3" s="797"/>
      <c r="AI3" s="797"/>
      <c r="AJ3" s="797"/>
      <c r="AK3" s="797"/>
      <c r="AL3" s="796"/>
      <c r="AM3" s="797"/>
      <c r="AN3" s="797"/>
      <c r="AO3" s="797"/>
      <c r="AP3" s="797"/>
    </row>
    <row r="4" spans="1:42" s="2" customFormat="1" ht="12.75" thickTop="1" x14ac:dyDescent="0.2">
      <c r="A4" s="237"/>
      <c r="B4" s="1">
        <v>1</v>
      </c>
      <c r="C4" s="21">
        <f ca="1">RANK(D4,$D$4:$D$12,1)</f>
        <v>1</v>
      </c>
      <c r="D4" s="13">
        <f ca="1">E4+ROW()/1000+(F4="")*10</f>
        <v>11.004</v>
      </c>
      <c r="E4" s="248">
        <f ca="1">IF($AI$15,RANK(AH17,AH$17:AH$25,1),RANK(X17,X$17:X$25,1))</f>
        <v>1</v>
      </c>
      <c r="F4" s="1" t="str">
        <f ca="1">$Q64</f>
        <v/>
      </c>
      <c r="G4" s="1">
        <f t="shared" ref="G4:G12" ca="1" si="0">SUMIFS($X$64:$X$135,$V$64:$V$135,$F4)+SUMIFS($Y$64:$Y$135,$W$64:$W$135,$F4)</f>
        <v>0</v>
      </c>
      <c r="H4" s="1">
        <f t="shared" ref="H4:H12" ca="1" si="1">SUMIFS($Y$64:$Y$135,$V$64:$V$135,$F4)+SUMIFS($X$64:$X$135,$W$64:$W$135,$F4)</f>
        <v>0</v>
      </c>
      <c r="I4" s="13">
        <f t="shared" ref="I4:I12" ca="1" si="2">G4-H4</f>
        <v>0</v>
      </c>
      <c r="J4" s="1">
        <f ca="1">SUMIF($V$64:$V$135,F4,$AE$64:$AE$135)+SUMIF($W$64:$W$135,F4,$AF$64:$AF$135)</f>
        <v>0</v>
      </c>
      <c r="K4" s="1">
        <f t="shared" ref="K4:K12" ca="1" si="3">SUMPRODUCT(($V$64:$V$135=F4)*($X$64:$X$135&lt;&gt;""))+SUMPRODUCT(($W$64:$W$135=F4)*($Y$64:$Y$135&lt;&gt;""))</f>
        <v>0</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0</v>
      </c>
      <c r="O4" s="120"/>
      <c r="P4" s="120"/>
      <c r="Q4" s="120"/>
      <c r="R4" s="120"/>
      <c r="V4" s="1"/>
      <c r="W4" s="519"/>
      <c r="X4" s="520"/>
      <c r="Y4" s="521"/>
      <c r="Z4" s="522"/>
      <c r="AA4" s="523"/>
      <c r="AB4" s="524"/>
      <c r="AC4" s="525"/>
      <c r="AD4" s="526"/>
      <c r="AE4" s="522"/>
      <c r="AF4" s="522"/>
      <c r="AG4" s="524"/>
      <c r="AH4" s="525"/>
      <c r="AI4" s="526"/>
      <c r="AJ4" s="522"/>
      <c r="AK4" s="527"/>
      <c r="AL4" s="525"/>
      <c r="AM4" s="525"/>
      <c r="AN4" s="526"/>
      <c r="AO4" s="522"/>
      <c r="AP4" s="527"/>
    </row>
    <row r="5" spans="1:42" s="2" customFormat="1" x14ac:dyDescent="0.2">
      <c r="A5" s="237"/>
      <c r="B5" s="1">
        <v>2</v>
      </c>
      <c r="C5" s="22">
        <f t="shared" ref="C5:C12" ca="1" si="7">RANK(D5,$D$4:$D$12,1)</f>
        <v>2</v>
      </c>
      <c r="D5" s="13">
        <f t="shared" ref="D5:D12" ca="1" si="8">E5+ROW()/1000+(F5="")*10</f>
        <v>11.004999999999999</v>
      </c>
      <c r="E5" s="248">
        <f t="shared" ref="E5:E12" ca="1" si="9">IF($AI$15,RANK(AH18,AH$17:AH$25,1),RANK(X18,X$17:X$25,1))</f>
        <v>1</v>
      </c>
      <c r="F5" s="1" t="str">
        <f t="shared" ref="F5:F12" ca="1" si="10">$Q65</f>
        <v/>
      </c>
      <c r="G5" s="1">
        <f t="shared" ca="1" si="0"/>
        <v>0</v>
      </c>
      <c r="H5" s="1">
        <f t="shared" ca="1" si="1"/>
        <v>0</v>
      </c>
      <c r="I5" s="13">
        <f t="shared" ca="1" si="2"/>
        <v>0</v>
      </c>
      <c r="J5" s="1">
        <f t="shared" ref="J5:J12" ca="1" si="11">SUMIF($V$64:$V$135,F5,$AE$64:$AE$135)+SUMIF($W$64:$W$135,F5,$AF$64:$AF$135)</f>
        <v>0</v>
      </c>
      <c r="K5" s="1">
        <f t="shared" ca="1" si="3"/>
        <v>0</v>
      </c>
      <c r="L5" s="1">
        <f t="shared" ca="1" si="4"/>
        <v>0</v>
      </c>
      <c r="M5" s="1">
        <f t="shared" ca="1" si="5"/>
        <v>0</v>
      </c>
      <c r="N5" s="1">
        <f t="shared" ca="1" si="6"/>
        <v>0</v>
      </c>
      <c r="O5" s="24"/>
      <c r="P5" s="25"/>
      <c r="V5" s="1"/>
      <c r="W5" s="524"/>
      <c r="X5" s="525"/>
      <c r="Y5" s="522"/>
      <c r="Z5" s="522"/>
      <c r="AA5" s="527"/>
      <c r="AB5" s="524"/>
      <c r="AC5" s="525"/>
      <c r="AD5" s="526"/>
      <c r="AE5" s="522"/>
      <c r="AF5" s="522"/>
      <c r="AG5" s="524"/>
      <c r="AH5" s="525"/>
      <c r="AI5" s="526"/>
      <c r="AJ5" s="522"/>
      <c r="AK5" s="527"/>
      <c r="AL5" s="525"/>
      <c r="AM5" s="525"/>
      <c r="AN5" s="526"/>
      <c r="AO5" s="522"/>
      <c r="AP5" s="527"/>
    </row>
    <row r="6" spans="1:42" s="2" customFormat="1" x14ac:dyDescent="0.2">
      <c r="A6" s="237"/>
      <c r="B6" s="1">
        <v>3</v>
      </c>
      <c r="C6" s="22">
        <f t="shared" ca="1" si="7"/>
        <v>3</v>
      </c>
      <c r="D6" s="13">
        <f t="shared" ca="1" si="8"/>
        <v>13.006</v>
      </c>
      <c r="E6" s="248">
        <f t="shared" ca="1" si="9"/>
        <v>3</v>
      </c>
      <c r="F6" s="1" t="str">
        <f t="shared"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524"/>
      <c r="X6" s="525"/>
      <c r="Y6" s="522"/>
      <c r="Z6" s="522"/>
      <c r="AA6" s="527"/>
      <c r="AB6" s="524"/>
      <c r="AC6" s="525"/>
      <c r="AD6" s="526"/>
      <c r="AE6" s="522"/>
      <c r="AF6" s="522"/>
      <c r="AG6" s="524"/>
      <c r="AH6" s="525"/>
      <c r="AI6" s="526"/>
      <c r="AJ6" s="522"/>
      <c r="AK6" s="527"/>
      <c r="AL6" s="525"/>
      <c r="AM6" s="525"/>
      <c r="AN6" s="526"/>
      <c r="AO6" s="522"/>
      <c r="AP6" s="527"/>
    </row>
    <row r="7" spans="1:42" s="2" customFormat="1" x14ac:dyDescent="0.2">
      <c r="A7" s="237"/>
      <c r="B7" s="1">
        <v>4</v>
      </c>
      <c r="C7" s="22">
        <f t="shared" ca="1" si="7"/>
        <v>4</v>
      </c>
      <c r="D7" s="13">
        <f t="shared" ca="1" si="8"/>
        <v>13.007</v>
      </c>
      <c r="E7" s="248">
        <f t="shared" ca="1" si="9"/>
        <v>3</v>
      </c>
      <c r="F7" s="1" t="str">
        <f t="shared"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524"/>
      <c r="X7" s="525"/>
      <c r="Y7" s="522"/>
      <c r="Z7" s="522"/>
      <c r="AA7" s="527"/>
      <c r="AB7" s="524"/>
      <c r="AC7" s="525"/>
      <c r="AD7" s="526"/>
      <c r="AE7" s="522"/>
      <c r="AF7" s="522"/>
      <c r="AG7" s="524"/>
      <c r="AH7" s="525"/>
      <c r="AI7" s="526"/>
      <c r="AJ7" s="522"/>
      <c r="AK7" s="527"/>
      <c r="AL7" s="525"/>
      <c r="AM7" s="525"/>
      <c r="AN7" s="526"/>
      <c r="AO7" s="522"/>
      <c r="AP7" s="527"/>
    </row>
    <row r="8" spans="1:42" s="2" customFormat="1" x14ac:dyDescent="0.2">
      <c r="A8" s="237"/>
      <c r="B8" s="1">
        <v>5</v>
      </c>
      <c r="C8" s="22">
        <f t="shared" ca="1" si="7"/>
        <v>5</v>
      </c>
      <c r="D8" s="13">
        <f t="shared" ca="1" si="8"/>
        <v>13.007999999999999</v>
      </c>
      <c r="E8" s="248">
        <f t="shared" ca="1" si="9"/>
        <v>3</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524"/>
      <c r="X8" s="525"/>
      <c r="Y8" s="522"/>
      <c r="Z8" s="522"/>
      <c r="AA8" s="527"/>
      <c r="AB8" s="524"/>
      <c r="AC8" s="525"/>
      <c r="AD8" s="526"/>
      <c r="AE8" s="522"/>
      <c r="AF8" s="522"/>
      <c r="AG8" s="524"/>
      <c r="AH8" s="525"/>
      <c r="AI8" s="526"/>
      <c r="AJ8" s="522"/>
      <c r="AK8" s="527"/>
      <c r="AL8" s="525"/>
      <c r="AM8" s="525"/>
      <c r="AN8" s="526"/>
      <c r="AO8" s="522"/>
      <c r="AP8" s="527"/>
    </row>
    <row r="9" spans="1:42" s="2" customFormat="1" x14ac:dyDescent="0.2">
      <c r="A9" s="237"/>
      <c r="B9" s="1">
        <v>6</v>
      </c>
      <c r="C9" s="22">
        <f t="shared" ca="1" si="7"/>
        <v>6</v>
      </c>
      <c r="D9" s="13">
        <f t="shared" ca="1" si="8"/>
        <v>13.009</v>
      </c>
      <c r="E9" s="248">
        <f t="shared" ca="1" si="9"/>
        <v>3</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524"/>
      <c r="X9" s="525"/>
      <c r="Y9" s="522"/>
      <c r="Z9" s="522"/>
      <c r="AA9" s="527"/>
      <c r="AB9" s="524"/>
      <c r="AC9" s="525"/>
      <c r="AD9" s="526"/>
      <c r="AE9" s="522"/>
      <c r="AF9" s="522"/>
      <c r="AG9" s="524"/>
      <c r="AH9" s="525"/>
      <c r="AI9" s="526"/>
      <c r="AJ9" s="522"/>
      <c r="AK9" s="527"/>
      <c r="AL9" s="525"/>
      <c r="AM9" s="525"/>
      <c r="AN9" s="526"/>
      <c r="AO9" s="522"/>
      <c r="AP9" s="527"/>
    </row>
    <row r="10" spans="1:42" s="2" customFormat="1" x14ac:dyDescent="0.2">
      <c r="A10" s="237"/>
      <c r="B10" s="1">
        <v>7</v>
      </c>
      <c r="C10" s="22">
        <f t="shared" ca="1" si="7"/>
        <v>7</v>
      </c>
      <c r="D10" s="13">
        <f t="shared" ca="1" si="8"/>
        <v>13.01</v>
      </c>
      <c r="E10" s="248">
        <f t="shared" ca="1" si="9"/>
        <v>3</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524"/>
      <c r="X10" s="525"/>
      <c r="Y10" s="522"/>
      <c r="Z10" s="522"/>
      <c r="AA10" s="527"/>
      <c r="AB10" s="524"/>
      <c r="AC10" s="525"/>
      <c r="AD10" s="526"/>
      <c r="AE10" s="522"/>
      <c r="AF10" s="522"/>
      <c r="AG10" s="524"/>
      <c r="AH10" s="525"/>
      <c r="AI10" s="526"/>
      <c r="AJ10" s="522"/>
      <c r="AK10" s="527"/>
      <c r="AL10" s="525"/>
      <c r="AM10" s="525"/>
      <c r="AN10" s="526"/>
      <c r="AO10" s="522"/>
      <c r="AP10" s="527"/>
    </row>
    <row r="11" spans="1:42" s="2" customFormat="1" x14ac:dyDescent="0.2">
      <c r="A11" s="237"/>
      <c r="B11" s="1">
        <v>8</v>
      </c>
      <c r="C11" s="22">
        <f t="shared" ca="1" si="7"/>
        <v>8</v>
      </c>
      <c r="D11" s="13">
        <f t="shared" ca="1" si="8"/>
        <v>13.010999999999999</v>
      </c>
      <c r="E11" s="248">
        <f t="shared" ca="1" si="9"/>
        <v>3</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524"/>
      <c r="X11" s="525"/>
      <c r="Y11" s="522"/>
      <c r="Z11" s="522"/>
      <c r="AA11" s="527"/>
      <c r="AB11" s="524"/>
      <c r="AC11" s="525"/>
      <c r="AD11" s="526"/>
      <c r="AE11" s="522"/>
      <c r="AF11" s="522"/>
      <c r="AG11" s="524"/>
      <c r="AH11" s="525"/>
      <c r="AI11" s="526"/>
      <c r="AJ11" s="522"/>
      <c r="AK11" s="527"/>
      <c r="AL11" s="525"/>
      <c r="AM11" s="525"/>
      <c r="AN11" s="526"/>
      <c r="AO11" s="522"/>
      <c r="AP11" s="527"/>
    </row>
    <row r="12" spans="1:42" s="2" customFormat="1" ht="12.75" thickBot="1" x14ac:dyDescent="0.25">
      <c r="A12" s="237"/>
      <c r="B12" s="1">
        <v>9</v>
      </c>
      <c r="C12" s="23">
        <f t="shared" ca="1" si="7"/>
        <v>9</v>
      </c>
      <c r="D12" s="13">
        <f t="shared" ca="1" si="8"/>
        <v>13.012</v>
      </c>
      <c r="E12" s="248">
        <f t="shared" ca="1" si="9"/>
        <v>3</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528"/>
      <c r="X12" s="529"/>
      <c r="Y12" s="530"/>
      <c r="Z12" s="530"/>
      <c r="AA12" s="531"/>
      <c r="AB12" s="528"/>
      <c r="AC12" s="529"/>
      <c r="AD12" s="532"/>
      <c r="AE12" s="530"/>
      <c r="AF12" s="530"/>
      <c r="AG12" s="528"/>
      <c r="AH12" s="529"/>
      <c r="AI12" s="532"/>
      <c r="AJ12" s="530"/>
      <c r="AK12" s="531"/>
      <c r="AL12" s="529"/>
      <c r="AM12" s="529"/>
      <c r="AN12" s="532"/>
      <c r="AO12" s="530"/>
      <c r="AP12" s="531"/>
    </row>
    <row r="13" spans="1:42"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798" t="s">
        <v>190</v>
      </c>
      <c r="AE15" s="799"/>
      <c r="AF15" s="799"/>
      <c r="AG15" s="799"/>
      <c r="AH15" s="800"/>
      <c r="AI15" s="2" t="b">
        <f>(Settings!$B$9=Language!$E$85)</f>
        <v>0</v>
      </c>
      <c r="AK15" s="237"/>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87" t="s">
        <v>176</v>
      </c>
      <c r="Y16" s="11" t="s">
        <v>223</v>
      </c>
      <c r="Z16" s="187" t="s">
        <v>224</v>
      </c>
      <c r="AA16" s="1" t="s">
        <v>112</v>
      </c>
      <c r="AB16" s="1" t="s">
        <v>111</v>
      </c>
      <c r="AC16" s="1" t="s">
        <v>109</v>
      </c>
      <c r="AD16" s="243" t="s">
        <v>112</v>
      </c>
      <c r="AE16" s="247" t="s">
        <v>188</v>
      </c>
      <c r="AF16" s="1" t="s">
        <v>188</v>
      </c>
      <c r="AG16" s="1" t="s">
        <v>189</v>
      </c>
      <c r="AH16" s="187" t="s">
        <v>176</v>
      </c>
    </row>
    <row r="17" spans="2:80" s="2" customFormat="1" ht="12.75" thickTop="1" x14ac:dyDescent="0.2">
      <c r="C17" s="2" t="str">
        <f ca="1">$Q64</f>
        <v/>
      </c>
      <c r="D17" s="1">
        <f t="shared" ref="D17:G25" ca="1" si="12">K4</f>
        <v>0</v>
      </c>
      <c r="E17" s="1">
        <f t="shared" ca="1" si="12"/>
        <v>0</v>
      </c>
      <c r="F17" s="1">
        <f t="shared" ca="1" si="12"/>
        <v>0</v>
      </c>
      <c r="G17" s="1">
        <f t="shared" ca="1" si="12"/>
        <v>0</v>
      </c>
      <c r="H17" s="1">
        <f t="shared" ref="H17:K25" ca="1" si="13">G4</f>
        <v>0</v>
      </c>
      <c r="I17" s="1">
        <f t="shared" ca="1" si="13"/>
        <v>0</v>
      </c>
      <c r="J17" s="13">
        <f t="shared" ca="1" si="13"/>
        <v>0</v>
      </c>
      <c r="K17" s="1">
        <f t="shared" ca="1" si="13"/>
        <v>0</v>
      </c>
      <c r="L17" s="30">
        <f t="shared" ref="L17:L25" ca="1" si="14">K17*$F$64+(J17+$H$65)*$F$65+H17*$F$66</f>
        <v>500000</v>
      </c>
      <c r="M17" s="14">
        <f ca="1">IF($AI$15,COUNTIF($K$17:$K$25,K17),COUNTIF($L$17:$L$25,L17))</f>
        <v>9</v>
      </c>
      <c r="N17" s="14">
        <f t="array" aca="1" ref="N17" ca="1">IF($AI$15,SUM(($K$17:$K$25&gt;=K17)/COUNTIF($K$17:$K$25,$K$17:$K$25)),SUM(($L$17:$L$25&gt;=L17)/COUNTIF($L$17:$L$25,$L$17:$L$25)))</f>
        <v>1.0000000000000002</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1.0108999999999999</v>
      </c>
      <c r="Y17" s="13">
        <f>'Finals 4'!$AF40</f>
        <v>0</v>
      </c>
      <c r="Z17" s="1">
        <f ca="1">RANK($W17,$W$17:$W$25)+(9-$Y17)/10</f>
        <v>1.9</v>
      </c>
      <c r="AA17" s="1">
        <f ca="1">SUM(E30:BP30)</f>
        <v>0</v>
      </c>
      <c r="AB17" s="1">
        <f ca="1">SUM(E41:BP41)</f>
        <v>0</v>
      </c>
      <c r="AC17" s="1">
        <f ca="1">SUM(E52:BP52)</f>
        <v>0</v>
      </c>
      <c r="AD17" s="242">
        <f ca="1">RANK($K17,$K$17:$K$25)</f>
        <v>1</v>
      </c>
      <c r="AE17" s="30">
        <f ca="1">(J17+$H$65)*$F$65+H17*$F$66</f>
        <v>500000</v>
      </c>
      <c r="AF17" s="1">
        <f ca="1">RANK($AE17,$AE$17:$AE$25)</f>
        <v>1</v>
      </c>
      <c r="AG17" s="1">
        <f ca="1">RANK($W17,$W$17:$W$25)</f>
        <v>1</v>
      </c>
      <c r="AH17" s="244">
        <f ca="1">AD17+AG17/100+AF17/10000+(10-Y17)/1000000</f>
        <v>1.0101100000000001</v>
      </c>
      <c r="AI17" s="1"/>
    </row>
    <row r="18" spans="2:80" s="2" customFormat="1" x14ac:dyDescent="0.2">
      <c r="C18" s="2" t="str">
        <f t="shared" ref="C18:C25" ca="1" si="23">$Q65</f>
        <v/>
      </c>
      <c r="D18" s="1">
        <f t="shared" ca="1" si="12"/>
        <v>0</v>
      </c>
      <c r="E18" s="1">
        <f t="shared" ca="1" si="12"/>
        <v>0</v>
      </c>
      <c r="F18" s="1">
        <f t="shared" ca="1" si="12"/>
        <v>0</v>
      </c>
      <c r="G18" s="1">
        <f t="shared" ca="1" si="12"/>
        <v>0</v>
      </c>
      <c r="H18" s="1">
        <f t="shared" ca="1" si="13"/>
        <v>0</v>
      </c>
      <c r="I18" s="1">
        <f t="shared" ca="1" si="13"/>
        <v>0</v>
      </c>
      <c r="J18" s="13">
        <f t="shared" ca="1" si="13"/>
        <v>0</v>
      </c>
      <c r="K18" s="1">
        <f t="shared" ca="1" si="13"/>
        <v>0</v>
      </c>
      <c r="L18" s="30">
        <f t="shared" ca="1" si="14"/>
        <v>500000</v>
      </c>
      <c r="M18" s="14">
        <f t="shared" ref="M18:M25" ca="1" si="24">IF($AI$15,COUNTIF($K$17:$K$25,K18),COUNTIF($L$17:$L$25,L18))</f>
        <v>9</v>
      </c>
      <c r="N18" s="14">
        <f t="array" aca="1" ref="N18" ca="1">IF($AI$15,SUM(($K$17:$K$25&gt;=K18)/COUNTIF($K$17:$K$25,$K$17:$K$25)),SUM(($L$17:$L$25&gt;=L18)/COUNTIF($L$17:$L$25,$L$17:$L$25)))</f>
        <v>1.0000000000000002</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'Finals 4'!$AF41</f>
        <v>0</v>
      </c>
      <c r="Z18" s="1">
        <f t="shared" ref="Z18:Z25" ca="1" si="26">RANK($W18,$W$17:$W$25)+(9-$Y18)/10</f>
        <v>1.9</v>
      </c>
      <c r="AA18" s="1">
        <f t="shared" ref="AA18:AA25" ca="1" si="27">SUM(E31:BP31)</f>
        <v>0</v>
      </c>
      <c r="AB18" s="1">
        <f t="shared" ref="AB18:AB25" ca="1" si="28">SUM(E42:BP42)</f>
        <v>0</v>
      </c>
      <c r="AC18" s="1">
        <f t="shared" ref="AC18:AC25" ca="1" si="29">SUM(E53:BP53)</f>
        <v>0</v>
      </c>
      <c r="AD18" s="242">
        <f t="shared" ref="AD18:AD25" ca="1" si="30">RANK($K18,$K$17:$K$25)</f>
        <v>1</v>
      </c>
      <c r="AE18" s="30">
        <f ca="1">(J18+$H$65)*$F$65+H18*$F$66</f>
        <v>500000</v>
      </c>
      <c r="AF18" s="1">
        <f t="shared" ref="AF18:AF25" ca="1" si="31">RANK($AE18,$AE$17:$AE$25)</f>
        <v>1</v>
      </c>
      <c r="AG18" s="1">
        <f t="shared" ref="AG18:AG25" ca="1" si="32">RANK($W18,$W$17:$W$25)</f>
        <v>1</v>
      </c>
      <c r="AH18" s="245">
        <f t="shared" ref="AH18:AH25" ca="1" si="33">AD18+AG18/100+AF18/10000+(10-Y18)/1000000</f>
        <v>1.0101100000000001</v>
      </c>
      <c r="AI18" s="1"/>
    </row>
    <row r="19" spans="2:80" s="2" customFormat="1" x14ac:dyDescent="0.2">
      <c r="C19" s="2" t="str">
        <f t="shared"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4"/>
        <v>9</v>
      </c>
      <c r="N19" s="14">
        <f t="array" aca="1" ref="N19" ca="1">IF($AI$15,SUM(($K$17:$K$25&gt;=K19)/COUNTIF($K$17:$K$25,$K$17:$K$25)),SUM(($L$17:$L$25&gt;=L19)/COUNTIF($L$17:$L$25,$L$17:$L$25)))</f>
        <v>1.0000000000000002</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v>0</v>
      </c>
      <c r="X19" s="22">
        <f t="shared" ca="1" si="25"/>
        <v>1.0308999999999999</v>
      </c>
      <c r="Y19" s="13">
        <v>0</v>
      </c>
      <c r="Z19" s="1">
        <f t="shared" ca="1" si="26"/>
        <v>3.9</v>
      </c>
      <c r="AA19" s="1">
        <f t="shared" ca="1" si="27"/>
        <v>0</v>
      </c>
      <c r="AB19" s="1">
        <f t="shared" ca="1" si="28"/>
        <v>0</v>
      </c>
      <c r="AC19" s="1">
        <f t="shared" ca="1" si="29"/>
        <v>0</v>
      </c>
      <c r="AD19" s="242">
        <f t="shared" ca="1" si="30"/>
        <v>1</v>
      </c>
      <c r="AE19" s="30">
        <f ca="1">(J19+$H$65)*$F$65+H19*$F$66</f>
        <v>500000</v>
      </c>
      <c r="AF19" s="1">
        <f t="shared" ca="1" si="31"/>
        <v>1</v>
      </c>
      <c r="AG19" s="1">
        <f t="shared" ca="1" si="32"/>
        <v>3</v>
      </c>
      <c r="AH19" s="245">
        <f t="shared" ca="1" si="33"/>
        <v>1.0301100000000001</v>
      </c>
      <c r="AI19" s="1"/>
    </row>
    <row r="20" spans="2:80" s="2" customFormat="1" x14ac:dyDescent="0.2">
      <c r="C20" s="2" t="str">
        <f t="shared"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4"/>
        <v>9</v>
      </c>
      <c r="N20" s="14">
        <f t="array" aca="1" ref="N20" ca="1">IF($AI$15,SUM(($K$17:$K$25&gt;=K20)/COUNTIF($K$17:$K$25,$K$17:$K$25)),SUM(($L$17:$L$25&gt;=L20)/COUNTIF($L$17:$L$25,$L$17:$L$25)))</f>
        <v>1.0000000000000002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v>0</v>
      </c>
      <c r="X20" s="22">
        <f t="shared" ca="1" si="25"/>
        <v>1.0308999999999999</v>
      </c>
      <c r="Y20" s="13">
        <v>0</v>
      </c>
      <c r="Z20" s="1">
        <f t="shared" ca="1" si="26"/>
        <v>3.9</v>
      </c>
      <c r="AA20" s="1">
        <f t="shared" ca="1" si="27"/>
        <v>0</v>
      </c>
      <c r="AB20" s="1">
        <f t="shared" ca="1" si="28"/>
        <v>0</v>
      </c>
      <c r="AC20" s="1">
        <f t="shared" ca="1" si="29"/>
        <v>0</v>
      </c>
      <c r="AD20" s="242">
        <f t="shared" ca="1" si="30"/>
        <v>1</v>
      </c>
      <c r="AE20" s="30">
        <f ca="1">(J20+$H$65)*$F$65+H20*$F$66</f>
        <v>500000</v>
      </c>
      <c r="AF20" s="1">
        <f t="shared" ca="1" si="31"/>
        <v>1</v>
      </c>
      <c r="AG20" s="1">
        <f t="shared" ca="1" si="32"/>
        <v>3</v>
      </c>
      <c r="AH20" s="245">
        <f t="shared" ca="1" si="33"/>
        <v>1.0301100000000001</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9</v>
      </c>
      <c r="N21" s="14">
        <f t="array" aca="1" ref="N21" ca="1">IF($AI$15,SUM(($K$17:$K$25&gt;=K21)/COUNTIF($K$17:$K$25,$K$17:$K$25)),SUM(($L$17:$L$25&gt;=L21)/COUNTIF($L$17:$L$25,$L$17:$L$25)))</f>
        <v>1.0000000000000002</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1.0308999999999999</v>
      </c>
      <c r="Y21" s="13">
        <v>0</v>
      </c>
      <c r="Z21" s="1">
        <f t="shared" ca="1" si="26"/>
        <v>3.9</v>
      </c>
      <c r="AA21" s="1">
        <f t="shared" ca="1" si="27"/>
        <v>0</v>
      </c>
      <c r="AB21" s="1">
        <f t="shared" ca="1" si="28"/>
        <v>0</v>
      </c>
      <c r="AC21" s="1">
        <f t="shared" ca="1" si="29"/>
        <v>0</v>
      </c>
      <c r="AD21" s="242">
        <f t="shared" ca="1" si="30"/>
        <v>1</v>
      </c>
      <c r="AE21" s="30">
        <v>0</v>
      </c>
      <c r="AF21" s="1">
        <f t="shared" ca="1" si="31"/>
        <v>5</v>
      </c>
      <c r="AG21" s="1">
        <f t="shared" ca="1" si="32"/>
        <v>3</v>
      </c>
      <c r="AH21" s="245">
        <f t="shared" ca="1" si="33"/>
        <v>1.03051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9</v>
      </c>
      <c r="N22" s="14">
        <f t="array" aca="1" ref="N22" ca="1">IF($AI$15,SUM(($K$17:$K$25&gt;=K22)/COUNTIF($K$17:$K$25,$K$17:$K$25)),SUM(($L$17:$L$25&gt;=L22)/COUNTIF($L$17:$L$25,$L$17:$L$25)))</f>
        <v>1.0000000000000002</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1.0308999999999999</v>
      </c>
      <c r="Y22" s="13">
        <v>0</v>
      </c>
      <c r="Z22" s="1">
        <f t="shared" ca="1" si="26"/>
        <v>3.9</v>
      </c>
      <c r="AA22" s="1">
        <f t="shared" ca="1" si="27"/>
        <v>0</v>
      </c>
      <c r="AB22" s="1">
        <f t="shared" ca="1" si="28"/>
        <v>0</v>
      </c>
      <c r="AC22" s="1">
        <f t="shared" ca="1" si="29"/>
        <v>0</v>
      </c>
      <c r="AD22" s="242">
        <f t="shared" ca="1" si="30"/>
        <v>1</v>
      </c>
      <c r="AE22" s="30">
        <v>0</v>
      </c>
      <c r="AF22" s="1">
        <f t="shared" ca="1" si="31"/>
        <v>5</v>
      </c>
      <c r="AG22" s="1">
        <f t="shared" ca="1" si="32"/>
        <v>3</v>
      </c>
      <c r="AH22" s="245">
        <f t="shared" ca="1" si="33"/>
        <v>1.03051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9</v>
      </c>
      <c r="N23" s="14">
        <f t="array" aca="1" ref="N23" ca="1">IF($AI$15,SUM(($K$17:$K$25&gt;=K23)/COUNTIF($K$17:$K$25,$K$17:$K$25)),SUM(($L$17:$L$25&gt;=L23)/COUNTIF($L$17:$L$25,$L$17:$L$25)))</f>
        <v>1.0000000000000002</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1.0308999999999999</v>
      </c>
      <c r="Y23" s="13">
        <v>0</v>
      </c>
      <c r="Z23" s="1">
        <f t="shared" ca="1" si="26"/>
        <v>3.9</v>
      </c>
      <c r="AA23" s="1">
        <f t="shared" ca="1" si="27"/>
        <v>0</v>
      </c>
      <c r="AB23" s="1">
        <f t="shared" ca="1" si="28"/>
        <v>0</v>
      </c>
      <c r="AC23" s="1">
        <f t="shared" ca="1" si="29"/>
        <v>0</v>
      </c>
      <c r="AD23" s="242">
        <f t="shared" ca="1" si="30"/>
        <v>1</v>
      </c>
      <c r="AE23" s="30">
        <v>0</v>
      </c>
      <c r="AF23" s="1">
        <f t="shared" ca="1" si="31"/>
        <v>5</v>
      </c>
      <c r="AG23" s="1">
        <f t="shared" ca="1" si="32"/>
        <v>3</v>
      </c>
      <c r="AH23" s="245">
        <f t="shared" ca="1" si="33"/>
        <v>1.03051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9</v>
      </c>
      <c r="N24" s="14">
        <f t="array" aca="1" ref="N24" ca="1">IF($AI$15,SUM(($K$17:$K$25&gt;=K24)/COUNTIF($K$17:$K$25,$K$17:$K$25)),SUM(($L$17:$L$25&gt;=L24)/COUNTIF($L$17:$L$25,$L$17:$L$25)))</f>
        <v>1.0000000000000002</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1.0308999999999999</v>
      </c>
      <c r="Y24" s="13">
        <v>0</v>
      </c>
      <c r="Z24" s="1">
        <f t="shared" ca="1" si="26"/>
        <v>3.9</v>
      </c>
      <c r="AA24" s="1">
        <f t="shared" ca="1" si="27"/>
        <v>0</v>
      </c>
      <c r="AB24" s="1">
        <f t="shared" ca="1" si="28"/>
        <v>0</v>
      </c>
      <c r="AC24" s="1">
        <f t="shared" ca="1" si="29"/>
        <v>0</v>
      </c>
      <c r="AD24" s="242">
        <f t="shared" ca="1" si="30"/>
        <v>1</v>
      </c>
      <c r="AE24" s="30">
        <v>0</v>
      </c>
      <c r="AF24" s="1">
        <f t="shared" ca="1" si="31"/>
        <v>5</v>
      </c>
      <c r="AG24" s="1">
        <f t="shared" ca="1" si="32"/>
        <v>3</v>
      </c>
      <c r="AH24" s="245">
        <f t="shared" ca="1" si="33"/>
        <v>1.03051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9</v>
      </c>
      <c r="N25" s="14">
        <f t="array" aca="1" ref="N25" ca="1">IF($AI$15,SUM(($K$17:$K$25&gt;=K25)/COUNTIF($K$17:$K$25,$K$17:$K$25)),SUM(($L$17:$L$25&gt;=L25)/COUNTIF($L$17:$L$25,$L$17:$L$25)))</f>
        <v>1.0000000000000002</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1.0308999999999999</v>
      </c>
      <c r="Y25" s="13">
        <v>0</v>
      </c>
      <c r="Z25" s="1">
        <f t="shared" ca="1" si="26"/>
        <v>3.9</v>
      </c>
      <c r="AA25" s="1">
        <f t="shared" ca="1" si="27"/>
        <v>0</v>
      </c>
      <c r="AB25" s="1">
        <f t="shared" ca="1" si="28"/>
        <v>0</v>
      </c>
      <c r="AC25" s="1">
        <f t="shared" ca="1" si="29"/>
        <v>0</v>
      </c>
      <c r="AD25" s="242">
        <f t="shared" ca="1" si="30"/>
        <v>1</v>
      </c>
      <c r="AE25" s="30">
        <v>0</v>
      </c>
      <c r="AF25" s="1">
        <f t="shared" ca="1" si="31"/>
        <v>5</v>
      </c>
      <c r="AG25" s="1">
        <f t="shared" ca="1" si="32"/>
        <v>3</v>
      </c>
      <c r="AH25" s="246">
        <f t="shared" ca="1" si="33"/>
        <v>1.03051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05">
        <v>1</v>
      </c>
      <c r="F29" s="802"/>
      <c r="G29" s="802"/>
      <c r="H29" s="802"/>
      <c r="I29" s="802"/>
      <c r="J29" s="802"/>
      <c r="K29" s="802"/>
      <c r="L29" s="804"/>
      <c r="M29" s="801">
        <v>2</v>
      </c>
      <c r="N29" s="802"/>
      <c r="O29" s="802"/>
      <c r="P29" s="802"/>
      <c r="Q29" s="802"/>
      <c r="R29" s="802"/>
      <c r="S29" s="802"/>
      <c r="T29" s="804"/>
      <c r="U29" s="801">
        <v>3</v>
      </c>
      <c r="V29" s="802"/>
      <c r="W29" s="802"/>
      <c r="X29" s="802"/>
      <c r="Y29" s="802"/>
      <c r="Z29" s="802"/>
      <c r="AA29" s="802"/>
      <c r="AB29" s="804"/>
      <c r="AC29" s="801">
        <v>4</v>
      </c>
      <c r="AD29" s="802"/>
      <c r="AE29" s="802"/>
      <c r="AF29" s="802"/>
      <c r="AG29" s="802"/>
      <c r="AH29" s="802"/>
      <c r="AI29" s="802"/>
      <c r="AJ29" s="804"/>
      <c r="AK29" s="801">
        <v>5</v>
      </c>
      <c r="AL29" s="802"/>
      <c r="AM29" s="802"/>
      <c r="AN29" s="802"/>
      <c r="AO29" s="802"/>
      <c r="AP29" s="802"/>
      <c r="AQ29" s="802"/>
      <c r="AR29" s="804"/>
      <c r="AS29" s="801">
        <v>6</v>
      </c>
      <c r="AT29" s="802"/>
      <c r="AU29" s="802"/>
      <c r="AV29" s="802"/>
      <c r="AW29" s="802"/>
      <c r="AX29" s="802"/>
      <c r="AY29" s="802"/>
      <c r="AZ29" s="804"/>
      <c r="BA29" s="801">
        <v>7</v>
      </c>
      <c r="BB29" s="802"/>
      <c r="BC29" s="802"/>
      <c r="BD29" s="802"/>
      <c r="BE29" s="802"/>
      <c r="BF29" s="802"/>
      <c r="BG29" s="802"/>
      <c r="BH29" s="804"/>
      <c r="BI29" s="801">
        <v>8</v>
      </c>
      <c r="BJ29" s="802"/>
      <c r="BK29" s="802"/>
      <c r="BL29" s="802"/>
      <c r="BM29" s="802"/>
      <c r="BN29" s="802"/>
      <c r="BO29" s="802"/>
      <c r="BP29" s="803"/>
      <c r="BQ29" s="13"/>
      <c r="BR29" s="5" t="s">
        <v>96</v>
      </c>
      <c r="BS29" s="2" t="str">
        <f ca="1">$F$4</f>
        <v/>
      </c>
      <c r="BT29" s="2" t="str">
        <f ca="1">$F$5</f>
        <v/>
      </c>
      <c r="BU29" s="2" t="str">
        <f>$F$6</f>
        <v/>
      </c>
      <c r="BV29" s="2" t="str">
        <f>$F$7</f>
        <v/>
      </c>
      <c r="BW29" s="2" t="str">
        <f>$F$8</f>
        <v/>
      </c>
      <c r="BX29" s="2" t="str">
        <f>$F$9</f>
        <v/>
      </c>
      <c r="BY29" s="2" t="str">
        <f>$F$10</f>
        <v/>
      </c>
      <c r="BZ29" s="2" t="str">
        <f>$F$11</f>
        <v/>
      </c>
      <c r="CA29" s="2" t="str">
        <f>$F$12</f>
        <v/>
      </c>
      <c r="CB29" s="53"/>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
      </c>
      <c r="BS30" s="7"/>
      <c r="BT30" s="8">
        <f t="shared" ref="BT30:CA32" ca="1" si="35">SUMIFS($X$64:$X$135,$V$64:$V$135,$BR30,$W$64:$W$135,BT$29)+SUMIFS($Y$64:$Y$135,$W$64:$W$135,$BR30,$V$64:$V$135,BT$29)</f>
        <v>0</v>
      </c>
      <c r="BU30" s="8">
        <f t="shared" ca="1" si="35"/>
        <v>0</v>
      </c>
      <c r="BV30" s="8">
        <f t="shared" ca="1" si="35"/>
        <v>0</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
      </c>
      <c r="BS31" s="9">
        <f t="shared" ref="BS31:BU38" ca="1" si="37">SUMIFS($X$64:$X$135,$V$64:$V$135,$BR31,$W$64:$W$135,BS$29)+SUMIFS($Y$64:$Y$135,$W$64:$W$135,$BR31,$V$64:$V$135,BS$29)</f>
        <v>0</v>
      </c>
      <c r="BT31" s="7"/>
      <c r="BU31" s="8">
        <f t="shared" ca="1" si="35"/>
        <v>0</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si="36"/>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4"/>
        <v/>
      </c>
      <c r="BS32" s="9">
        <f t="shared" ca="1" si="37"/>
        <v>0</v>
      </c>
      <c r="BT32" s="9">
        <f t="shared" ca="1" si="37"/>
        <v>0</v>
      </c>
      <c r="BU32" s="7"/>
      <c r="BV32" s="8">
        <f t="shared" ca="1" si="35"/>
        <v>0</v>
      </c>
      <c r="BW32" s="8">
        <f t="shared" ca="1" si="35"/>
        <v>0</v>
      </c>
      <c r="BX32" s="8">
        <f t="shared" ca="1" si="35"/>
        <v>0</v>
      </c>
      <c r="BY32" s="8">
        <f t="shared" ca="1" si="35"/>
        <v>0</v>
      </c>
      <c r="BZ32" s="8">
        <f t="shared" ca="1" si="35"/>
        <v>0</v>
      </c>
      <c r="CA32" s="8">
        <f t="shared" ca="1" si="35"/>
        <v>0</v>
      </c>
      <c r="CB32" s="4"/>
    </row>
    <row r="33" spans="2:80" s="2" customFormat="1" x14ac:dyDescent="0.2">
      <c r="C33" s="2" t="str">
        <f t="shared" si="36"/>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4"/>
        <v/>
      </c>
      <c r="BS33" s="9">
        <f t="shared" ca="1" si="37"/>
        <v>0</v>
      </c>
      <c r="BT33" s="9">
        <f t="shared" ca="1" si="37"/>
        <v>0</v>
      </c>
      <c r="BU33" s="9">
        <f t="shared" ca="1" si="37"/>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38"/>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8"/>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
      </c>
      <c r="BS52" s="7"/>
      <c r="BT52" s="8">
        <f t="shared" ref="BT52:CA58" ca="1" si="41">SUMIFS($AE$64:$AE$135,$V$64:$V$135,$BR52,$W$64:$W$135,BT$51)+SUMIFS($AF$64:$AF$135,$W$64:$W$135,$BR52,$V$64:$V$135,BT$51)</f>
        <v>0</v>
      </c>
      <c r="BU52" s="8">
        <f t="shared" ca="1" si="41"/>
        <v>0</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
      </c>
      <c r="BS53" s="9">
        <f t="shared" ref="BS53:BU60" ca="1" si="42">SUMIFS($AE$64:$AE$135,$V$64:$V$135,$BR53,$W$64:$W$135,BS$51)+SUMIFS($AF$64:$AF$135,$W$64:$W$135,$BR53,$V$64:$V$135,BS$51)</f>
        <v>0</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40"/>
        <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40"/>
        <v/>
      </c>
      <c r="BS55" s="9">
        <f t="shared" ca="1" si="42"/>
        <v>0</v>
      </c>
      <c r="BT55" s="9">
        <f t="shared" ca="1" si="42"/>
        <v>0</v>
      </c>
      <c r="BU55" s="9">
        <f t="shared" ca="1" si="42"/>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87" t="s">
        <v>177</v>
      </c>
      <c r="Z63" s="160" t="s">
        <v>162</v>
      </c>
      <c r="AA63" s="160" t="s">
        <v>16</v>
      </c>
      <c r="AB63" s="160" t="s">
        <v>160</v>
      </c>
      <c r="AC63" s="574" t="s">
        <v>163</v>
      </c>
      <c r="AD63" s="160" t="s">
        <v>161</v>
      </c>
      <c r="AE63" s="795" t="s">
        <v>112</v>
      </c>
      <c r="AF63" s="795"/>
      <c r="AG63" s="4"/>
      <c r="AH63" s="4"/>
      <c r="AI63" s="4"/>
      <c r="AJ63" s="4"/>
      <c r="AK63" s="4"/>
      <c r="AL63" s="4"/>
      <c r="AM63" s="4"/>
      <c r="AN63" s="4"/>
      <c r="AO63" s="4"/>
      <c r="AP63" s="4"/>
      <c r="AQ63" s="4"/>
      <c r="AR63" s="4"/>
    </row>
    <row r="64" spans="2:80" s="2" customFormat="1" ht="14.25" thickTop="1" thickBot="1" x14ac:dyDescent="0.25">
      <c r="F64" s="188">
        <v>1000000</v>
      </c>
      <c r="G64" s="189" t="s">
        <v>112</v>
      </c>
      <c r="P64" s="46" t="s">
        <v>7</v>
      </c>
      <c r="Q64" s="61" t="str">
        <f ca="1">IF('Finals 4'!$AE40="","",'Finals 4'!$AE40)</f>
        <v/>
      </c>
      <c r="U64" s="66" t="s">
        <v>7</v>
      </c>
      <c r="V64" s="40" t="str">
        <f ca="1">'Finals 4'!$I12</f>
        <v/>
      </c>
      <c r="W64" s="33" t="str">
        <f ca="1">'Finals 4'!$K12</f>
        <v/>
      </c>
      <c r="X64" s="33" t="str">
        <f ca="1">IF(AND('Finals 4'!$L12&lt;&gt;"",'Finals 4'!$N12&lt;&gt;"",$V64&lt;&gt;$W64,$V64&lt;&gt;"",$W64&lt;&gt;""),'Finals 4'!$L12,"")</f>
        <v/>
      </c>
      <c r="Y64" s="34" t="str">
        <f ca="1">IF(AND('Finals 4'!$L12&lt;&gt;"",'Finals 4'!$N12&lt;&gt;"",$V64&lt;&gt;$W64,$V64&lt;&gt;"",$W64&lt;&gt;""),'Finals 4'!$N12,"")</f>
        <v/>
      </c>
      <c r="Z64" s="32" t="str">
        <f ca="1">V64&amp;W64</f>
        <v/>
      </c>
      <c r="AA64" s="33">
        <f ca="1">IF(AND(V64&lt;&gt;"",W64&lt;&gt;"",V64&lt;&gt;W64,X64&lt;&gt;"",Y64&lt;&gt;""),1,0)</f>
        <v>0</v>
      </c>
      <c r="AB64" s="142" t="str">
        <f ca="1">IF(AA64&gt;0,X64&amp;Language!$E$80&amp;Y64,"")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0">
        <v>1000</v>
      </c>
      <c r="G65" s="191" t="s">
        <v>111</v>
      </c>
      <c r="H65" s="195">
        <v>500</v>
      </c>
      <c r="I65" s="194" t="s">
        <v>312</v>
      </c>
      <c r="P65" s="47" t="s">
        <v>8</v>
      </c>
      <c r="Q65" s="62" t="str">
        <f ca="1">IF('Finals 4'!$AE41="","",'Finals 4'!$AE41)</f>
        <v/>
      </c>
      <c r="U65" s="67" t="s">
        <v>8</v>
      </c>
      <c r="V65" s="41" t="str">
        <f ca="1">'Finals 4'!$I13</f>
        <v>VFB Essenheim</v>
      </c>
      <c r="W65" s="13" t="str">
        <f ca="1">'Finals 4'!$K13</f>
        <v>SSV Wildbach</v>
      </c>
      <c r="X65" s="13">
        <f ca="1">IF(AND('Finals 4'!$L13&lt;&gt;"",'Finals 4'!$N13&lt;&gt;"",$V65&lt;&gt;$W65,$V65&lt;&gt;"",$W65&lt;&gt;""),'Finals 4'!$L13,"")</f>
        <v>2</v>
      </c>
      <c r="Y65" s="36">
        <f ca="1">IF(AND('Finals 4'!$L13&lt;&gt;"",'Finals 4'!$N13&lt;&gt;"",$V65&lt;&gt;$W65,$V65&lt;&gt;"",$W65&lt;&gt;""),'Finals 4'!$N13,"")</f>
        <v>4</v>
      </c>
      <c r="Z65" s="35" t="str">
        <f t="shared" ref="Z65:Z73" ca="1" si="43">V65&amp;W65</f>
        <v>VFB EssenheimSSV Wildbach</v>
      </c>
      <c r="AA65" s="13">
        <f t="shared" ref="AA65:AA128" ca="1" si="44">IF(AND(V65&lt;&gt;"",W65&lt;&gt;"",V65&lt;&gt;W65,X65&lt;&gt;"",Y65&lt;&gt;""),1,0)</f>
        <v>1</v>
      </c>
      <c r="AB65" s="13" t="str">
        <f ca="1">IF(AA65&gt;0,X65&amp;Language!$E$80&amp;Y65,"")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2">
        <v>1</v>
      </c>
      <c r="G66" s="193" t="s">
        <v>109</v>
      </c>
      <c r="P66" s="47"/>
      <c r="Q66" s="62" t="str">
        <f>""</f>
        <v/>
      </c>
      <c r="U66" s="67" t="s">
        <v>9</v>
      </c>
      <c r="V66" s="41" t="str">
        <f ca="1">'Finals 4'!$I14</f>
        <v>Knock Out Rangers</v>
      </c>
      <c r="W66" s="13" t="str">
        <f ca="1">'Finals 4'!$K14</f>
        <v>FC Grönlingen</v>
      </c>
      <c r="X66" s="13">
        <f ca="1">IF(AND('Finals 4'!$L14&lt;&gt;"",'Finals 4'!$N14&lt;&gt;"",$V66&lt;&gt;$W66,$V66&lt;&gt;"",$W66&lt;&gt;""),'Finals 4'!$L14,"")</f>
        <v>2</v>
      </c>
      <c r="Y66" s="36">
        <f ca="1">IF(AND('Finals 4'!$L14&lt;&gt;"",'Finals 4'!$N14&lt;&gt;"",$V66&lt;&gt;$W66,$V66&lt;&gt;"",$W66&lt;&gt;""),'Finals 4'!$N14,"")</f>
        <v>1</v>
      </c>
      <c r="Z66" s="35" t="str">
        <f t="shared" ca="1" si="43"/>
        <v>Knock Out RangersFC Grönlingen</v>
      </c>
      <c r="AA66" s="13">
        <f t="shared" ca="1" si="44"/>
        <v>1</v>
      </c>
      <c r="AB66" s="13" t="str">
        <f ca="1">IF(AA66&gt;0,X66&amp;Language!$E$80&amp;Y66,"")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c r="Q67" s="62" t="str">
        <f>""</f>
        <v/>
      </c>
      <c r="U67" s="67" t="s">
        <v>10</v>
      </c>
      <c r="V67" s="41" t="str">
        <f ca="1">'Finals 4'!$I15</f>
        <v>Raslo Winners</v>
      </c>
      <c r="W67" s="13" t="str">
        <f ca="1">'Finals 4'!$K15</f>
        <v>Mainz 05</v>
      </c>
      <c r="X67" s="13">
        <f ca="1">IF(AND('Finals 4'!$L15&lt;&gt;"",'Finals 4'!$N15&lt;&gt;"",$V67&lt;&gt;$W67,$V67&lt;&gt;"",$W67&lt;&gt;""),'Finals 4'!$L15,"")</f>
        <v>1</v>
      </c>
      <c r="Y67" s="36">
        <f ca="1">IF(AND('Finals 4'!$L15&lt;&gt;"",'Finals 4'!$N15&lt;&gt;"",$V67&lt;&gt;$W67,$V67&lt;&gt;"",$W67&lt;&gt;""),'Finals 4'!$N15,"")</f>
        <v>1</v>
      </c>
      <c r="Z67" s="35" t="str">
        <f t="shared" ca="1" si="43"/>
        <v>Raslo WinnersMainz 05</v>
      </c>
      <c r="AA67" s="13">
        <f t="shared" ca="1" si="44"/>
        <v>1</v>
      </c>
      <c r="AB67" s="13" t="str">
        <f ca="1">IF(AA67&gt;0,X67&amp;Language!$E$80&amp;Y67,"")</f>
        <v>1-1</v>
      </c>
      <c r="AD67" s="144"/>
      <c r="AE67" s="149">
        <f ca="1">IF($AA67=0,"",IF($X67&gt;$Y67,Settings!$C$4,IF($X67=$Y67,1,0)))</f>
        <v>1</v>
      </c>
      <c r="AF67" s="144">
        <f ca="1">IF($AA67=0,"",IF($X67&lt;$Y67,Settings!$C$4,IF($X67=$Y67,1,0)))</f>
        <v>1</v>
      </c>
      <c r="AH67" s="4"/>
      <c r="AI67" s="13"/>
      <c r="AJ67" s="13"/>
      <c r="AK67" s="4"/>
      <c r="AL67" s="13"/>
      <c r="AM67" s="13"/>
      <c r="AN67" s="13"/>
      <c r="AO67" s="13"/>
      <c r="AP67" s="13"/>
      <c r="AQ67" s="13"/>
    </row>
    <row r="68" spans="2:43" s="2" customFormat="1" x14ac:dyDescent="0.2">
      <c r="P68" s="47"/>
      <c r="Q68" s="62" t="str">
        <f>""</f>
        <v/>
      </c>
      <c r="U68" s="67" t="s">
        <v>11</v>
      </c>
      <c r="V68" s="41" t="str">
        <f ca="1">'Finals 4'!$I16</f>
        <v>FC Barcelona</v>
      </c>
      <c r="W68" s="13" t="str">
        <f ca="1">'Finals 4'!$K16</f>
        <v>AC Roma</v>
      </c>
      <c r="X68" s="13">
        <f ca="1">IF(AND('Finals 4'!$L16&lt;&gt;"",'Finals 4'!$N16&lt;&gt;"",$V68&lt;&gt;$W68,$V68&lt;&gt;"",$W68&lt;&gt;""),'Finals 4'!$L16,"")</f>
        <v>5</v>
      </c>
      <c r="Y68" s="36">
        <f ca="1">IF(AND('Finals 4'!$L16&lt;&gt;"",'Finals 4'!$N16&lt;&gt;"",$V68&lt;&gt;$W68,$V68&lt;&gt;"",$W68&lt;&gt;""),'Finals 4'!$N16,"")</f>
        <v>1</v>
      </c>
      <c r="Z68" s="35" t="str">
        <f t="shared" ca="1" si="43"/>
        <v>FC BarcelonaAC Roma</v>
      </c>
      <c r="AA68" s="13">
        <f t="shared" ca="1" si="44"/>
        <v>1</v>
      </c>
      <c r="AB68" s="13" t="str">
        <f ca="1">IF(AA68&gt;0,X68&amp;Language!$E$80&amp;Y68,"")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VFL Ronsdorf</v>
      </c>
      <c r="W69" s="13" t="str">
        <f ca="1">'Finals 4'!$K17</f>
        <v>1. FC Riedwald</v>
      </c>
      <c r="X69" s="13">
        <f ca="1">IF(AND('Finals 4'!$L17&lt;&gt;"",'Finals 4'!$N17&lt;&gt;"",$V69&lt;&gt;$W69,$V69&lt;&gt;"",$W69&lt;&gt;""),'Finals 4'!$L17,"")</f>
        <v>2</v>
      </c>
      <c r="Y69" s="36">
        <f ca="1">IF(AND('Finals 4'!$L17&lt;&gt;"",'Finals 4'!$N17&lt;&gt;"",$V69&lt;&gt;$W69,$V69&lt;&gt;"",$W69&lt;&gt;""),'Finals 4'!$N17,"")</f>
        <v>0</v>
      </c>
      <c r="Z69" s="35" t="str">
        <f t="shared" ca="1" si="43"/>
        <v>VFL Ronsdorf1. FC Riedwald</v>
      </c>
      <c r="AA69" s="13">
        <f t="shared" ca="1" si="44"/>
        <v>1</v>
      </c>
      <c r="AB69" s="13" t="str">
        <f ca="1">IF(AA69&gt;0,X69&amp;Language!$E$80&amp;Y69,"")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Borussia Heine</v>
      </c>
      <c r="W70" s="13" t="str">
        <f ca="1">'Finals 4'!$K18</f>
        <v>Maibach 1822 eV</v>
      </c>
      <c r="X70" s="13">
        <f ca="1">IF(AND('Finals 4'!$L18&lt;&gt;"",'Finals 4'!$N18&lt;&gt;"",$V70&lt;&gt;$W70,$V70&lt;&gt;"",$W70&lt;&gt;""),'Finals 4'!$L18,"")</f>
        <v>1</v>
      </c>
      <c r="Y70" s="36">
        <f ca="1">IF(AND('Finals 4'!$L18&lt;&gt;"",'Finals 4'!$N18&lt;&gt;"",$V70&lt;&gt;$W70,$V70&lt;&gt;"",$W70&lt;&gt;""),'Finals 4'!$N18,"")</f>
        <v>2</v>
      </c>
      <c r="Z70" s="35" t="str">
        <f t="shared" ca="1" si="43"/>
        <v>Borussia HeineMaibach 1822 eV</v>
      </c>
      <c r="AA70" s="13">
        <f t="shared" ca="1" si="44"/>
        <v>1</v>
      </c>
      <c r="AB70" s="13" t="str">
        <f ca="1">IF(AA70&gt;0,X70&amp;Language!$E$80&amp;Y70,"")</f>
        <v>1-2</v>
      </c>
      <c r="AD70" s="144"/>
      <c r="AE70" s="149">
        <f ca="1">IF($AA70=0,"",IF($X70&gt;$Y70,Settings!$C$4,IF($X70=$Y70,1,0)))</f>
        <v>0</v>
      </c>
      <c r="AF70" s="144">
        <f ca="1">IF($AA70=0,"",IF($X70&lt;$Y70,Settings!$C$4,IF($X70=$Y70,1,0)))</f>
        <v>3</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Inter Mailand</v>
      </c>
      <c r="W71" s="13" t="str">
        <f ca="1">'Finals 4'!$K19</f>
        <v>Fun Kickers Oes</v>
      </c>
      <c r="X71" s="13">
        <f ca="1">IF(AND('Finals 4'!$L19&lt;&gt;"",'Finals 4'!$N19&lt;&gt;"",$V71&lt;&gt;$W71,$V71&lt;&gt;"",$W71&lt;&gt;""),'Finals 4'!$L19,"")</f>
        <v>5</v>
      </c>
      <c r="Y71" s="36">
        <f ca="1">IF(AND('Finals 4'!$L19&lt;&gt;"",'Finals 4'!$N19&lt;&gt;"",$V71&lt;&gt;$W71,$V71&lt;&gt;"",$W71&lt;&gt;""),'Finals 4'!$N19,"")</f>
        <v>3</v>
      </c>
      <c r="Z71" s="35" t="str">
        <f t="shared" ca="1" si="43"/>
        <v>Inter MailandFun Kickers Oes</v>
      </c>
      <c r="AA71" s="13">
        <f t="shared" ca="1" si="44"/>
        <v>1</v>
      </c>
      <c r="AB71" s="13" t="str">
        <f ca="1">IF(AA71&gt;0,X71&amp;Language!$E$80&amp;Y71,"")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Manchester City</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Manchester CityEintracht Frankfurt</v>
      </c>
      <c r="AA72" s="13">
        <f t="shared" ca="1" si="44"/>
        <v>1</v>
      </c>
      <c r="AB72" s="13" t="str">
        <f ca="1">IF(AA72&gt;0,X72&amp;Language!$E$80&amp;Y72,"")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VFB Essenheim</v>
      </c>
      <c r="W73" s="13" t="str">
        <f ca="1">'Finals 4'!$K21</f>
        <v>1. FC Riedwald</v>
      </c>
      <c r="X73" s="13">
        <f ca="1">IF(AND('Finals 4'!$L21&lt;&gt;"",'Finals 4'!$N21&lt;&gt;"",$V73&lt;&gt;$W73,$V73&lt;&gt;"",$W73&lt;&gt;""),'Finals 4'!$L21,"")</f>
        <v>2</v>
      </c>
      <c r="Y73" s="36">
        <f ca="1">IF(AND('Finals 4'!$L21&lt;&gt;"",'Finals 4'!$N21&lt;&gt;"",$V73&lt;&gt;$W73,$V73&lt;&gt;"",$W73&lt;&gt;""),'Finals 4'!$N21,"")</f>
        <v>2</v>
      </c>
      <c r="Z73" s="35" t="str">
        <f t="shared" ca="1" si="43"/>
        <v>VFB Essenheim1. FC Riedwald</v>
      </c>
      <c r="AA73" s="13">
        <f t="shared" ca="1" si="44"/>
        <v>1</v>
      </c>
      <c r="AB73" s="13" t="str">
        <f ca="1">IF(AA73&gt;0,X73&amp;Language!$E$80&amp;Y73,"")</f>
        <v>2-2</v>
      </c>
      <c r="AD73" s="144"/>
      <c r="AE73" s="149">
        <f ca="1">IF($AA73=0,"",IF($X73&gt;$Y73,Settings!$C$4,IF($X73=$Y73,1,0)))</f>
        <v>1</v>
      </c>
      <c r="AF73" s="144">
        <f ca="1">IF($AA73=0,"",IF($X73&lt;$Y73,Settings!$C$4,IF($X73=$Y73,1,0)))</f>
        <v>1</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Knock Out Rangers</v>
      </c>
      <c r="W74" s="13" t="str">
        <f ca="1">'Finals 4'!$K22</f>
        <v>Maibach 1822 eV</v>
      </c>
      <c r="X74" s="13">
        <f ca="1">IF(AND('Finals 4'!$L22&lt;&gt;"",'Finals 4'!$N22&lt;&gt;"",$V74&lt;&gt;$W74,$V74&lt;&gt;"",$W74&lt;&gt;""),'Finals 4'!$L22,"")</f>
        <v>4</v>
      </c>
      <c r="Y74" s="36">
        <f ca="1">IF(AND('Finals 4'!$L22&lt;&gt;"",'Finals 4'!$N22&lt;&gt;"",$V74&lt;&gt;$W74,$V74&lt;&gt;"",$W74&lt;&gt;""),'Finals 4'!$N22,"")</f>
        <v>2</v>
      </c>
      <c r="Z74" s="35" t="str">
        <f ca="1">V74&amp;W74</f>
        <v>Knock Out RangersMaibach 1822 eV</v>
      </c>
      <c r="AA74" s="13">
        <f t="shared" ca="1" si="44"/>
        <v>1</v>
      </c>
      <c r="AB74" s="13" t="str">
        <f ca="1">IF(AA74&gt;0,X74&amp;Language!$E$80&amp;Y74,"")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Raslo Winners</v>
      </c>
      <c r="W75" s="13" t="str">
        <f ca="1">'Finals 4'!$K23</f>
        <v>Fun Kickers Oes</v>
      </c>
      <c r="X75" s="13">
        <f ca="1">IF(AND('Finals 4'!$L23&lt;&gt;"",'Finals 4'!$N23&lt;&gt;"",$V75&lt;&gt;$W75,$V75&lt;&gt;"",$W75&lt;&gt;""),'Finals 4'!$L23,"")</f>
        <v>4</v>
      </c>
      <c r="Y75" s="36">
        <f ca="1">IF(AND('Finals 4'!$L23&lt;&gt;"",'Finals 4'!$N23&lt;&gt;"",$V75&lt;&gt;$W75,$V75&lt;&gt;"",$W75&lt;&gt;""),'Finals 4'!$N23,"")</f>
        <v>3</v>
      </c>
      <c r="Z75" s="35" t="str">
        <f t="shared" ref="Z75:Z93" ca="1" si="45">V75&amp;W75</f>
        <v>Raslo WinnersFun Kickers Oes</v>
      </c>
      <c r="AA75" s="13">
        <f t="shared" ca="1" si="44"/>
        <v>1</v>
      </c>
      <c r="AB75" s="13" t="str">
        <f ca="1">IF(AA75&gt;0,X75&amp;Language!$E$80&amp;Y75,"")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FC Barcelona</v>
      </c>
      <c r="W76" s="13" t="str">
        <f ca="1">'Finals 4'!$K24</f>
        <v>Eintracht Frankfurt</v>
      </c>
      <c r="X76" s="13">
        <f ca="1">IF(AND('Finals 4'!$L24&lt;&gt;"",'Finals 4'!$N24&lt;&gt;"",$V76&lt;&gt;$W76,$V76&lt;&gt;"",$W76&lt;&gt;""),'Finals 4'!$L24,"")</f>
        <v>0</v>
      </c>
      <c r="Y76" s="36">
        <f ca="1">IF(AND('Finals 4'!$L24&lt;&gt;"",'Finals 4'!$N24&lt;&gt;"",$V76&lt;&gt;$W76,$V76&lt;&gt;"",$W76&lt;&gt;""),'Finals 4'!$N24,"")</f>
        <v>0</v>
      </c>
      <c r="Z76" s="35" t="str">
        <f t="shared" ca="1" si="45"/>
        <v>FC BarcelonaEintracht Frankfurt</v>
      </c>
      <c r="AA76" s="13">
        <f t="shared" ca="1" si="44"/>
        <v>1</v>
      </c>
      <c r="AB76" s="13" t="str">
        <f ca="1">IF(AA76&gt;0,X76&amp;Language!$E$80&amp;Y76,"")</f>
        <v>0-0</v>
      </c>
      <c r="AD76" s="144"/>
      <c r="AE76" s="149">
        <f ca="1">IF($AA76=0,"",IF($X76&gt;$Y76,Settings!$C$4,IF($X76=$Y76,1,0)))</f>
        <v>1</v>
      </c>
      <c r="AF76" s="144">
        <f ca="1">IF($AA76=0,"",IF($X76&lt;$Y76,Settings!$C$4,IF($X76=$Y76,1,0)))</f>
        <v>1</v>
      </c>
    </row>
    <row r="77" spans="2:43" s="2" customFormat="1" x14ac:dyDescent="0.2">
      <c r="B77" s="4"/>
      <c r="C77" s="4"/>
      <c r="D77" s="4"/>
      <c r="E77" s="4"/>
      <c r="F77" s="13"/>
      <c r="G77" s="13"/>
      <c r="H77" s="13"/>
      <c r="I77" s="13"/>
      <c r="J77" s="13"/>
      <c r="K77" s="13"/>
      <c r="L77" s="13"/>
      <c r="M77" s="13"/>
      <c r="U77" s="67" t="s">
        <v>29</v>
      </c>
      <c r="V77" s="41" t="str">
        <f ca="1">'Finals 4'!$I25</f>
        <v>VFL Ronsdorf</v>
      </c>
      <c r="W77" s="13" t="str">
        <f ca="1">'Finals 4'!$K25</f>
        <v>SSV Wildbach</v>
      </c>
      <c r="X77" s="13">
        <f ca="1">IF(AND('Finals 4'!$L25&lt;&gt;"",'Finals 4'!$N25&lt;&gt;"",$V77&lt;&gt;$W77,$V77&lt;&gt;"",$W77&lt;&gt;""),'Finals 4'!$L25,"")</f>
        <v>1</v>
      </c>
      <c r="Y77" s="36">
        <f ca="1">IF(AND('Finals 4'!$L25&lt;&gt;"",'Finals 4'!$N25&lt;&gt;"",$V77&lt;&gt;$W77,$V77&lt;&gt;"",$W77&lt;&gt;""),'Finals 4'!$N25,"")</f>
        <v>5</v>
      </c>
      <c r="Z77" s="35" t="str">
        <f t="shared" ca="1" si="45"/>
        <v>VFL RonsdorfSSV Wildbach</v>
      </c>
      <c r="AA77" s="13">
        <f t="shared" ca="1" si="44"/>
        <v>1</v>
      </c>
      <c r="AB77" s="13" t="str">
        <f ca="1">IF(AA77&gt;0,X77&amp;Language!$E$80&amp;Y77,"")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Borussia Heine</v>
      </c>
      <c r="W78" s="13" t="str">
        <f ca="1">'Finals 4'!$K26</f>
        <v>FC Grönlingen</v>
      </c>
      <c r="X78" s="13">
        <f ca="1">IF(AND('Finals 4'!$L26&lt;&gt;"",'Finals 4'!$N26&lt;&gt;"",$V78&lt;&gt;$W78,$V78&lt;&gt;"",$W78&lt;&gt;""),'Finals 4'!$L26,"")</f>
        <v>4</v>
      </c>
      <c r="Y78" s="36">
        <f ca="1">IF(AND('Finals 4'!$L26&lt;&gt;"",'Finals 4'!$N26&lt;&gt;"",$V78&lt;&gt;$W78,$V78&lt;&gt;"",$W78&lt;&gt;""),'Finals 4'!$N26,"")</f>
        <v>4</v>
      </c>
      <c r="Z78" s="35" t="str">
        <f t="shared" ca="1" si="45"/>
        <v>Borussia HeineFC Grönlingen</v>
      </c>
      <c r="AA78" s="13">
        <f t="shared" ca="1" si="44"/>
        <v>1</v>
      </c>
      <c r="AB78" s="13" t="str">
        <f ca="1">IF(AA78&gt;0,X78&amp;Language!$E$80&amp;Y78,"")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Inter Mailand</v>
      </c>
      <c r="W79" s="13" t="str">
        <f ca="1">'Finals 4'!$K27</f>
        <v>Mainz 05</v>
      </c>
      <c r="X79" s="13">
        <f ca="1">IF(AND('Finals 4'!$L27&lt;&gt;"",'Finals 4'!$N27&lt;&gt;"",$V79&lt;&gt;$W79,$V79&lt;&gt;"",$W79&lt;&gt;""),'Finals 4'!$L27,"")</f>
        <v>0</v>
      </c>
      <c r="Y79" s="36">
        <f ca="1">IF(AND('Finals 4'!$L27&lt;&gt;"",'Finals 4'!$N27&lt;&gt;"",$V79&lt;&gt;$W79,$V79&lt;&gt;"",$W79&lt;&gt;""),'Finals 4'!$N27,"")</f>
        <v>7</v>
      </c>
      <c r="Z79" s="35" t="str">
        <f t="shared" ca="1" si="45"/>
        <v>Inter MailandMainz 05</v>
      </c>
      <c r="AA79" s="13">
        <f t="shared" ca="1" si="44"/>
        <v>1</v>
      </c>
      <c r="AB79" s="13" t="str">
        <f ca="1">IF(AA79&gt;0,X79&amp;Language!$E$80&amp;Y79,"")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Manchester City</v>
      </c>
      <c r="W80" s="13" t="str">
        <f ca="1">'Finals 4'!$K28</f>
        <v>AC Roma</v>
      </c>
      <c r="X80" s="13">
        <f ca="1">IF(AND('Finals 4'!$L28&lt;&gt;"",'Finals 4'!$N28&lt;&gt;"",$V80&lt;&gt;$W80,$V80&lt;&gt;"",$W80&lt;&gt;""),'Finals 4'!$L28,"")</f>
        <v>2</v>
      </c>
      <c r="Y80" s="36">
        <f ca="1">IF(AND('Finals 4'!$L28&lt;&gt;"",'Finals 4'!$N28&lt;&gt;"",$V80&lt;&gt;$W80,$V80&lt;&gt;"",$W80&lt;&gt;""),'Finals 4'!$N28,"")</f>
        <v>8</v>
      </c>
      <c r="Z80" s="35" t="str">
        <f t="shared" ca="1" si="45"/>
        <v>Manchester CityAC Roma</v>
      </c>
      <c r="AA80" s="13">
        <f t="shared" ca="1" si="44"/>
        <v>1</v>
      </c>
      <c r="AB80" s="13" t="str">
        <f ca="1">IF(AA80&gt;0,X80&amp;Language!$E$80&amp;Y80,"")</f>
        <v>2-8</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'Finals 4'!$I29</f>
        <v>1. FC Riedwald</v>
      </c>
      <c r="W81" s="13" t="str">
        <f ca="1">'Finals 4'!$K29</f>
        <v>SSV Wildbach</v>
      </c>
      <c r="X81" s="13">
        <f ca="1">IF(AND('Finals 4'!$L29&lt;&gt;"",'Finals 4'!$N29&lt;&gt;"",$V81&lt;&gt;$W81,$V81&lt;&gt;"",$W81&lt;&gt;""),'Finals 4'!$L29,"")</f>
        <v>3</v>
      </c>
      <c r="Y81" s="36">
        <f ca="1">IF(AND('Finals 4'!$L29&lt;&gt;"",'Finals 4'!$N29&lt;&gt;"",$V81&lt;&gt;$W81,$V81&lt;&gt;"",$W81&lt;&gt;""),'Finals 4'!$N29,"")</f>
        <v>9</v>
      </c>
      <c r="Z81" s="35" t="str">
        <f t="shared" ca="1" si="45"/>
        <v>1. FC RiedwaldSSV Wildbach</v>
      </c>
      <c r="AA81" s="13">
        <f t="shared" ca="1" si="44"/>
        <v>1</v>
      </c>
      <c r="AB81" s="13" t="str">
        <f ca="1">IF(AA81&gt;0,X81&amp;Language!$E$80&amp;Y81,"")</f>
        <v>3-9</v>
      </c>
      <c r="AC81" s="4"/>
      <c r="AD81" s="144"/>
      <c r="AE81" s="149">
        <f ca="1">IF($AA81=0,"",IF($X81&gt;$Y81,Settings!$C$4,IF($X81=$Y81,1,0)))</f>
        <v>0</v>
      </c>
      <c r="AF81" s="144">
        <f ca="1">IF($AA81=0,"",IF($X81&lt;$Y81,Settings!$C$4,IF($X81=$Y81,1,0)))</f>
        <v>3</v>
      </c>
    </row>
    <row r="82" spans="2:32" s="2" customFormat="1" x14ac:dyDescent="0.2">
      <c r="B82" s="4"/>
      <c r="C82" s="4"/>
      <c r="D82" s="4"/>
      <c r="E82" s="4"/>
      <c r="F82" s="13"/>
      <c r="G82" s="13"/>
      <c r="H82" s="13"/>
      <c r="I82" s="13"/>
      <c r="J82" s="13"/>
      <c r="K82" s="13"/>
      <c r="L82" s="13"/>
      <c r="M82" s="13"/>
      <c r="U82" s="67" t="s">
        <v>34</v>
      </c>
      <c r="V82" s="41" t="str">
        <f ca="1">'Finals 4'!$I30</f>
        <v>Maibach 1822 eV</v>
      </c>
      <c r="W82" s="13" t="str">
        <f ca="1">'Finals 4'!$K30</f>
        <v>FC Grönlingen</v>
      </c>
      <c r="X82" s="13">
        <f ca="1">IF(AND('Finals 4'!$L30&lt;&gt;"",'Finals 4'!$N30&lt;&gt;"",$V82&lt;&gt;$W82,$V82&lt;&gt;"",$W82&lt;&gt;""),'Finals 4'!$L30,"")</f>
        <v>4</v>
      </c>
      <c r="Y82" s="36">
        <f ca="1">IF(AND('Finals 4'!$L30&lt;&gt;"",'Finals 4'!$N30&lt;&gt;"",$V82&lt;&gt;$W82,$V82&lt;&gt;"",$W82&lt;&gt;""),'Finals 4'!$N30,"")</f>
        <v>10</v>
      </c>
      <c r="Z82" s="35" t="str">
        <f t="shared" ca="1" si="45"/>
        <v>Maibach 1822 eVFC Grönlingen</v>
      </c>
      <c r="AA82" s="13">
        <f t="shared" ca="1" si="44"/>
        <v>1</v>
      </c>
      <c r="AB82" s="13" t="str">
        <f ca="1">IF(AA82&gt;0,X82&amp;Language!$E$80&amp;Y82,"")</f>
        <v>4-10</v>
      </c>
      <c r="AC82" s="4"/>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'Finals 4'!$I31</f>
        <v>Fun Kickers Oes</v>
      </c>
      <c r="W83" s="13" t="str">
        <f ca="1">'Finals 4'!$K31</f>
        <v>Mainz 05</v>
      </c>
      <c r="X83" s="13">
        <f ca="1">IF(AND('Finals 4'!$L31&lt;&gt;"",'Finals 4'!$N31&lt;&gt;"",$V83&lt;&gt;$W83,$V83&lt;&gt;"",$W83&lt;&gt;""),'Finals 4'!$L31,"")</f>
        <v>5</v>
      </c>
      <c r="Y83" s="36">
        <f ca="1">IF(AND('Finals 4'!$L31&lt;&gt;"",'Finals 4'!$N31&lt;&gt;"",$V83&lt;&gt;$W83,$V83&lt;&gt;"",$W83&lt;&gt;""),'Finals 4'!$N31,"")</f>
        <v>11</v>
      </c>
      <c r="Z83" s="35" t="str">
        <f t="shared" ca="1" si="45"/>
        <v>Fun Kickers OesMainz 05</v>
      </c>
      <c r="AA83" s="13">
        <f t="shared" ca="1" si="44"/>
        <v>1</v>
      </c>
      <c r="AB83" s="13" t="str">
        <f ca="1">IF(AA83&gt;0,X83&amp;Language!$E$80&amp;Y83,"")</f>
        <v>5-11</v>
      </c>
      <c r="AD83" s="144"/>
      <c r="AE83" s="149">
        <f ca="1">IF($AA83=0,"",IF($X83&gt;$Y83,Settings!$C$4,IF($X83=$Y83,1,0)))</f>
        <v>0</v>
      </c>
      <c r="AF83" s="144">
        <f ca="1">IF($AA83=0,"",IF($X83&lt;$Y83,Settings!$C$4,IF($X83=$Y83,1,0)))</f>
        <v>3</v>
      </c>
    </row>
    <row r="84" spans="2:32" s="2" customFormat="1" x14ac:dyDescent="0.2">
      <c r="B84" s="4"/>
      <c r="C84" s="4"/>
      <c r="D84" s="4"/>
      <c r="E84" s="4"/>
      <c r="F84" s="13"/>
      <c r="G84" s="13"/>
      <c r="H84" s="13"/>
      <c r="I84" s="13"/>
      <c r="J84" s="13"/>
      <c r="K84" s="13"/>
      <c r="L84" s="13"/>
      <c r="M84" s="13"/>
      <c r="U84" s="67" t="s">
        <v>36</v>
      </c>
      <c r="V84" s="41" t="str">
        <f ca="1">'Finals 4'!$I32</f>
        <v>Eintracht Frankfurt</v>
      </c>
      <c r="W84" s="13" t="str">
        <f ca="1">'Finals 4'!$K32</f>
        <v>AC Roma</v>
      </c>
      <c r="X84" s="13">
        <f ca="1">IF(AND('Finals 4'!$L32&lt;&gt;"",'Finals 4'!$N32&lt;&gt;"",$V84&lt;&gt;$W84,$V84&lt;&gt;"",$W84&lt;&gt;""),'Finals 4'!$L32,"")</f>
        <v>6</v>
      </c>
      <c r="Y84" s="36">
        <f ca="1">IF(AND('Finals 4'!$L32&lt;&gt;"",'Finals 4'!$N32&lt;&gt;"",$V84&lt;&gt;$W84,$V84&lt;&gt;"",$W84&lt;&gt;""),'Finals 4'!$N32,"")</f>
        <v>12</v>
      </c>
      <c r="Z84" s="35" t="str">
        <f t="shared" ca="1" si="45"/>
        <v>Eintracht FrankfurtAC Roma</v>
      </c>
      <c r="AA84" s="13">
        <f t="shared" ca="1" si="44"/>
        <v>1</v>
      </c>
      <c r="AB84" s="13" t="str">
        <f ca="1">IF(AA84&gt;0,X84&amp;Language!$E$80&amp;Y84,"")</f>
        <v>6-12</v>
      </c>
      <c r="AD84" s="144"/>
      <c r="AE84" s="149">
        <f ca="1">IF($AA84=0,"",IF($X84&gt;$Y84,Settings!$C$4,IF($X84=$Y84,1,0)))</f>
        <v>0</v>
      </c>
      <c r="AF84" s="144">
        <f ca="1">IF($AA84=0,"",IF($X84&lt;$Y84,Settings!$C$4,IF($X84=$Y84,1,0)))</f>
        <v>3</v>
      </c>
    </row>
    <row r="85" spans="2:32" s="2" customFormat="1" x14ac:dyDescent="0.2">
      <c r="B85" s="4"/>
      <c r="C85" s="4"/>
      <c r="D85" s="4"/>
      <c r="E85" s="4"/>
      <c r="F85" s="13"/>
      <c r="G85" s="13"/>
      <c r="H85" s="13"/>
      <c r="I85" s="13"/>
      <c r="J85" s="13"/>
      <c r="K85" s="13"/>
      <c r="L85" s="13"/>
      <c r="M85" s="13"/>
      <c r="U85" s="67" t="s">
        <v>37</v>
      </c>
      <c r="V85" s="41" t="str">
        <f ca="1">'Finals 4'!$I33</f>
        <v>VFB Essenheim</v>
      </c>
      <c r="W85" s="13" t="str">
        <f ca="1">'Finals 4'!$K33</f>
        <v>VFL Ronsdorf</v>
      </c>
      <c r="X85" s="13">
        <f ca="1">IF(AND('Finals 4'!$L33&lt;&gt;"",'Finals 4'!$N33&lt;&gt;"",$V85&lt;&gt;$W85,$V85&lt;&gt;"",$W85&lt;&gt;""),'Finals 4'!$L33,"")</f>
        <v>7</v>
      </c>
      <c r="Y85" s="36">
        <f ca="1">IF(AND('Finals 4'!$L33&lt;&gt;"",'Finals 4'!$N33&lt;&gt;"",$V85&lt;&gt;$W85,$V85&lt;&gt;"",$W85&lt;&gt;""),'Finals 4'!$N33,"")</f>
        <v>13</v>
      </c>
      <c r="Z85" s="35" t="str">
        <f t="shared" ca="1" si="45"/>
        <v>VFB EssenheimVFL Ronsdorf</v>
      </c>
      <c r="AA85" s="13">
        <f t="shared" ca="1" si="44"/>
        <v>1</v>
      </c>
      <c r="AB85" s="13" t="str">
        <f ca="1">IF(AA85&gt;0,X85&amp;Language!$E$80&amp;Y85,"")</f>
        <v>7-13</v>
      </c>
      <c r="AD85" s="144"/>
      <c r="AE85" s="149">
        <f ca="1">IF($AA85=0,"",IF($X85&gt;$Y85,Settings!$C$4,IF($X85=$Y85,1,0)))</f>
        <v>0</v>
      </c>
      <c r="AF85" s="144">
        <f ca="1">IF($AA85=0,"",IF($X85&lt;$Y85,Settings!$C$4,IF($X85=$Y85,1,0)))</f>
        <v>3</v>
      </c>
    </row>
    <row r="86" spans="2:32" s="2" customFormat="1" x14ac:dyDescent="0.2">
      <c r="B86" s="4"/>
      <c r="C86" s="4"/>
      <c r="D86" s="4"/>
      <c r="E86" s="4"/>
      <c r="F86" s="13"/>
      <c r="G86" s="13"/>
      <c r="H86" s="13"/>
      <c r="I86" s="13"/>
      <c r="J86" s="13"/>
      <c r="K86" s="13"/>
      <c r="L86" s="13"/>
      <c r="M86" s="13"/>
      <c r="U86" s="67" t="s">
        <v>38</v>
      </c>
      <c r="V86" s="41" t="str">
        <f ca="1">'Finals 4'!$I34</f>
        <v>Knock Out Rangers</v>
      </c>
      <c r="W86" s="13" t="str">
        <f ca="1">'Finals 4'!$K34</f>
        <v>Borussia Heine</v>
      </c>
      <c r="X86" s="13">
        <f ca="1">IF(AND('Finals 4'!$L34&lt;&gt;"",'Finals 4'!$N34&lt;&gt;"",$V86&lt;&gt;$W86,$V86&lt;&gt;"",$W86&lt;&gt;""),'Finals 4'!$L34,"")</f>
        <v>8</v>
      </c>
      <c r="Y86" s="36">
        <f ca="1">IF(AND('Finals 4'!$L34&lt;&gt;"",'Finals 4'!$N34&lt;&gt;"",$V86&lt;&gt;$W86,$V86&lt;&gt;"",$W86&lt;&gt;""),'Finals 4'!$N34,"")</f>
        <v>14</v>
      </c>
      <c r="Z86" s="35" t="str">
        <f t="shared" ca="1" si="45"/>
        <v>Knock Out RangersBorussia Heine</v>
      </c>
      <c r="AA86" s="13">
        <f t="shared" ca="1" si="44"/>
        <v>1</v>
      </c>
      <c r="AB86" s="13" t="str">
        <f ca="1">IF(AA86&gt;0,X86&amp;Language!$E$80&amp;Y86,"")</f>
        <v>8-14</v>
      </c>
      <c r="AD86" s="144"/>
      <c r="AE86" s="149">
        <f ca="1">IF($AA86=0,"",IF($X86&gt;$Y86,Settings!$C$4,IF($X86=$Y86,1,0)))</f>
        <v>0</v>
      </c>
      <c r="AF86" s="144">
        <f ca="1">IF($AA86=0,"",IF($X86&lt;$Y86,Settings!$C$4,IF($X86=$Y86,1,0)))</f>
        <v>3</v>
      </c>
    </row>
    <row r="87" spans="2:32" s="2" customFormat="1" x14ac:dyDescent="0.2">
      <c r="B87" s="4"/>
      <c r="C87" s="4"/>
      <c r="D87" s="4"/>
      <c r="E87" s="4"/>
      <c r="F87" s="13"/>
      <c r="G87" s="13"/>
      <c r="H87" s="13"/>
      <c r="I87" s="13"/>
      <c r="J87" s="13"/>
      <c r="K87" s="13"/>
      <c r="L87" s="13"/>
      <c r="M87" s="13"/>
      <c r="U87" s="67" t="s">
        <v>39</v>
      </c>
      <c r="V87" s="41" t="str">
        <f ca="1">'Finals 4'!$I35</f>
        <v>Raslo Winners</v>
      </c>
      <c r="W87" s="13" t="str">
        <f ca="1">'Finals 4'!$K35</f>
        <v>Inter Mailand</v>
      </c>
      <c r="X87" s="13">
        <f ca="1">IF(AND('Finals 4'!$L35&lt;&gt;"",'Finals 4'!$N35&lt;&gt;"",$V87&lt;&gt;$W87,$V87&lt;&gt;"",$W87&lt;&gt;""),'Finals 4'!$L35,"")</f>
        <v>9</v>
      </c>
      <c r="Y87" s="36">
        <f ca="1">IF(AND('Finals 4'!$L35&lt;&gt;"",'Finals 4'!$N35&lt;&gt;"",$V87&lt;&gt;$W87,$V87&lt;&gt;"",$W87&lt;&gt;""),'Finals 4'!$N35,"")</f>
        <v>15</v>
      </c>
      <c r="Z87" s="35" t="str">
        <f t="shared" ca="1" si="45"/>
        <v>Raslo WinnersInter Mailand</v>
      </c>
      <c r="AA87" s="13">
        <f t="shared" ca="1" si="44"/>
        <v>1</v>
      </c>
      <c r="AB87" s="13" t="str">
        <f ca="1">IF(AA87&gt;0,X87&amp;Language!$E$80&amp;Y87,"")</f>
        <v>9-15</v>
      </c>
      <c r="AD87" s="144"/>
      <c r="AE87" s="149">
        <f ca="1">IF($AA87=0,"",IF($X87&gt;$Y87,Settings!$C$4,IF($X87=$Y87,1,0)))</f>
        <v>0</v>
      </c>
      <c r="AF87" s="144">
        <f ca="1">IF($AA87=0,"",IF($X87&lt;$Y87,Settings!$C$4,IF($X87=$Y87,1,0)))</f>
        <v>3</v>
      </c>
    </row>
    <row r="88" spans="2:32" s="2" customFormat="1" x14ac:dyDescent="0.2">
      <c r="B88" s="4"/>
      <c r="C88" s="4"/>
      <c r="D88" s="4"/>
      <c r="E88" s="4"/>
      <c r="F88" s="13"/>
      <c r="G88" s="13"/>
      <c r="H88" s="13"/>
      <c r="I88" s="13"/>
      <c r="J88" s="13"/>
      <c r="K88" s="13"/>
      <c r="L88" s="13"/>
      <c r="M88" s="13"/>
      <c r="U88" s="67" t="s">
        <v>40</v>
      </c>
      <c r="V88" s="41" t="str">
        <f ca="1">'Finals 4'!$I36</f>
        <v>FC Barcelona</v>
      </c>
      <c r="W88" s="13" t="str">
        <f ca="1">'Finals 4'!$K36</f>
        <v>Manchester City</v>
      </c>
      <c r="X88" s="13">
        <f ca="1">IF(AND('Finals 4'!$L36&lt;&gt;"",'Finals 4'!$N36&lt;&gt;"",$V88&lt;&gt;$W88,$V88&lt;&gt;"",$W88&lt;&gt;""),'Finals 4'!$L36,"")</f>
        <v>4</v>
      </c>
      <c r="Y88" s="36">
        <f ca="1">IF(AND('Finals 4'!$L36&lt;&gt;"",'Finals 4'!$N36&lt;&gt;"",$V88&lt;&gt;$W88,$V88&lt;&gt;"",$W88&lt;&gt;""),'Finals 4'!$N36,"")</f>
        <v>0</v>
      </c>
      <c r="Z88" s="35" t="str">
        <f t="shared" ca="1" si="45"/>
        <v>FC BarcelonaManchester City</v>
      </c>
      <c r="AA88" s="13">
        <f t="shared" ca="1" si="44"/>
        <v>1</v>
      </c>
      <c r="AB88" s="13" t="str">
        <f ca="1">IF(AA88&gt;0,X88&amp;Language!$E$80&amp;Y88,"")</f>
        <v>4-0</v>
      </c>
      <c r="AD88" s="144"/>
      <c r="AE88" s="149">
        <f ca="1">IF($AA88=0,"",IF($X88&gt;$Y88,Settings!$C$4,IF($X88=$Y88,1,0)))</f>
        <v>3</v>
      </c>
      <c r="AF88" s="144">
        <f ca="1">IF($AA88=0,"",IF($X88&lt;$Y88,Settings!$C$4,IF($X88=$Y88,1,0)))</f>
        <v>0</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IF(AA89&gt;0,X89&amp;Language!$E$80&amp;Y89,"")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IF(AA90&gt;0,X90&amp;Language!$E$80&amp;Y90,"")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IF(AA91&gt;0,X91&amp;Language!$E$80&amp;Y91,"")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IF(AA92&gt;0,X92&amp;Language!$E$80&amp;Y92,"")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IF(AA93&gt;0,X93&amp;Language!$E$80&amp;Y93,"")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
      </c>
      <c r="AA136" s="33">
        <f ca="1">AA64</f>
        <v>0</v>
      </c>
      <c r="AB136" s="13" t="str">
        <f ca="1">IF(AA136&gt;0,Y64&amp;Language!$E$80&amp;X64,"")</f>
        <v/>
      </c>
      <c r="AD136" s="144"/>
    </row>
    <row r="137" spans="2:32" x14ac:dyDescent="0.2">
      <c r="Y137" s="67" t="s">
        <v>8</v>
      </c>
      <c r="Z137" s="35" t="str">
        <f ca="1">W65&amp;V65</f>
        <v>SSV WildbachVFB Essenheim</v>
      </c>
      <c r="AA137" s="13">
        <f t="shared" ref="AA137:AA200" ca="1" si="47">AA65</f>
        <v>1</v>
      </c>
      <c r="AB137" s="13" t="str">
        <f ca="1">IF(AA137&gt;0,Y65&amp;Language!$E$80&amp;X65,"")</f>
        <v>4-2</v>
      </c>
      <c r="AC137" s="2"/>
      <c r="AD137" s="144"/>
    </row>
    <row r="138" spans="2:32" x14ac:dyDescent="0.2">
      <c r="Y138" s="67" t="s">
        <v>9</v>
      </c>
      <c r="Z138" s="35" t="str">
        <f t="shared" ref="Z138:Z201" ca="1" si="48">W66&amp;V66</f>
        <v>FC GrönlingenKnock Out Rangers</v>
      </c>
      <c r="AA138" s="13">
        <f t="shared" ca="1" si="47"/>
        <v>1</v>
      </c>
      <c r="AB138" s="13" t="str">
        <f ca="1">IF(AA138&gt;0,Y66&amp;Language!$E$80&amp;X66,"")</f>
        <v>1-2</v>
      </c>
      <c r="AC138" s="2"/>
      <c r="AD138" s="144"/>
    </row>
    <row r="139" spans="2:32" x14ac:dyDescent="0.2">
      <c r="Y139" s="67" t="s">
        <v>10</v>
      </c>
      <c r="Z139" s="35" t="str">
        <f t="shared" ca="1" si="48"/>
        <v>Mainz 05Raslo Winners</v>
      </c>
      <c r="AA139" s="13">
        <f t="shared" ca="1" si="47"/>
        <v>1</v>
      </c>
      <c r="AB139" s="13" t="str">
        <f ca="1">IF(AA139&gt;0,Y67&amp;Language!$E$80&amp;X67,"")</f>
        <v>1-1</v>
      </c>
      <c r="AC139" s="2"/>
      <c r="AD139" s="144"/>
    </row>
    <row r="140" spans="2:32" x14ac:dyDescent="0.2">
      <c r="Y140" s="67" t="s">
        <v>11</v>
      </c>
      <c r="Z140" s="35" t="str">
        <f t="shared" ca="1" si="48"/>
        <v>AC RomaFC Barcelona</v>
      </c>
      <c r="AA140" s="13">
        <f t="shared" ca="1" si="47"/>
        <v>1</v>
      </c>
      <c r="AB140" s="13" t="str">
        <f ca="1">IF(AA140&gt;0,Y68&amp;Language!$E$80&amp;X68,"")</f>
        <v>1-5</v>
      </c>
      <c r="AC140" s="2"/>
      <c r="AD140" s="144"/>
    </row>
    <row r="141" spans="2:32" x14ac:dyDescent="0.2">
      <c r="Y141" s="67" t="s">
        <v>12</v>
      </c>
      <c r="Z141" s="35" t="str">
        <f t="shared" ca="1" si="48"/>
        <v>1. FC RiedwaldVFL Ronsdorf</v>
      </c>
      <c r="AA141" s="13">
        <f t="shared" ca="1" si="47"/>
        <v>1</v>
      </c>
      <c r="AB141" s="13" t="str">
        <f ca="1">IF(AA141&gt;0,Y69&amp;Language!$E$80&amp;X69,"")</f>
        <v>0-2</v>
      </c>
      <c r="AC141" s="2"/>
      <c r="AD141" s="144"/>
    </row>
    <row r="142" spans="2:32" x14ac:dyDescent="0.2">
      <c r="Y142" s="67" t="s">
        <v>17</v>
      </c>
      <c r="Z142" s="35" t="str">
        <f t="shared" ca="1" si="48"/>
        <v>Maibach 1822 eVBorussia Heine</v>
      </c>
      <c r="AA142" s="13">
        <f t="shared" ca="1" si="47"/>
        <v>1</v>
      </c>
      <c r="AB142" s="13" t="str">
        <f ca="1">IF(AA142&gt;0,Y70&amp;Language!$E$80&amp;X70,"")</f>
        <v>2-1</v>
      </c>
      <c r="AC142" s="2"/>
      <c r="AD142" s="144"/>
    </row>
    <row r="143" spans="2:32" x14ac:dyDescent="0.2">
      <c r="Y143" s="67" t="s">
        <v>18</v>
      </c>
      <c r="Z143" s="35" t="str">
        <f t="shared" ca="1" si="48"/>
        <v>Fun Kickers OesInter Mailand</v>
      </c>
      <c r="AA143" s="13">
        <f t="shared" ca="1" si="47"/>
        <v>1</v>
      </c>
      <c r="AB143" s="13" t="str">
        <f ca="1">IF(AA143&gt;0,Y71&amp;Language!$E$80&amp;X71,"")</f>
        <v>3-5</v>
      </c>
      <c r="AC143" s="2"/>
      <c r="AD143" s="144"/>
    </row>
    <row r="144" spans="2:32" x14ac:dyDescent="0.2">
      <c r="Y144" s="67" t="s">
        <v>19</v>
      </c>
      <c r="Z144" s="35" t="str">
        <f t="shared" ca="1" si="48"/>
        <v>Eintracht FrankfurtManchester City</v>
      </c>
      <c r="AA144" s="13">
        <f t="shared" ca="1" si="47"/>
        <v>1</v>
      </c>
      <c r="AB144" s="13" t="str">
        <f ca="1">IF(AA144&gt;0,Y72&amp;Language!$E$80&amp;X72,"")</f>
        <v>1-2</v>
      </c>
      <c r="AC144" s="2"/>
      <c r="AD144" s="144"/>
    </row>
    <row r="145" spans="25:30" x14ac:dyDescent="0.2">
      <c r="Y145" s="67" t="s">
        <v>25</v>
      </c>
      <c r="Z145" s="35" t="str">
        <f t="shared" ca="1" si="48"/>
        <v>1. FC RiedwaldVFB Essenheim</v>
      </c>
      <c r="AA145" s="13">
        <f t="shared" ca="1" si="47"/>
        <v>1</v>
      </c>
      <c r="AB145" s="13" t="str">
        <f ca="1">IF(AA145&gt;0,Y73&amp;Language!$E$80&amp;X73,"")</f>
        <v>2-2</v>
      </c>
      <c r="AC145" s="2"/>
      <c r="AD145" s="144"/>
    </row>
    <row r="146" spans="25:30" x14ac:dyDescent="0.2">
      <c r="Y146" s="67" t="s">
        <v>26</v>
      </c>
      <c r="Z146" s="35" t="str">
        <f t="shared" ca="1" si="48"/>
        <v>Maibach 1822 eVKnock Out Rangers</v>
      </c>
      <c r="AA146" s="13">
        <f t="shared" ca="1" si="47"/>
        <v>1</v>
      </c>
      <c r="AB146" s="13" t="str">
        <f ca="1">IF(AA146&gt;0,Y74&amp;Language!$E$80&amp;X74,"")</f>
        <v>2-4</v>
      </c>
      <c r="AC146" s="2"/>
      <c r="AD146" s="144"/>
    </row>
    <row r="147" spans="25:30" x14ac:dyDescent="0.2">
      <c r="Y147" s="67" t="s">
        <v>27</v>
      </c>
      <c r="Z147" s="35" t="str">
        <f t="shared" ca="1" si="48"/>
        <v>Fun Kickers OesRaslo Winners</v>
      </c>
      <c r="AA147" s="13">
        <f t="shared" ca="1" si="47"/>
        <v>1</v>
      </c>
      <c r="AB147" s="13" t="str">
        <f ca="1">IF(AA147&gt;0,Y75&amp;Language!$E$80&amp;X75,"")</f>
        <v>3-4</v>
      </c>
      <c r="AC147" s="2"/>
      <c r="AD147" s="144"/>
    </row>
    <row r="148" spans="25:30" x14ac:dyDescent="0.2">
      <c r="Y148" s="67" t="s">
        <v>28</v>
      </c>
      <c r="Z148" s="35" t="str">
        <f t="shared" ca="1" si="48"/>
        <v>Eintracht FrankfurtFC Barcelona</v>
      </c>
      <c r="AA148" s="13">
        <f t="shared" ca="1" si="47"/>
        <v>1</v>
      </c>
      <c r="AB148" s="13" t="str">
        <f ca="1">IF(AA148&gt;0,Y76&amp;Language!$E$80&amp;X76,"")</f>
        <v>0-0</v>
      </c>
      <c r="AC148" s="2"/>
      <c r="AD148" s="144"/>
    </row>
    <row r="149" spans="25:30" x14ac:dyDescent="0.2">
      <c r="Y149" s="67" t="s">
        <v>29</v>
      </c>
      <c r="Z149" s="35" t="str">
        <f t="shared" ca="1" si="48"/>
        <v>SSV WildbachVFL Ronsdorf</v>
      </c>
      <c r="AA149" s="13">
        <f t="shared" ca="1" si="47"/>
        <v>1</v>
      </c>
      <c r="AB149" s="13" t="str">
        <f ca="1">IF(AA149&gt;0,Y77&amp;Language!$E$80&amp;X77,"")</f>
        <v>5-1</v>
      </c>
      <c r="AC149" s="2"/>
      <c r="AD149" s="144"/>
    </row>
    <row r="150" spans="25:30" x14ac:dyDescent="0.2">
      <c r="Y150" s="67" t="s">
        <v>30</v>
      </c>
      <c r="Z150" s="35" t="str">
        <f t="shared" ca="1" si="48"/>
        <v>FC GrönlingenBorussia Heine</v>
      </c>
      <c r="AA150" s="13">
        <f t="shared" ca="1" si="47"/>
        <v>1</v>
      </c>
      <c r="AB150" s="13" t="str">
        <f ca="1">IF(AA150&gt;0,Y78&amp;Language!$E$80&amp;X78,"")</f>
        <v>4-4</v>
      </c>
      <c r="AC150" s="2"/>
      <c r="AD150" s="144"/>
    </row>
    <row r="151" spans="25:30" x14ac:dyDescent="0.2">
      <c r="Y151" s="67" t="s">
        <v>31</v>
      </c>
      <c r="Z151" s="35" t="str">
        <f t="shared" ca="1" si="48"/>
        <v>Mainz 05Inter Mailand</v>
      </c>
      <c r="AA151" s="13">
        <f t="shared" ca="1" si="47"/>
        <v>1</v>
      </c>
      <c r="AB151" s="13" t="str">
        <f ca="1">IF(AA151&gt;0,Y79&amp;Language!$E$80&amp;X79,"")</f>
        <v>7-0</v>
      </c>
      <c r="AC151" s="2"/>
      <c r="AD151" s="144"/>
    </row>
    <row r="152" spans="25:30" x14ac:dyDescent="0.2">
      <c r="Y152" s="67" t="s">
        <v>32</v>
      </c>
      <c r="Z152" s="35" t="str">
        <f t="shared" ca="1" si="48"/>
        <v>AC RomaManchester City</v>
      </c>
      <c r="AA152" s="13">
        <f t="shared" ca="1" si="47"/>
        <v>1</v>
      </c>
      <c r="AB152" s="13" t="str">
        <f ca="1">IF(AA152&gt;0,Y80&amp;Language!$E$80&amp;X80,"")</f>
        <v>8-2</v>
      </c>
      <c r="AC152" s="2"/>
      <c r="AD152" s="144"/>
    </row>
    <row r="153" spans="25:30" x14ac:dyDescent="0.2">
      <c r="Y153" s="67" t="s">
        <v>33</v>
      </c>
      <c r="Z153" s="35" t="str">
        <f t="shared" ca="1" si="48"/>
        <v>SSV Wildbach1. FC Riedwald</v>
      </c>
      <c r="AA153" s="13">
        <f t="shared" ca="1" si="47"/>
        <v>1</v>
      </c>
      <c r="AB153" s="13" t="str">
        <f ca="1">IF(AA153&gt;0,Y81&amp;Language!$E$80&amp;X81,"")</f>
        <v>9-3</v>
      </c>
      <c r="AC153" s="2"/>
      <c r="AD153" s="144"/>
    </row>
    <row r="154" spans="25:30" x14ac:dyDescent="0.2">
      <c r="Y154" s="67" t="s">
        <v>34</v>
      </c>
      <c r="Z154" s="35" t="str">
        <f t="shared" ca="1" si="48"/>
        <v>FC GrönlingenMaibach 1822 eV</v>
      </c>
      <c r="AA154" s="13">
        <f t="shared" ca="1" si="47"/>
        <v>1</v>
      </c>
      <c r="AB154" s="13" t="str">
        <f ca="1">IF(AA154&gt;0,Y82&amp;Language!$E$80&amp;X82,"")</f>
        <v>10-4</v>
      </c>
      <c r="AC154" s="2"/>
      <c r="AD154" s="144"/>
    </row>
    <row r="155" spans="25:30" x14ac:dyDescent="0.2">
      <c r="Y155" s="67" t="s">
        <v>35</v>
      </c>
      <c r="Z155" s="35" t="str">
        <f t="shared" ca="1" si="48"/>
        <v>Mainz 05Fun Kickers Oes</v>
      </c>
      <c r="AA155" s="13">
        <f t="shared" ca="1" si="47"/>
        <v>1</v>
      </c>
      <c r="AB155" s="13" t="str">
        <f ca="1">IF(AA155&gt;0,Y83&amp;Language!$E$80&amp;X83,"")</f>
        <v>11-5</v>
      </c>
      <c r="AC155" s="2"/>
      <c r="AD155" s="144"/>
    </row>
    <row r="156" spans="25:30" x14ac:dyDescent="0.2">
      <c r="Y156" s="67" t="s">
        <v>36</v>
      </c>
      <c r="Z156" s="35" t="str">
        <f t="shared" ca="1" si="48"/>
        <v>AC RomaEintracht Frankfurt</v>
      </c>
      <c r="AA156" s="13">
        <f t="shared" ca="1" si="47"/>
        <v>1</v>
      </c>
      <c r="AB156" s="13" t="str">
        <f ca="1">IF(AA156&gt;0,Y84&amp;Language!$E$80&amp;X84,"")</f>
        <v>12-6</v>
      </c>
      <c r="AC156" s="2"/>
      <c r="AD156" s="144"/>
    </row>
    <row r="157" spans="25:30" x14ac:dyDescent="0.2">
      <c r="Y157" s="67" t="s">
        <v>37</v>
      </c>
      <c r="Z157" s="35" t="str">
        <f t="shared" ca="1" si="48"/>
        <v>VFL RonsdorfVFB Essenheim</v>
      </c>
      <c r="AA157" s="13">
        <f t="shared" ca="1" si="47"/>
        <v>1</v>
      </c>
      <c r="AB157" s="13" t="str">
        <f ca="1">IF(AA157&gt;0,Y85&amp;Language!$E$80&amp;X85,"")</f>
        <v>13-7</v>
      </c>
      <c r="AC157" s="2"/>
      <c r="AD157" s="144"/>
    </row>
    <row r="158" spans="25:30" x14ac:dyDescent="0.2">
      <c r="Y158" s="67" t="s">
        <v>38</v>
      </c>
      <c r="Z158" s="35" t="str">
        <f t="shared" ca="1" si="48"/>
        <v>Borussia HeineKnock Out Rangers</v>
      </c>
      <c r="AA158" s="13">
        <f t="shared" ca="1" si="47"/>
        <v>1</v>
      </c>
      <c r="AB158" s="13" t="str">
        <f ca="1">IF(AA158&gt;0,Y86&amp;Language!$E$80&amp;X86,"")</f>
        <v>14-8</v>
      </c>
      <c r="AC158" s="2"/>
      <c r="AD158" s="144"/>
    </row>
    <row r="159" spans="25:30" x14ac:dyDescent="0.2">
      <c r="Y159" s="67" t="s">
        <v>39</v>
      </c>
      <c r="Z159" s="35" t="str">
        <f t="shared" ca="1" si="48"/>
        <v>Inter MailandRaslo Winners</v>
      </c>
      <c r="AA159" s="13">
        <f t="shared" ca="1" si="47"/>
        <v>1</v>
      </c>
      <c r="AB159" s="13" t="str">
        <f ca="1">IF(AA159&gt;0,Y87&amp;Language!$E$80&amp;X87,"")</f>
        <v>15-9</v>
      </c>
      <c r="AC159" s="2"/>
      <c r="AD159" s="144"/>
    </row>
    <row r="160" spans="25:30" x14ac:dyDescent="0.2">
      <c r="Y160" s="67" t="s">
        <v>40</v>
      </c>
      <c r="Z160" s="35" t="str">
        <f t="shared" ca="1" si="48"/>
        <v>Manchester CityFC Barcelona</v>
      </c>
      <c r="AA160" s="13">
        <f t="shared" ca="1" si="47"/>
        <v>1</v>
      </c>
      <c r="AB160" s="13" t="str">
        <f ca="1">IF(AA160&gt;0,Y88&amp;Language!$E$80&amp;X88,"")</f>
        <v>0-4</v>
      </c>
      <c r="AC160" s="2"/>
      <c r="AD160" s="144"/>
    </row>
    <row r="161" spans="25:30" x14ac:dyDescent="0.2">
      <c r="Y161" s="67" t="s">
        <v>41</v>
      </c>
      <c r="Z161" s="35" t="str">
        <f t="shared" si="48"/>
        <v/>
      </c>
      <c r="AA161" s="13">
        <f t="shared" si="47"/>
        <v>0</v>
      </c>
      <c r="AB161" s="13" t="str">
        <f>IF(AA161&gt;0,Y89&amp;Language!$E$80&amp;X89,"")</f>
        <v/>
      </c>
      <c r="AC161" s="2"/>
      <c r="AD161" s="144"/>
    </row>
    <row r="162" spans="25:30" x14ac:dyDescent="0.2">
      <c r="Y162" s="67" t="s">
        <v>42</v>
      </c>
      <c r="Z162" s="35" t="str">
        <f t="shared" si="48"/>
        <v/>
      </c>
      <c r="AA162" s="13">
        <f t="shared" si="47"/>
        <v>0</v>
      </c>
      <c r="AB162" s="13" t="str">
        <f>IF(AA162&gt;0,Y90&amp;Language!$E$80&amp;X90,"")</f>
        <v/>
      </c>
      <c r="AC162" s="2"/>
      <c r="AD162" s="144"/>
    </row>
    <row r="163" spans="25:30" x14ac:dyDescent="0.2">
      <c r="Y163" s="67" t="s">
        <v>43</v>
      </c>
      <c r="Z163" s="35" t="str">
        <f t="shared" si="48"/>
        <v/>
      </c>
      <c r="AA163" s="13">
        <f t="shared" si="47"/>
        <v>0</v>
      </c>
      <c r="AB163" s="13" t="str">
        <f>IF(AA163&gt;0,Y91&amp;Language!$E$80&amp;X91,"")</f>
        <v/>
      </c>
      <c r="AC163" s="2"/>
      <c r="AD163" s="144"/>
    </row>
    <row r="164" spans="25:30" x14ac:dyDescent="0.2">
      <c r="Y164" s="67" t="s">
        <v>44</v>
      </c>
      <c r="Z164" s="35" t="str">
        <f t="shared" si="48"/>
        <v/>
      </c>
      <c r="AA164" s="13">
        <f t="shared" si="47"/>
        <v>0</v>
      </c>
      <c r="AB164" s="13" t="str">
        <f>IF(AA164&gt;0,Y92&amp;Language!$E$80&amp;X92,"")</f>
        <v/>
      </c>
      <c r="AC164" s="2"/>
      <c r="AD164" s="144"/>
    </row>
    <row r="165" spans="25:30" x14ac:dyDescent="0.2">
      <c r="Y165" s="67" t="s">
        <v>45</v>
      </c>
      <c r="Z165" s="35" t="str">
        <f t="shared" si="48"/>
        <v/>
      </c>
      <c r="AA165" s="13">
        <f t="shared" si="47"/>
        <v>0</v>
      </c>
      <c r="AB165" s="13" t="str">
        <f>IF(AA165&gt;0,Y93&amp;Language!$E$80&amp;X93,"")</f>
        <v/>
      </c>
      <c r="AC165" s="2"/>
      <c r="AD165" s="144"/>
    </row>
    <row r="166" spans="25:30" x14ac:dyDescent="0.2">
      <c r="Y166" s="67" t="s">
        <v>46</v>
      </c>
      <c r="Z166" s="35" t="str">
        <f t="shared" si="48"/>
        <v/>
      </c>
      <c r="AA166" s="13">
        <f t="shared" si="47"/>
        <v>0</v>
      </c>
      <c r="AB166" s="13" t="str">
        <f>IF(AA166&gt;0,Y94&amp;Language!$E$80&amp;X94,"")</f>
        <v/>
      </c>
      <c r="AC166" s="2"/>
      <c r="AD166" s="144"/>
    </row>
    <row r="167" spans="25:30" x14ac:dyDescent="0.2">
      <c r="Y167" s="67" t="s">
        <v>47</v>
      </c>
      <c r="Z167" s="35" t="str">
        <f t="shared" si="48"/>
        <v/>
      </c>
      <c r="AA167" s="13">
        <f t="shared" si="47"/>
        <v>0</v>
      </c>
      <c r="AB167" s="13" t="str">
        <f>IF(AA167&gt;0,Y95&amp;Language!$E$80&amp;X95,"")</f>
        <v/>
      </c>
      <c r="AC167" s="2"/>
      <c r="AD167" s="144"/>
    </row>
    <row r="168" spans="25:30" x14ac:dyDescent="0.2">
      <c r="Y168" s="67" t="s">
        <v>48</v>
      </c>
      <c r="Z168" s="35" t="str">
        <f t="shared" si="48"/>
        <v/>
      </c>
      <c r="AA168" s="13">
        <f t="shared" si="47"/>
        <v>0</v>
      </c>
      <c r="AB168" s="13" t="str">
        <f>IF(AA168&gt;0,Y96&amp;Language!$E$80&amp;X96,"")</f>
        <v/>
      </c>
      <c r="AC168" s="2"/>
      <c r="AD168" s="144"/>
    </row>
    <row r="169" spans="25:30" x14ac:dyDescent="0.2">
      <c r="Y169" s="67" t="s">
        <v>49</v>
      </c>
      <c r="Z169" s="35" t="str">
        <f t="shared" si="48"/>
        <v/>
      </c>
      <c r="AA169" s="13">
        <f t="shared" si="47"/>
        <v>0</v>
      </c>
      <c r="AB169" s="13" t="str">
        <f>IF(AA169&gt;0,Y97&amp;Language!$E$80&amp;X97,"")</f>
        <v/>
      </c>
      <c r="AC169" s="2"/>
      <c r="AD169" s="144"/>
    </row>
    <row r="170" spans="25:30" x14ac:dyDescent="0.2">
      <c r="Y170" s="67" t="s">
        <v>50</v>
      </c>
      <c r="Z170" s="35" t="str">
        <f t="shared" si="48"/>
        <v/>
      </c>
      <c r="AA170" s="13">
        <f t="shared" si="47"/>
        <v>0</v>
      </c>
      <c r="AB170" s="13" t="str">
        <f>IF(AA170&gt;0,Y98&amp;Language!$E$80&amp;X98,"")</f>
        <v/>
      </c>
      <c r="AC170" s="2"/>
      <c r="AD170" s="144"/>
    </row>
    <row r="171" spans="25:30" x14ac:dyDescent="0.2">
      <c r="Y171" s="67" t="s">
        <v>51</v>
      </c>
      <c r="Z171" s="35" t="str">
        <f t="shared" si="48"/>
        <v/>
      </c>
      <c r="AA171" s="13">
        <f t="shared" si="47"/>
        <v>0</v>
      </c>
      <c r="AB171" s="13" t="str">
        <f>IF(AA171&gt;0,Y99&amp;Language!$E$80&amp;X99,"")</f>
        <v/>
      </c>
      <c r="AC171" s="2"/>
      <c r="AD171" s="144"/>
    </row>
    <row r="172" spans="25:30" x14ac:dyDescent="0.2">
      <c r="Y172" s="67" t="s">
        <v>60</v>
      </c>
      <c r="Z172" s="35" t="str">
        <f t="shared" si="48"/>
        <v/>
      </c>
      <c r="AA172" s="13">
        <f t="shared" si="47"/>
        <v>0</v>
      </c>
      <c r="AB172" s="13" t="str">
        <f>IF(AA172&gt;0,Y100&amp;Language!$E$80&amp;X100,"")</f>
        <v/>
      </c>
      <c r="AC172" s="2"/>
      <c r="AD172" s="144"/>
    </row>
    <row r="173" spans="25:30" x14ac:dyDescent="0.2">
      <c r="Y173" s="67" t="s">
        <v>61</v>
      </c>
      <c r="Z173" s="35" t="str">
        <f t="shared" si="48"/>
        <v/>
      </c>
      <c r="AA173" s="13">
        <f t="shared" si="47"/>
        <v>0</v>
      </c>
      <c r="AB173" s="13" t="str">
        <f>IF(AA173&gt;0,Y101&amp;Language!$E$80&amp;X101,"")</f>
        <v/>
      </c>
      <c r="AC173" s="2"/>
      <c r="AD173" s="144"/>
    </row>
    <row r="174" spans="25:30" x14ac:dyDescent="0.2">
      <c r="Y174" s="67" t="s">
        <v>62</v>
      </c>
      <c r="Z174" s="35" t="str">
        <f t="shared" si="48"/>
        <v/>
      </c>
      <c r="AA174" s="13">
        <f t="shared" si="47"/>
        <v>0</v>
      </c>
      <c r="AB174" s="13" t="str">
        <f>IF(AA174&gt;0,Y102&amp;Language!$E$80&amp;X102,"")</f>
        <v/>
      </c>
      <c r="AC174" s="2"/>
      <c r="AD174" s="144"/>
    </row>
    <row r="175" spans="25:30" x14ac:dyDescent="0.2">
      <c r="Y175" s="67" t="s">
        <v>63</v>
      </c>
      <c r="Z175" s="35" t="str">
        <f t="shared" si="48"/>
        <v/>
      </c>
      <c r="AA175" s="13">
        <f t="shared" si="47"/>
        <v>0</v>
      </c>
      <c r="AB175" s="13" t="str">
        <f>IF(AA175&gt;0,Y103&amp;Language!$E$80&amp;X103,"")</f>
        <v/>
      </c>
      <c r="AC175" s="2"/>
      <c r="AD175" s="144"/>
    </row>
    <row r="176" spans="25:30" x14ac:dyDescent="0.2">
      <c r="Y176" s="67" t="s">
        <v>64</v>
      </c>
      <c r="Z176" s="35" t="str">
        <f t="shared" si="48"/>
        <v/>
      </c>
      <c r="AA176" s="13">
        <f t="shared" si="47"/>
        <v>0</v>
      </c>
      <c r="AB176" s="13" t="str">
        <f>IF(AA176&gt;0,Y104&amp;Language!$E$80&amp;X104,"")</f>
        <v/>
      </c>
      <c r="AC176" s="2"/>
      <c r="AD176" s="144"/>
    </row>
    <row r="177" spans="25:30" x14ac:dyDescent="0.2">
      <c r="Y177" s="67" t="s">
        <v>65</v>
      </c>
      <c r="Z177" s="35" t="str">
        <f t="shared" si="48"/>
        <v/>
      </c>
      <c r="AA177" s="13">
        <f t="shared" si="47"/>
        <v>0</v>
      </c>
      <c r="AB177" s="13" t="str">
        <f>IF(AA177&gt;0,Y105&amp;Language!$E$80&amp;X105,"")</f>
        <v/>
      </c>
      <c r="AC177" s="2"/>
      <c r="AD177" s="144"/>
    </row>
    <row r="178" spans="25:30" x14ac:dyDescent="0.2">
      <c r="Y178" s="67" t="s">
        <v>66</v>
      </c>
      <c r="Z178" s="35" t="str">
        <f t="shared" si="48"/>
        <v/>
      </c>
      <c r="AA178" s="13">
        <f t="shared" si="47"/>
        <v>0</v>
      </c>
      <c r="AB178" s="13" t="str">
        <f>IF(AA178&gt;0,Y106&amp;Language!$E$80&amp;X106,"")</f>
        <v/>
      </c>
      <c r="AC178" s="2"/>
      <c r="AD178" s="144"/>
    </row>
    <row r="179" spans="25:30" x14ac:dyDescent="0.2">
      <c r="Y179" s="67" t="s">
        <v>67</v>
      </c>
      <c r="Z179" s="35" t="str">
        <f t="shared" si="48"/>
        <v/>
      </c>
      <c r="AA179" s="13">
        <f t="shared" si="47"/>
        <v>0</v>
      </c>
      <c r="AB179" s="13" t="str">
        <f>IF(AA179&gt;0,Y107&amp;Language!$E$80&amp;X107,"")</f>
        <v/>
      </c>
      <c r="AC179" s="2"/>
      <c r="AD179" s="144"/>
    </row>
    <row r="180" spans="25:30" x14ac:dyDescent="0.2">
      <c r="Y180" s="67" t="s">
        <v>68</v>
      </c>
      <c r="Z180" s="35" t="str">
        <f t="shared" si="48"/>
        <v/>
      </c>
      <c r="AA180" s="13">
        <f t="shared" si="47"/>
        <v>0</v>
      </c>
      <c r="AB180" s="13" t="str">
        <f>IF(AA180&gt;0,Y108&amp;Language!$E$80&amp;X108,"")</f>
        <v/>
      </c>
      <c r="AC180" s="2"/>
      <c r="AD180" s="144"/>
    </row>
    <row r="181" spans="25:30" x14ac:dyDescent="0.2">
      <c r="Y181" s="67" t="s">
        <v>69</v>
      </c>
      <c r="Z181" s="35" t="str">
        <f t="shared" si="48"/>
        <v/>
      </c>
      <c r="AA181" s="13">
        <f t="shared" si="47"/>
        <v>0</v>
      </c>
      <c r="AB181" s="13" t="str">
        <f>IF(AA181&gt;0,Y109&amp;Language!$E$80&amp;X109,"")</f>
        <v/>
      </c>
      <c r="AC181" s="2"/>
      <c r="AD181" s="144"/>
    </row>
    <row r="182" spans="25:30" x14ac:dyDescent="0.2">
      <c r="Y182" s="67" t="s">
        <v>70</v>
      </c>
      <c r="Z182" s="35" t="str">
        <f t="shared" si="48"/>
        <v/>
      </c>
      <c r="AA182" s="13">
        <f t="shared" si="47"/>
        <v>0</v>
      </c>
      <c r="AB182" s="13" t="str">
        <f>IF(AA182&gt;0,Y110&amp;Language!$E$80&amp;X110,"")</f>
        <v/>
      </c>
      <c r="AC182" s="2"/>
      <c r="AD182" s="144"/>
    </row>
    <row r="183" spans="25:30" x14ac:dyDescent="0.2">
      <c r="Y183" s="67" t="s">
        <v>71</v>
      </c>
      <c r="Z183" s="35" t="str">
        <f t="shared" si="48"/>
        <v/>
      </c>
      <c r="AA183" s="13">
        <f t="shared" si="47"/>
        <v>0</v>
      </c>
      <c r="AB183" s="13" t="str">
        <f>IF(AA183&gt;0,Y111&amp;Language!$E$80&amp;X111,"")</f>
        <v/>
      </c>
      <c r="AC183" s="2"/>
      <c r="AD183" s="144"/>
    </row>
    <row r="184" spans="25:30" x14ac:dyDescent="0.2">
      <c r="Y184" s="67" t="s">
        <v>72</v>
      </c>
      <c r="Z184" s="35" t="str">
        <f t="shared" si="48"/>
        <v/>
      </c>
      <c r="AA184" s="13">
        <f t="shared" si="47"/>
        <v>0</v>
      </c>
      <c r="AB184" s="13" t="str">
        <f>IF(AA184&gt;0,Y112&amp;Language!$E$80&amp;X112,"")</f>
        <v/>
      </c>
      <c r="AC184" s="2"/>
      <c r="AD184" s="144"/>
    </row>
    <row r="185" spans="25:30" x14ac:dyDescent="0.2">
      <c r="Y185" s="67" t="s">
        <v>73</v>
      </c>
      <c r="Z185" s="35" t="str">
        <f t="shared" si="48"/>
        <v/>
      </c>
      <c r="AA185" s="13">
        <f t="shared" si="47"/>
        <v>0</v>
      </c>
      <c r="AB185" s="13" t="str">
        <f>IF(AA185&gt;0,Y113&amp;Language!$E$80&amp;X113,"")</f>
        <v/>
      </c>
      <c r="AC185" s="2"/>
      <c r="AD185" s="144"/>
    </row>
    <row r="186" spans="25:30" x14ac:dyDescent="0.2">
      <c r="Y186" s="67" t="s">
        <v>74</v>
      </c>
      <c r="Z186" s="35" t="str">
        <f t="shared" si="48"/>
        <v/>
      </c>
      <c r="AA186" s="13">
        <f t="shared" si="47"/>
        <v>0</v>
      </c>
      <c r="AB186" s="13" t="str">
        <f>IF(AA186&gt;0,Y114&amp;Language!$E$80&amp;X114,"")</f>
        <v/>
      </c>
      <c r="AC186" s="2"/>
      <c r="AD186" s="144"/>
    </row>
    <row r="187" spans="25:30" x14ac:dyDescent="0.2">
      <c r="Y187" s="67" t="s">
        <v>75</v>
      </c>
      <c r="Z187" s="35" t="str">
        <f t="shared" si="48"/>
        <v/>
      </c>
      <c r="AA187" s="13">
        <f t="shared" si="47"/>
        <v>0</v>
      </c>
      <c r="AB187" s="13" t="str">
        <f>IF(AA187&gt;0,Y115&amp;Language!$E$80&amp;X115,"")</f>
        <v/>
      </c>
      <c r="AC187" s="2"/>
      <c r="AD187" s="144"/>
    </row>
    <row r="188" spans="25:30" x14ac:dyDescent="0.2">
      <c r="Y188" s="67" t="s">
        <v>76</v>
      </c>
      <c r="Z188" s="35" t="str">
        <f t="shared" si="48"/>
        <v/>
      </c>
      <c r="AA188" s="13">
        <f t="shared" si="47"/>
        <v>0</v>
      </c>
      <c r="AB188" s="13" t="str">
        <f>IF(AA188&gt;0,Y116&amp;Language!$E$80&amp;X116,"")</f>
        <v/>
      </c>
      <c r="AC188" s="2"/>
      <c r="AD188" s="144"/>
    </row>
    <row r="189" spans="25:30" x14ac:dyDescent="0.2">
      <c r="Y189" s="67" t="s">
        <v>77</v>
      </c>
      <c r="Z189" s="35" t="str">
        <f t="shared" si="48"/>
        <v/>
      </c>
      <c r="AA189" s="13">
        <f t="shared" si="47"/>
        <v>0</v>
      </c>
      <c r="AB189" s="13" t="str">
        <f>IF(AA189&gt;0,Y117&amp;Language!$E$80&amp;X117,"")</f>
        <v/>
      </c>
      <c r="AC189" s="2"/>
      <c r="AD189" s="144"/>
    </row>
    <row r="190" spans="25:30" x14ac:dyDescent="0.2">
      <c r="Y190" s="67" t="s">
        <v>78</v>
      </c>
      <c r="Z190" s="35" t="str">
        <f t="shared" si="48"/>
        <v/>
      </c>
      <c r="AA190" s="13">
        <f t="shared" si="47"/>
        <v>0</v>
      </c>
      <c r="AB190" s="13" t="str">
        <f>IF(AA190&gt;0,Y118&amp;Language!$E$80&amp;X118,"")</f>
        <v/>
      </c>
      <c r="AC190" s="2"/>
      <c r="AD190" s="144"/>
    </row>
    <row r="191" spans="25:30" x14ac:dyDescent="0.2">
      <c r="Y191" s="67" t="s">
        <v>79</v>
      </c>
      <c r="Z191" s="35" t="str">
        <f t="shared" si="48"/>
        <v/>
      </c>
      <c r="AA191" s="13">
        <f t="shared" si="47"/>
        <v>0</v>
      </c>
      <c r="AB191" s="13" t="str">
        <f>IF(AA191&gt;0,Y119&amp;Language!$E$80&amp;X119,"")</f>
        <v/>
      </c>
      <c r="AC191" s="2"/>
      <c r="AD191" s="144"/>
    </row>
    <row r="192" spans="25:30" x14ac:dyDescent="0.2">
      <c r="Y192" s="67" t="s">
        <v>80</v>
      </c>
      <c r="Z192" s="35" t="str">
        <f t="shared" si="48"/>
        <v/>
      </c>
      <c r="AA192" s="13">
        <f t="shared" si="47"/>
        <v>0</v>
      </c>
      <c r="AB192" s="13" t="str">
        <f>IF(AA192&gt;0,Y120&amp;Language!$E$80&amp;X120,"")</f>
        <v/>
      </c>
      <c r="AC192" s="2"/>
      <c r="AD192" s="144"/>
    </row>
    <row r="193" spans="25:30" x14ac:dyDescent="0.2">
      <c r="Y193" s="67" t="s">
        <v>81</v>
      </c>
      <c r="Z193" s="35" t="str">
        <f t="shared" si="48"/>
        <v/>
      </c>
      <c r="AA193" s="13">
        <f t="shared" si="47"/>
        <v>0</v>
      </c>
      <c r="AB193" s="13" t="str">
        <f>IF(AA193&gt;0,Y121&amp;Language!$E$80&amp;X121,"")</f>
        <v/>
      </c>
      <c r="AC193" s="2"/>
      <c r="AD193" s="144"/>
    </row>
    <row r="194" spans="25:30" x14ac:dyDescent="0.2">
      <c r="Y194" s="67" t="s">
        <v>82</v>
      </c>
      <c r="Z194" s="35" t="str">
        <f t="shared" si="48"/>
        <v/>
      </c>
      <c r="AA194" s="13">
        <f t="shared" si="47"/>
        <v>0</v>
      </c>
      <c r="AB194" s="13" t="str">
        <f>IF(AA194&gt;0,Y122&amp;Language!$E$80&amp;X122,"")</f>
        <v/>
      </c>
      <c r="AC194" s="2"/>
      <c r="AD194" s="144"/>
    </row>
    <row r="195" spans="25:30" x14ac:dyDescent="0.2">
      <c r="Y195" s="67" t="s">
        <v>83</v>
      </c>
      <c r="Z195" s="35" t="str">
        <f t="shared" si="48"/>
        <v/>
      </c>
      <c r="AA195" s="13">
        <f t="shared" si="47"/>
        <v>0</v>
      </c>
      <c r="AB195" s="13" t="str">
        <f>IF(AA195&gt;0,Y123&amp;Language!$E$80&amp;X123,"")</f>
        <v/>
      </c>
      <c r="AC195" s="2"/>
      <c r="AD195" s="144"/>
    </row>
    <row r="196" spans="25:30" x14ac:dyDescent="0.2">
      <c r="Y196" s="67" t="s">
        <v>84</v>
      </c>
      <c r="Z196" s="35" t="str">
        <f t="shared" si="48"/>
        <v/>
      </c>
      <c r="AA196" s="13">
        <f t="shared" si="47"/>
        <v>0</v>
      </c>
      <c r="AB196" s="13" t="str">
        <f>IF(AA196&gt;0,Y124&amp;Language!$E$80&amp;X124,"")</f>
        <v/>
      </c>
      <c r="AC196" s="2"/>
      <c r="AD196" s="144"/>
    </row>
    <row r="197" spans="25:30" x14ac:dyDescent="0.2">
      <c r="Y197" s="67" t="s">
        <v>85</v>
      </c>
      <c r="Z197" s="35" t="str">
        <f t="shared" si="48"/>
        <v/>
      </c>
      <c r="AA197" s="13">
        <f t="shared" si="47"/>
        <v>0</v>
      </c>
      <c r="AB197" s="13" t="str">
        <f>IF(AA197&gt;0,Y125&amp;Language!$E$80&amp;X125,"")</f>
        <v/>
      </c>
      <c r="AC197" s="2"/>
      <c r="AD197" s="144"/>
    </row>
    <row r="198" spans="25:30" x14ac:dyDescent="0.2">
      <c r="Y198" s="67" t="s">
        <v>86</v>
      </c>
      <c r="Z198" s="35" t="str">
        <f t="shared" si="48"/>
        <v/>
      </c>
      <c r="AA198" s="13">
        <f t="shared" si="47"/>
        <v>0</v>
      </c>
      <c r="AB198" s="13" t="str">
        <f>IF(AA198&gt;0,Y126&amp;Language!$E$80&amp;X126,"")</f>
        <v/>
      </c>
      <c r="AC198" s="2"/>
      <c r="AD198" s="144"/>
    </row>
    <row r="199" spans="25:30" x14ac:dyDescent="0.2">
      <c r="Y199" s="67" t="s">
        <v>87</v>
      </c>
      <c r="Z199" s="35" t="str">
        <f t="shared" si="48"/>
        <v/>
      </c>
      <c r="AA199" s="13">
        <f t="shared" si="47"/>
        <v>0</v>
      </c>
      <c r="AB199" s="13" t="str">
        <f>IF(AA199&gt;0,Y127&amp;Language!$E$80&amp;X127,"")</f>
        <v/>
      </c>
      <c r="AC199" s="2"/>
      <c r="AD199" s="144"/>
    </row>
    <row r="200" spans="25:30" x14ac:dyDescent="0.2">
      <c r="Y200" s="67" t="s">
        <v>88</v>
      </c>
      <c r="Z200" s="35" t="str">
        <f t="shared" si="48"/>
        <v/>
      </c>
      <c r="AA200" s="13">
        <f t="shared" si="47"/>
        <v>0</v>
      </c>
      <c r="AB200" s="13" t="str">
        <f>IF(AA200&gt;0,Y128&amp;Language!$E$80&amp;X128,"")</f>
        <v/>
      </c>
      <c r="AC200" s="2"/>
      <c r="AD200" s="144"/>
    </row>
    <row r="201" spans="25:30" x14ac:dyDescent="0.2">
      <c r="Y201" s="67" t="s">
        <v>89</v>
      </c>
      <c r="Z201" s="35" t="str">
        <f t="shared" si="48"/>
        <v/>
      </c>
      <c r="AA201" s="13">
        <f t="shared" ref="AA201:AA207" si="49">AA129</f>
        <v>0</v>
      </c>
      <c r="AB201" s="13" t="str">
        <f>IF(AA201&gt;0,Y129&amp;Language!$E$80&amp;X129,"")</f>
        <v/>
      </c>
      <c r="AC201" s="2"/>
      <c r="AD201" s="144"/>
    </row>
    <row r="202" spans="25:30" x14ac:dyDescent="0.2">
      <c r="Y202" s="67" t="s">
        <v>90</v>
      </c>
      <c r="Z202" s="35" t="str">
        <f t="shared" ref="Z202:Z206" si="50">W130&amp;V130</f>
        <v/>
      </c>
      <c r="AA202" s="13">
        <f t="shared" si="49"/>
        <v>0</v>
      </c>
      <c r="AB202" s="13" t="str">
        <f>IF(AA202&gt;0,Y130&amp;Language!$E$80&amp;X130,"")</f>
        <v/>
      </c>
      <c r="AC202" s="2"/>
      <c r="AD202" s="144"/>
    </row>
    <row r="203" spans="25:30" x14ac:dyDescent="0.2">
      <c r="Y203" s="67" t="s">
        <v>91</v>
      </c>
      <c r="Z203" s="35" t="str">
        <f t="shared" si="50"/>
        <v/>
      </c>
      <c r="AA203" s="13">
        <f t="shared" si="49"/>
        <v>0</v>
      </c>
      <c r="AB203" s="13" t="str">
        <f>IF(AA203&gt;0,Y131&amp;Language!$E$80&amp;X131,"")</f>
        <v/>
      </c>
      <c r="AC203" s="2"/>
      <c r="AD203" s="144"/>
    </row>
    <row r="204" spans="25:30" x14ac:dyDescent="0.2">
      <c r="Y204" s="67" t="s">
        <v>92</v>
      </c>
      <c r="Z204" s="35" t="str">
        <f t="shared" si="50"/>
        <v/>
      </c>
      <c r="AA204" s="13">
        <f t="shared" si="49"/>
        <v>0</v>
      </c>
      <c r="AB204" s="13" t="str">
        <f>IF(AA204&gt;0,Y132&amp;Language!$E$80&amp;X132,"")</f>
        <v/>
      </c>
      <c r="AC204" s="2"/>
      <c r="AD204" s="144"/>
    </row>
    <row r="205" spans="25:30" x14ac:dyDescent="0.2">
      <c r="Y205" s="67" t="s">
        <v>93</v>
      </c>
      <c r="Z205" s="35" t="str">
        <f t="shared" si="50"/>
        <v/>
      </c>
      <c r="AA205" s="13">
        <f t="shared" si="49"/>
        <v>0</v>
      </c>
      <c r="AB205" s="13" t="str">
        <f>IF(AA205&gt;0,Y133&amp;Language!$E$80&amp;X133,"")</f>
        <v/>
      </c>
      <c r="AC205" s="2"/>
      <c r="AD205" s="144"/>
    </row>
    <row r="206" spans="25:30" x14ac:dyDescent="0.2">
      <c r="Y206" s="67" t="s">
        <v>94</v>
      </c>
      <c r="Z206" s="35" t="str">
        <f t="shared" si="50"/>
        <v/>
      </c>
      <c r="AA206" s="13">
        <f t="shared" si="49"/>
        <v>0</v>
      </c>
      <c r="AB206" s="13" t="str">
        <f>IF(AA206&gt;0,Y134&amp;Language!$E$80&amp;X134,"")</f>
        <v/>
      </c>
      <c r="AC206" s="2"/>
      <c r="AD206" s="144"/>
    </row>
    <row r="207" spans="25:30" ht="12.75" thickBot="1" x14ac:dyDescent="0.25">
      <c r="Y207" s="68" t="s">
        <v>95</v>
      </c>
      <c r="Z207" s="37" t="str">
        <f>W135&amp;V135</f>
        <v/>
      </c>
      <c r="AA207" s="38">
        <f t="shared" si="49"/>
        <v>0</v>
      </c>
      <c r="AB207" s="145" t="str">
        <f>IF(AA207&gt;0,Y135&amp;Language!$E$80&amp;X135,"")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AC72"/>
  <sheetViews>
    <sheetView topLeftCell="A31" workbookViewId="0">
      <selection activeCell="AD72" sqref="AD72"/>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s>
  <sheetData>
    <row r="1" spans="1:29" x14ac:dyDescent="0.2">
      <c r="A1" s="677" t="str">
        <f>Language!$E$50</f>
        <v>Matchups</v>
      </c>
      <c r="C1" s="235" t="s">
        <v>187</v>
      </c>
      <c r="D1" s="240" t="s">
        <v>206</v>
      </c>
      <c r="E1" s="240" t="s">
        <v>210</v>
      </c>
      <c r="G1" s="235" t="s">
        <v>178</v>
      </c>
      <c r="H1" s="75" t="s">
        <v>208</v>
      </c>
      <c r="I1" s="75" t="s">
        <v>212</v>
      </c>
      <c r="K1" s="235" t="s">
        <v>179</v>
      </c>
      <c r="L1" s="75" t="s">
        <v>214</v>
      </c>
      <c r="M1" s="75" t="s">
        <v>210</v>
      </c>
      <c r="O1" s="235" t="s">
        <v>180</v>
      </c>
      <c r="P1" s="75" t="s">
        <v>208</v>
      </c>
      <c r="Q1" s="75" t="s">
        <v>216</v>
      </c>
      <c r="S1" s="235" t="s">
        <v>337</v>
      </c>
      <c r="T1" s="75" t="s">
        <v>331</v>
      </c>
      <c r="U1" s="75" t="s">
        <v>210</v>
      </c>
      <c r="W1" s="235" t="s">
        <v>338</v>
      </c>
      <c r="X1" s="75" t="s">
        <v>208</v>
      </c>
      <c r="Y1" s="75" t="s">
        <v>332</v>
      </c>
      <c r="AA1" s="235" t="s">
        <v>339</v>
      </c>
      <c r="AB1" s="75" t="s">
        <v>333</v>
      </c>
      <c r="AC1" s="75" t="s">
        <v>210</v>
      </c>
    </row>
    <row r="2" spans="1:29" x14ac:dyDescent="0.2">
      <c r="A2" s="677"/>
      <c r="C2" s="295"/>
      <c r="D2" s="240" t="s">
        <v>207</v>
      </c>
      <c r="E2" s="240" t="s">
        <v>211</v>
      </c>
      <c r="G2" s="295"/>
      <c r="H2" s="75" t="s">
        <v>209</v>
      </c>
      <c r="I2" s="75" t="s">
        <v>213</v>
      </c>
      <c r="J2" s="75"/>
      <c r="K2" s="295"/>
      <c r="L2" s="75" t="s">
        <v>215</v>
      </c>
      <c r="M2" s="75" t="s">
        <v>211</v>
      </c>
      <c r="O2" s="295"/>
      <c r="P2" s="75" t="s">
        <v>209</v>
      </c>
      <c r="Q2" s="75" t="s">
        <v>217</v>
      </c>
      <c r="S2" s="295"/>
      <c r="T2" s="75" t="s">
        <v>334</v>
      </c>
      <c r="U2" s="75" t="s">
        <v>211</v>
      </c>
      <c r="V2" s="75"/>
      <c r="W2" s="295"/>
      <c r="X2" s="75" t="s">
        <v>209</v>
      </c>
      <c r="Y2" s="75" t="s">
        <v>335</v>
      </c>
      <c r="AA2" s="295"/>
      <c r="AB2" s="75" t="s">
        <v>336</v>
      </c>
      <c r="AC2" s="75" t="s">
        <v>211</v>
      </c>
    </row>
    <row r="3" spans="1:29" ht="12.75" customHeight="1" x14ac:dyDescent="0.2">
      <c r="A3" s="677"/>
      <c r="C3" s="292"/>
      <c r="D3" s="240" t="s">
        <v>206</v>
      </c>
      <c r="E3" s="240" t="s">
        <v>208</v>
      </c>
      <c r="G3" s="292"/>
      <c r="H3" s="75" t="s">
        <v>206</v>
      </c>
      <c r="I3" s="75" t="s">
        <v>210</v>
      </c>
      <c r="K3" s="293"/>
      <c r="L3" s="75" t="s">
        <v>206</v>
      </c>
      <c r="M3" s="75" t="s">
        <v>212</v>
      </c>
      <c r="O3" s="164"/>
      <c r="P3" s="75" t="s">
        <v>214</v>
      </c>
      <c r="Q3" s="75" t="s">
        <v>210</v>
      </c>
      <c r="S3" s="292"/>
      <c r="T3" s="75" t="s">
        <v>206</v>
      </c>
      <c r="U3" s="75" t="s">
        <v>216</v>
      </c>
      <c r="W3" s="293"/>
      <c r="X3" s="75" t="s">
        <v>331</v>
      </c>
      <c r="Y3" s="75" t="s">
        <v>210</v>
      </c>
      <c r="AA3" s="164"/>
      <c r="AB3" s="75" t="s">
        <v>206</v>
      </c>
      <c r="AC3" s="75" t="s">
        <v>332</v>
      </c>
    </row>
    <row r="4" spans="1:29" ht="12.75" customHeight="1" x14ac:dyDescent="0.2">
      <c r="A4" s="677"/>
      <c r="C4" s="292"/>
      <c r="D4" s="240" t="s">
        <v>207</v>
      </c>
      <c r="E4" s="240" t="s">
        <v>209</v>
      </c>
      <c r="G4" s="292"/>
      <c r="H4" s="75" t="s">
        <v>207</v>
      </c>
      <c r="I4" s="75" t="s">
        <v>211</v>
      </c>
      <c r="K4" s="293"/>
      <c r="L4" s="75" t="s">
        <v>207</v>
      </c>
      <c r="M4" s="75" t="s">
        <v>213</v>
      </c>
      <c r="O4" s="164"/>
      <c r="P4" s="75" t="s">
        <v>215</v>
      </c>
      <c r="Q4" s="75" t="s">
        <v>211</v>
      </c>
      <c r="S4" s="292"/>
      <c r="T4" s="75" t="s">
        <v>207</v>
      </c>
      <c r="U4" s="75" t="s">
        <v>217</v>
      </c>
      <c r="W4" s="293"/>
      <c r="X4" s="75" t="s">
        <v>334</v>
      </c>
      <c r="Y4" s="75" t="s">
        <v>211</v>
      </c>
      <c r="AA4" s="164"/>
      <c r="AB4" s="75" t="s">
        <v>207</v>
      </c>
      <c r="AC4" s="75" t="s">
        <v>335</v>
      </c>
    </row>
    <row r="5" spans="1:29" x14ac:dyDescent="0.2">
      <c r="A5" s="677"/>
      <c r="C5" s="292"/>
      <c r="D5" s="240" t="s">
        <v>208</v>
      </c>
      <c r="E5" s="240" t="s">
        <v>210</v>
      </c>
      <c r="G5" s="292"/>
      <c r="H5" s="75" t="s">
        <v>206</v>
      </c>
      <c r="I5" s="75" t="s">
        <v>208</v>
      </c>
      <c r="K5" s="294"/>
      <c r="L5" s="75" t="s">
        <v>214</v>
      </c>
      <c r="M5" s="75" t="s">
        <v>208</v>
      </c>
      <c r="P5" s="75" t="s">
        <v>206</v>
      </c>
      <c r="Q5" s="75" t="s">
        <v>212</v>
      </c>
      <c r="S5" s="292"/>
      <c r="T5" s="75" t="s">
        <v>214</v>
      </c>
      <c r="U5" s="75" t="s">
        <v>212</v>
      </c>
      <c r="W5" s="294"/>
      <c r="X5" s="75" t="s">
        <v>206</v>
      </c>
      <c r="Y5" s="75" t="s">
        <v>216</v>
      </c>
      <c r="AB5" s="75" t="s">
        <v>331</v>
      </c>
      <c r="AC5" s="75" t="s">
        <v>212</v>
      </c>
    </row>
    <row r="6" spans="1:29" x14ac:dyDescent="0.2">
      <c r="A6" s="677"/>
      <c r="C6" s="292"/>
      <c r="D6" s="240" t="s">
        <v>209</v>
      </c>
      <c r="E6" s="240" t="s">
        <v>211</v>
      </c>
      <c r="G6" s="292"/>
      <c r="H6" s="75" t="s">
        <v>210</v>
      </c>
      <c r="I6" s="75" t="s">
        <v>212</v>
      </c>
      <c r="J6" s="452" t="s">
        <v>296</v>
      </c>
      <c r="K6" s="75"/>
      <c r="L6" s="75" t="s">
        <v>215</v>
      </c>
      <c r="M6" s="75" t="s">
        <v>209</v>
      </c>
      <c r="P6" s="75" t="s">
        <v>207</v>
      </c>
      <c r="Q6" s="75" t="s">
        <v>213</v>
      </c>
      <c r="S6" s="292"/>
      <c r="T6" s="75" t="s">
        <v>215</v>
      </c>
      <c r="U6" s="75" t="s">
        <v>213</v>
      </c>
      <c r="V6" s="452"/>
      <c r="W6" s="75"/>
      <c r="X6" s="75" t="s">
        <v>207</v>
      </c>
      <c r="Y6" s="75" t="s">
        <v>217</v>
      </c>
      <c r="AB6" s="75" t="s">
        <v>334</v>
      </c>
      <c r="AC6" s="75" t="s">
        <v>213</v>
      </c>
    </row>
    <row r="7" spans="1:29" ht="12.75" customHeight="1" x14ac:dyDescent="0.2">
      <c r="A7" s="677"/>
      <c r="C7" s="292"/>
      <c r="D7" s="240"/>
      <c r="E7" s="240"/>
      <c r="G7" s="292"/>
      <c r="H7" s="75" t="s">
        <v>207</v>
      </c>
      <c r="I7" s="75" t="s">
        <v>209</v>
      </c>
      <c r="J7" s="452" t="s">
        <v>296</v>
      </c>
      <c r="K7" s="75"/>
      <c r="L7" s="75" t="s">
        <v>210</v>
      </c>
      <c r="M7" s="75" t="s">
        <v>206</v>
      </c>
      <c r="P7" s="75" t="s">
        <v>214</v>
      </c>
      <c r="Q7" s="75" t="s">
        <v>208</v>
      </c>
      <c r="S7" s="292"/>
      <c r="T7" s="75" t="s">
        <v>331</v>
      </c>
      <c r="U7" s="75" t="s">
        <v>208</v>
      </c>
      <c r="V7" s="452"/>
      <c r="W7" s="75"/>
      <c r="X7" s="75" t="s">
        <v>214</v>
      </c>
      <c r="Y7" s="75" t="s">
        <v>212</v>
      </c>
      <c r="AB7" s="75" t="s">
        <v>214</v>
      </c>
      <c r="AC7" s="75" t="s">
        <v>216</v>
      </c>
    </row>
    <row r="8" spans="1:29" ht="12.75" customHeight="1" x14ac:dyDescent="0.2">
      <c r="A8" s="677"/>
      <c r="C8" s="292"/>
      <c r="D8" s="240"/>
      <c r="E8" s="240"/>
      <c r="G8" s="292"/>
      <c r="H8" s="75" t="s">
        <v>211</v>
      </c>
      <c r="I8" s="75" t="s">
        <v>213</v>
      </c>
      <c r="K8" s="294"/>
      <c r="L8" s="75" t="s">
        <v>211</v>
      </c>
      <c r="M8" s="75" t="s">
        <v>207</v>
      </c>
      <c r="P8" s="75" t="s">
        <v>215</v>
      </c>
      <c r="Q8" s="75" t="s">
        <v>209</v>
      </c>
      <c r="S8" s="292"/>
      <c r="T8" s="75" t="s">
        <v>334</v>
      </c>
      <c r="U8" s="75" t="s">
        <v>209</v>
      </c>
      <c r="W8" s="294"/>
      <c r="X8" s="75" t="s">
        <v>215</v>
      </c>
      <c r="Y8" s="75" t="s">
        <v>213</v>
      </c>
      <c r="AB8" s="75" t="s">
        <v>215</v>
      </c>
      <c r="AC8" s="75" t="s">
        <v>217</v>
      </c>
    </row>
    <row r="9" spans="1:29" x14ac:dyDescent="0.2">
      <c r="A9" s="677"/>
      <c r="C9" s="292"/>
      <c r="D9" s="240"/>
      <c r="E9" s="240"/>
      <c r="G9" s="292"/>
      <c r="H9" s="75" t="s">
        <v>208</v>
      </c>
      <c r="I9" s="75" t="s">
        <v>210</v>
      </c>
      <c r="K9" s="294"/>
      <c r="L9" s="75" t="s">
        <v>208</v>
      </c>
      <c r="M9" s="75" t="s">
        <v>212</v>
      </c>
      <c r="P9" s="75" t="s">
        <v>212</v>
      </c>
      <c r="Q9" s="75" t="s">
        <v>216</v>
      </c>
      <c r="S9" s="292"/>
      <c r="T9" s="75" t="s">
        <v>210</v>
      </c>
      <c r="U9" s="75" t="s">
        <v>214</v>
      </c>
      <c r="W9" s="294"/>
      <c r="X9" s="75" t="s">
        <v>331</v>
      </c>
      <c r="Y9" s="75" t="s">
        <v>208</v>
      </c>
      <c r="AB9" s="75" t="s">
        <v>333</v>
      </c>
      <c r="AC9" s="75" t="s">
        <v>208</v>
      </c>
    </row>
    <row r="10" spans="1:29" x14ac:dyDescent="0.2">
      <c r="A10" s="677"/>
      <c r="C10" s="292"/>
      <c r="D10" s="240"/>
      <c r="E10" s="240"/>
      <c r="G10" s="292"/>
      <c r="H10" s="75" t="s">
        <v>209</v>
      </c>
      <c r="I10" s="75" t="s">
        <v>211</v>
      </c>
      <c r="K10" s="294"/>
      <c r="L10" s="75" t="s">
        <v>209</v>
      </c>
      <c r="M10" s="75" t="s">
        <v>213</v>
      </c>
      <c r="P10" s="75" t="s">
        <v>213</v>
      </c>
      <c r="Q10" s="75" t="s">
        <v>217</v>
      </c>
      <c r="S10" s="292"/>
      <c r="T10" s="75" t="s">
        <v>211</v>
      </c>
      <c r="U10" s="75" t="s">
        <v>215</v>
      </c>
      <c r="W10" s="294"/>
      <c r="X10" s="75" t="s">
        <v>334</v>
      </c>
      <c r="Y10" s="75" t="s">
        <v>209</v>
      </c>
      <c r="AB10" s="75" t="s">
        <v>336</v>
      </c>
      <c r="AC10" s="75" t="s">
        <v>209</v>
      </c>
    </row>
    <row r="11" spans="1:29" ht="13.5" customHeight="1" x14ac:dyDescent="0.2">
      <c r="A11" s="677"/>
      <c r="C11" s="292"/>
      <c r="D11" s="240"/>
      <c r="E11" s="240"/>
      <c r="G11" s="292"/>
      <c r="H11" s="75" t="s">
        <v>212</v>
      </c>
      <c r="I11" s="75" t="s">
        <v>206</v>
      </c>
      <c r="K11" s="292"/>
      <c r="L11" s="75" t="s">
        <v>206</v>
      </c>
      <c r="M11" s="75" t="s">
        <v>214</v>
      </c>
      <c r="P11" s="75" t="s">
        <v>210</v>
      </c>
      <c r="Q11" s="75" t="s">
        <v>206</v>
      </c>
      <c r="S11" s="292"/>
      <c r="T11" s="75" t="s">
        <v>212</v>
      </c>
      <c r="U11" s="75" t="s">
        <v>206</v>
      </c>
      <c r="W11" s="292"/>
      <c r="X11" s="75" t="s">
        <v>216</v>
      </c>
      <c r="Y11" s="75" t="s">
        <v>332</v>
      </c>
      <c r="AB11" s="75" t="s">
        <v>210</v>
      </c>
      <c r="AC11" s="75" t="s">
        <v>331</v>
      </c>
    </row>
    <row r="12" spans="1:29" ht="13.5" customHeight="1" x14ac:dyDescent="0.2">
      <c r="A12" s="677"/>
      <c r="C12" s="292"/>
      <c r="D12" s="240"/>
      <c r="E12" s="240"/>
      <c r="G12" s="292"/>
      <c r="H12" s="75" t="s">
        <v>213</v>
      </c>
      <c r="I12" s="75" t="s">
        <v>207</v>
      </c>
      <c r="K12" s="292"/>
      <c r="L12" s="75" t="s">
        <v>207</v>
      </c>
      <c r="M12" s="75" t="s">
        <v>215</v>
      </c>
      <c r="P12" s="75" t="s">
        <v>211</v>
      </c>
      <c r="Q12" s="75" t="s">
        <v>207</v>
      </c>
      <c r="S12" s="292"/>
      <c r="T12" s="75" t="s">
        <v>213</v>
      </c>
      <c r="U12" s="75" t="s">
        <v>207</v>
      </c>
      <c r="W12" s="292"/>
      <c r="X12" s="75" t="s">
        <v>217</v>
      </c>
      <c r="Y12" s="75" t="s">
        <v>335</v>
      </c>
      <c r="AB12" s="75" t="s">
        <v>211</v>
      </c>
      <c r="AC12" s="75" t="s">
        <v>334</v>
      </c>
    </row>
    <row r="13" spans="1:29" ht="12.75" customHeight="1" x14ac:dyDescent="0.2">
      <c r="A13" s="677"/>
      <c r="D13" s="75"/>
      <c r="E13" s="75"/>
      <c r="G13" s="292"/>
      <c r="H13" s="75"/>
      <c r="I13" s="75"/>
      <c r="K13" s="292"/>
      <c r="L13" s="75" t="s">
        <v>210</v>
      </c>
      <c r="M13" s="75" t="s">
        <v>212</v>
      </c>
      <c r="P13" s="75" t="s">
        <v>208</v>
      </c>
      <c r="Q13" s="75" t="s">
        <v>212</v>
      </c>
      <c r="S13" s="292"/>
      <c r="T13" s="75" t="s">
        <v>208</v>
      </c>
      <c r="U13" s="75" t="s">
        <v>216</v>
      </c>
      <c r="W13" s="292"/>
      <c r="X13" s="75" t="s">
        <v>210</v>
      </c>
      <c r="Y13" s="75" t="s">
        <v>214</v>
      </c>
      <c r="AB13" s="75" t="s">
        <v>216</v>
      </c>
      <c r="AC13" s="75" t="s">
        <v>206</v>
      </c>
    </row>
    <row r="14" spans="1:29" ht="12.75" customHeight="1" x14ac:dyDescent="0.2">
      <c r="A14" s="677"/>
      <c r="D14" s="75"/>
      <c r="E14" s="75"/>
      <c r="G14" s="292"/>
      <c r="K14" s="292"/>
      <c r="L14" s="75" t="s">
        <v>211</v>
      </c>
      <c r="M14" s="75" t="s">
        <v>213</v>
      </c>
      <c r="P14" s="75" t="s">
        <v>209</v>
      </c>
      <c r="Q14" s="75" t="s">
        <v>213</v>
      </c>
      <c r="S14" s="292"/>
      <c r="T14" s="164" t="s">
        <v>209</v>
      </c>
      <c r="U14" s="164" t="s">
        <v>217</v>
      </c>
      <c r="W14" s="292"/>
      <c r="X14" s="75" t="s">
        <v>211</v>
      </c>
      <c r="Y14" s="75" t="s">
        <v>215</v>
      </c>
      <c r="AB14" s="75" t="s">
        <v>217</v>
      </c>
      <c r="AC14" s="75" t="s">
        <v>207</v>
      </c>
    </row>
    <row r="15" spans="1:29" x14ac:dyDescent="0.2">
      <c r="A15" s="677"/>
      <c r="C15" s="241"/>
      <c r="D15" s="75"/>
      <c r="E15" s="75"/>
      <c r="G15" s="292"/>
      <c r="H15" s="75"/>
      <c r="I15" s="453"/>
      <c r="J15" s="452" t="s">
        <v>303</v>
      </c>
      <c r="K15" s="292"/>
      <c r="L15" s="75" t="s">
        <v>206</v>
      </c>
      <c r="M15" s="75" t="s">
        <v>208</v>
      </c>
      <c r="P15" s="75" t="s">
        <v>206</v>
      </c>
      <c r="Q15" s="75" t="s">
        <v>214</v>
      </c>
      <c r="S15" s="292"/>
      <c r="T15" s="75" t="s">
        <v>214</v>
      </c>
      <c r="U15" s="75" t="s">
        <v>331</v>
      </c>
      <c r="V15" s="452"/>
      <c r="W15" s="292"/>
      <c r="X15" s="75" t="s">
        <v>212</v>
      </c>
      <c r="Y15" s="75" t="s">
        <v>206</v>
      </c>
      <c r="AB15" s="75" t="s">
        <v>212</v>
      </c>
      <c r="AC15" s="75" t="s">
        <v>214</v>
      </c>
    </row>
    <row r="16" spans="1:29" x14ac:dyDescent="0.2">
      <c r="A16" s="677"/>
      <c r="C16" s="241"/>
      <c r="D16" s="75"/>
      <c r="E16" s="75"/>
      <c r="G16" s="292"/>
      <c r="H16" s="75"/>
      <c r="I16" s="75"/>
      <c r="J16" s="398" t="s">
        <v>297</v>
      </c>
      <c r="K16" s="292"/>
      <c r="L16" s="75" t="s">
        <v>207</v>
      </c>
      <c r="M16" s="75" t="s">
        <v>209</v>
      </c>
      <c r="P16" s="75" t="s">
        <v>207</v>
      </c>
      <c r="Q16" s="75" t="s">
        <v>215</v>
      </c>
      <c r="S16" s="292"/>
      <c r="T16" s="75" t="s">
        <v>215</v>
      </c>
      <c r="U16" s="75" t="s">
        <v>334</v>
      </c>
      <c r="V16" s="398"/>
      <c r="W16" s="292"/>
      <c r="X16" s="75" t="s">
        <v>213</v>
      </c>
      <c r="Y16" s="75" t="s">
        <v>207</v>
      </c>
      <c r="AB16" s="75" t="s">
        <v>213</v>
      </c>
      <c r="AC16" s="75" t="s">
        <v>215</v>
      </c>
    </row>
    <row r="17" spans="1:29" x14ac:dyDescent="0.2">
      <c r="A17" s="677"/>
      <c r="C17" s="241"/>
      <c r="D17" s="75"/>
      <c r="E17" s="75"/>
      <c r="G17" s="292"/>
      <c r="H17" s="75"/>
      <c r="I17" s="75"/>
      <c r="J17" s="398" t="s">
        <v>168</v>
      </c>
      <c r="K17" s="292"/>
      <c r="L17" s="75" t="s">
        <v>212</v>
      </c>
      <c r="M17" s="75" t="s">
        <v>214</v>
      </c>
      <c r="P17" s="75" t="s">
        <v>216</v>
      </c>
      <c r="Q17" s="75" t="s">
        <v>210</v>
      </c>
      <c r="S17" s="292"/>
      <c r="T17" s="75" t="s">
        <v>206</v>
      </c>
      <c r="U17" s="75" t="s">
        <v>210</v>
      </c>
      <c r="V17" s="398"/>
      <c r="W17" s="292"/>
      <c r="X17" s="75" t="s">
        <v>208</v>
      </c>
      <c r="Y17" s="75" t="s">
        <v>216</v>
      </c>
      <c r="AB17" s="75" t="s">
        <v>208</v>
      </c>
      <c r="AC17" s="75" t="s">
        <v>332</v>
      </c>
    </row>
    <row r="18" spans="1:29" x14ac:dyDescent="0.2">
      <c r="A18" s="677"/>
      <c r="C18" s="241"/>
      <c r="D18" s="75"/>
      <c r="E18" s="75"/>
      <c r="G18" s="292"/>
      <c r="H18" s="75"/>
      <c r="I18" s="75"/>
      <c r="J18" s="398" t="s">
        <v>298</v>
      </c>
      <c r="K18" s="292"/>
      <c r="L18" s="75" t="s">
        <v>213</v>
      </c>
      <c r="M18" s="75" t="s">
        <v>215</v>
      </c>
      <c r="P18" s="75" t="s">
        <v>217</v>
      </c>
      <c r="Q18" s="75" t="s">
        <v>211</v>
      </c>
      <c r="S18" s="292"/>
      <c r="T18" s="75" t="s">
        <v>207</v>
      </c>
      <c r="U18" s="75" t="s">
        <v>211</v>
      </c>
      <c r="V18" s="398"/>
      <c r="W18" s="292"/>
      <c r="X18" s="75" t="s">
        <v>209</v>
      </c>
      <c r="Y18" s="75" t="s">
        <v>217</v>
      </c>
      <c r="AB18" s="75" t="s">
        <v>209</v>
      </c>
      <c r="AC18" s="75" t="s">
        <v>335</v>
      </c>
    </row>
    <row r="19" spans="1:29" x14ac:dyDescent="0.2">
      <c r="A19" s="677"/>
      <c r="C19" s="241"/>
      <c r="D19" s="75"/>
      <c r="E19" s="75"/>
      <c r="G19" s="292"/>
      <c r="H19" s="75"/>
      <c r="I19" s="75"/>
      <c r="J19" s="398" t="s">
        <v>299</v>
      </c>
      <c r="K19" s="292"/>
      <c r="L19" s="75" t="s">
        <v>208</v>
      </c>
      <c r="M19" s="75" t="s">
        <v>210</v>
      </c>
      <c r="P19" s="75" t="s">
        <v>206</v>
      </c>
      <c r="Q19" s="75" t="s">
        <v>208</v>
      </c>
      <c r="S19" s="292"/>
      <c r="T19" s="75" t="s">
        <v>214</v>
      </c>
      <c r="U19" s="75" t="s">
        <v>208</v>
      </c>
      <c r="V19" s="398"/>
      <c r="W19" s="292"/>
      <c r="X19" s="75" t="s">
        <v>214</v>
      </c>
      <c r="Y19" s="75" t="s">
        <v>331</v>
      </c>
      <c r="AB19" s="75" t="s">
        <v>331</v>
      </c>
      <c r="AC19" s="75" t="s">
        <v>333</v>
      </c>
    </row>
    <row r="20" spans="1:29" x14ac:dyDescent="0.2">
      <c r="A20" s="677"/>
      <c r="C20" s="241"/>
      <c r="D20" s="75"/>
      <c r="E20" s="75"/>
      <c r="G20" s="292"/>
      <c r="H20" s="75"/>
      <c r="I20" s="75"/>
      <c r="K20" s="292"/>
      <c r="L20" s="75" t="s">
        <v>209</v>
      </c>
      <c r="M20" s="75" t="s">
        <v>211</v>
      </c>
      <c r="P20" s="75" t="s">
        <v>207</v>
      </c>
      <c r="Q20" s="75" t="s">
        <v>209</v>
      </c>
      <c r="S20" s="292"/>
      <c r="T20" s="75" t="s">
        <v>215</v>
      </c>
      <c r="U20" s="75" t="s">
        <v>209</v>
      </c>
      <c r="W20" s="292"/>
      <c r="X20" s="75" t="s">
        <v>215</v>
      </c>
      <c r="Y20" s="75" t="s">
        <v>334</v>
      </c>
      <c r="AB20" s="75" t="s">
        <v>334</v>
      </c>
      <c r="AC20" s="75" t="s">
        <v>336</v>
      </c>
    </row>
    <row r="21" spans="1:29" x14ac:dyDescent="0.2">
      <c r="A21" s="677"/>
      <c r="C21" s="241"/>
      <c r="D21" s="75"/>
      <c r="E21" s="75"/>
      <c r="G21" s="292"/>
      <c r="H21" s="75"/>
      <c r="I21" s="453"/>
      <c r="J21" s="398" t="s">
        <v>304</v>
      </c>
      <c r="K21" s="292"/>
      <c r="L21" s="75"/>
      <c r="M21" s="75"/>
      <c r="O21" s="292"/>
      <c r="P21" s="75" t="s">
        <v>210</v>
      </c>
      <c r="Q21" s="75" t="s">
        <v>212</v>
      </c>
      <c r="S21" s="292"/>
      <c r="T21" s="75" t="s">
        <v>212</v>
      </c>
      <c r="U21" s="75" t="s">
        <v>216</v>
      </c>
      <c r="V21" s="398"/>
      <c r="W21" s="292"/>
      <c r="X21" s="75" t="s">
        <v>332</v>
      </c>
      <c r="Y21" s="75" t="s">
        <v>212</v>
      </c>
      <c r="AA21" s="292"/>
      <c r="AB21" s="75" t="s">
        <v>214</v>
      </c>
      <c r="AC21" s="75" t="s">
        <v>210</v>
      </c>
    </row>
    <row r="22" spans="1:29" x14ac:dyDescent="0.2">
      <c r="A22" s="677"/>
      <c r="C22" s="241"/>
      <c r="D22" s="75"/>
      <c r="E22" s="75"/>
      <c r="G22" s="292"/>
      <c r="H22" s="75"/>
      <c r="I22" s="75"/>
      <c r="J22" s="398" t="s">
        <v>300</v>
      </c>
      <c r="K22" s="292"/>
      <c r="L22" s="75"/>
      <c r="M22" s="75"/>
      <c r="O22" s="292"/>
      <c r="P22" s="75" t="s">
        <v>211</v>
      </c>
      <c r="Q22" s="75" t="s">
        <v>213</v>
      </c>
      <c r="S22" s="292"/>
      <c r="T22" s="75" t="s">
        <v>213</v>
      </c>
      <c r="U22" s="75" t="s">
        <v>217</v>
      </c>
      <c r="V22" s="398"/>
      <c r="W22" s="292"/>
      <c r="X22" s="75" t="s">
        <v>335</v>
      </c>
      <c r="Y22" s="75" t="s">
        <v>213</v>
      </c>
      <c r="AA22" s="292"/>
      <c r="AB22" s="75" t="s">
        <v>215</v>
      </c>
      <c r="AC22" s="75" t="s">
        <v>211</v>
      </c>
    </row>
    <row r="23" spans="1:29" x14ac:dyDescent="0.2">
      <c r="A23" s="677"/>
      <c r="D23" s="75"/>
      <c r="E23" s="75"/>
      <c r="H23" s="75"/>
      <c r="I23" s="75"/>
      <c r="J23" s="398" t="s">
        <v>301</v>
      </c>
      <c r="K23" s="292"/>
      <c r="L23" s="75"/>
      <c r="M23" s="75"/>
      <c r="O23" s="292"/>
      <c r="P23" s="75" t="s">
        <v>214</v>
      </c>
      <c r="Q23" s="75" t="s">
        <v>216</v>
      </c>
      <c r="T23" s="75" t="s">
        <v>331</v>
      </c>
      <c r="U23" s="75" t="s">
        <v>206</v>
      </c>
      <c r="V23" s="398"/>
      <c r="W23" s="292"/>
      <c r="X23" s="75" t="s">
        <v>206</v>
      </c>
      <c r="Y23" s="75" t="s">
        <v>210</v>
      </c>
      <c r="AA23" s="292"/>
      <c r="AB23" s="75" t="s">
        <v>206</v>
      </c>
      <c r="AC23" s="75" t="s">
        <v>212</v>
      </c>
    </row>
    <row r="24" spans="1:29" x14ac:dyDescent="0.2">
      <c r="A24" s="677"/>
      <c r="D24" s="75"/>
      <c r="E24" s="75"/>
      <c r="H24" s="75"/>
      <c r="I24" s="75"/>
      <c r="J24" s="398" t="s">
        <v>302</v>
      </c>
      <c r="K24" s="292"/>
      <c r="L24" s="75"/>
      <c r="M24" s="75"/>
      <c r="O24" s="292"/>
      <c r="P24" s="75" t="s">
        <v>215</v>
      </c>
      <c r="Q24" s="75" t="s">
        <v>217</v>
      </c>
      <c r="T24" s="75" t="s">
        <v>334</v>
      </c>
      <c r="U24" s="75" t="s">
        <v>207</v>
      </c>
      <c r="V24" s="398"/>
      <c r="W24" s="292"/>
      <c r="X24" s="75" t="s">
        <v>207</v>
      </c>
      <c r="Y24" s="75" t="s">
        <v>211</v>
      </c>
      <c r="AA24" s="292"/>
      <c r="AB24" s="75" t="s">
        <v>207</v>
      </c>
      <c r="AC24" s="75" t="s">
        <v>213</v>
      </c>
    </row>
    <row r="25" spans="1:29" x14ac:dyDescent="0.2">
      <c r="A25" s="677"/>
      <c r="J25" s="398"/>
      <c r="K25" s="292"/>
      <c r="L25" s="75"/>
      <c r="M25" s="75"/>
      <c r="O25" s="292"/>
      <c r="P25" s="75" t="s">
        <v>208</v>
      </c>
      <c r="Q25" s="75" t="s">
        <v>210</v>
      </c>
      <c r="T25" s="164" t="s">
        <v>208</v>
      </c>
      <c r="U25" s="164" t="s">
        <v>212</v>
      </c>
      <c r="V25" s="398"/>
      <c r="W25" s="292"/>
      <c r="X25" s="75" t="s">
        <v>214</v>
      </c>
      <c r="Y25" s="75" t="s">
        <v>208</v>
      </c>
      <c r="AA25" s="292"/>
      <c r="AB25" s="75" t="s">
        <v>331</v>
      </c>
      <c r="AC25" s="75" t="s">
        <v>208</v>
      </c>
    </row>
    <row r="26" spans="1:29" x14ac:dyDescent="0.2">
      <c r="A26" s="677"/>
      <c r="K26" s="292"/>
      <c r="L26" s="75"/>
      <c r="M26" s="75"/>
      <c r="O26" s="292"/>
      <c r="P26" s="75" t="s">
        <v>209</v>
      </c>
      <c r="Q26" s="75" t="s">
        <v>211</v>
      </c>
      <c r="T26" s="164" t="s">
        <v>209</v>
      </c>
      <c r="U26" s="164" t="s">
        <v>213</v>
      </c>
      <c r="W26" s="292"/>
      <c r="X26" s="75" t="s">
        <v>215</v>
      </c>
      <c r="Y26" s="75" t="s">
        <v>209</v>
      </c>
      <c r="AA26" s="292"/>
      <c r="AB26" s="75" t="s">
        <v>334</v>
      </c>
      <c r="AC26" s="75" t="s">
        <v>209</v>
      </c>
    </row>
    <row r="27" spans="1:29" x14ac:dyDescent="0.2">
      <c r="A27" s="677"/>
      <c r="K27" s="292"/>
      <c r="L27" s="75"/>
      <c r="M27" s="75"/>
      <c r="O27" s="292"/>
      <c r="P27" s="75" t="s">
        <v>216</v>
      </c>
      <c r="Q27" s="75" t="s">
        <v>206</v>
      </c>
      <c r="T27" s="164" t="s">
        <v>206</v>
      </c>
      <c r="U27" s="164" t="s">
        <v>214</v>
      </c>
      <c r="W27" s="292"/>
      <c r="X27" s="75" t="s">
        <v>212</v>
      </c>
      <c r="Y27" s="75" t="s">
        <v>216</v>
      </c>
      <c r="AA27" s="292"/>
      <c r="AB27" s="75" t="s">
        <v>216</v>
      </c>
      <c r="AC27" s="75" t="s">
        <v>332</v>
      </c>
    </row>
    <row r="28" spans="1:29" x14ac:dyDescent="0.2">
      <c r="A28" s="677"/>
      <c r="K28" s="292"/>
      <c r="L28" s="75"/>
      <c r="M28" s="75"/>
      <c r="O28" s="292"/>
      <c r="P28" s="75" t="s">
        <v>217</v>
      </c>
      <c r="Q28" s="75" t="s">
        <v>207</v>
      </c>
      <c r="T28" s="164" t="s">
        <v>207</v>
      </c>
      <c r="U28" s="164" t="s">
        <v>215</v>
      </c>
      <c r="W28" s="292"/>
      <c r="X28" s="75" t="s">
        <v>213</v>
      </c>
      <c r="Y28" s="75" t="s">
        <v>217</v>
      </c>
      <c r="AA28" s="292"/>
      <c r="AB28" s="75" t="s">
        <v>217</v>
      </c>
      <c r="AC28" s="75" t="s">
        <v>335</v>
      </c>
    </row>
    <row r="29" spans="1:29" x14ac:dyDescent="0.2">
      <c r="A29" s="677"/>
      <c r="K29" s="292"/>
      <c r="L29" s="75"/>
      <c r="M29" s="75"/>
      <c r="O29" s="292"/>
      <c r="P29" s="75" t="s">
        <v>212</v>
      </c>
      <c r="Q29" s="75" t="s">
        <v>214</v>
      </c>
      <c r="T29" s="164" t="s">
        <v>216</v>
      </c>
      <c r="U29" s="164" t="s">
        <v>210</v>
      </c>
      <c r="W29" s="292"/>
      <c r="X29" s="75" t="s">
        <v>331</v>
      </c>
      <c r="Y29" s="75" t="s">
        <v>206</v>
      </c>
      <c r="AA29" s="292"/>
      <c r="AB29" s="75" t="s">
        <v>333</v>
      </c>
      <c r="AC29" s="75" t="s">
        <v>214</v>
      </c>
    </row>
    <row r="30" spans="1:29" x14ac:dyDescent="0.2">
      <c r="A30" s="677"/>
      <c r="K30" s="294"/>
      <c r="L30" s="75"/>
      <c r="M30" s="75"/>
      <c r="O30" s="292"/>
      <c r="P30" s="75" t="s">
        <v>213</v>
      </c>
      <c r="Q30" s="75" t="s">
        <v>215</v>
      </c>
      <c r="T30" s="164" t="s">
        <v>217</v>
      </c>
      <c r="U30" s="164" t="s">
        <v>211</v>
      </c>
      <c r="W30" s="294"/>
      <c r="X30" s="75" t="s">
        <v>334</v>
      </c>
      <c r="Y30" s="75" t="s">
        <v>207</v>
      </c>
      <c r="AA30" s="292"/>
      <c r="AB30" s="75" t="s">
        <v>336</v>
      </c>
      <c r="AC30" s="75" t="s">
        <v>215</v>
      </c>
    </row>
    <row r="31" spans="1:29" x14ac:dyDescent="0.2">
      <c r="A31" s="677"/>
      <c r="L31" s="75"/>
      <c r="M31" s="75"/>
      <c r="O31" s="292"/>
      <c r="P31" s="75"/>
      <c r="Q31" s="75"/>
      <c r="T31" s="164" t="s">
        <v>206</v>
      </c>
      <c r="U31" s="164" t="s">
        <v>208</v>
      </c>
      <c r="X31" s="75" t="s">
        <v>210</v>
      </c>
      <c r="Y31" s="75" t="s">
        <v>332</v>
      </c>
      <c r="AA31" s="292"/>
      <c r="AB31" s="75" t="s">
        <v>210</v>
      </c>
      <c r="AC31" s="75" t="s">
        <v>206</v>
      </c>
    </row>
    <row r="32" spans="1:29" x14ac:dyDescent="0.2">
      <c r="A32" s="677"/>
      <c r="L32" s="75"/>
      <c r="M32" s="75"/>
      <c r="O32" s="292"/>
      <c r="P32" s="75"/>
      <c r="Q32" s="75"/>
      <c r="T32" s="164" t="s">
        <v>207</v>
      </c>
      <c r="U32" s="164" t="s">
        <v>209</v>
      </c>
      <c r="X32" s="75" t="s">
        <v>211</v>
      </c>
      <c r="Y32" s="75" t="s">
        <v>335</v>
      </c>
      <c r="AA32" s="292"/>
      <c r="AB32" s="75" t="s">
        <v>211</v>
      </c>
      <c r="AC32" s="75" t="s">
        <v>207</v>
      </c>
    </row>
    <row r="33" spans="12:29" x14ac:dyDescent="0.2">
      <c r="L33" s="75"/>
      <c r="M33" s="75"/>
      <c r="O33" s="292"/>
      <c r="P33" s="75"/>
      <c r="Q33" s="75"/>
      <c r="T33" s="164" t="s">
        <v>210</v>
      </c>
      <c r="U33" s="164" t="s">
        <v>212</v>
      </c>
      <c r="X33" s="75" t="s">
        <v>208</v>
      </c>
      <c r="Y33" s="75" t="s">
        <v>212</v>
      </c>
      <c r="AA33" s="292"/>
      <c r="AB33" s="75" t="s">
        <v>208</v>
      </c>
      <c r="AC33" s="75" t="s">
        <v>216</v>
      </c>
    </row>
    <row r="34" spans="12:29" x14ac:dyDescent="0.2">
      <c r="L34" s="75"/>
      <c r="M34" s="75"/>
      <c r="O34" s="292"/>
      <c r="P34" s="75"/>
      <c r="Q34" s="75"/>
      <c r="T34" s="164" t="s">
        <v>211</v>
      </c>
      <c r="U34" s="164" t="s">
        <v>213</v>
      </c>
      <c r="X34" s="75" t="s">
        <v>209</v>
      </c>
      <c r="Y34" s="75" t="s">
        <v>213</v>
      </c>
      <c r="AA34" s="292"/>
      <c r="AB34" s="75" t="s">
        <v>209</v>
      </c>
      <c r="AC34" s="75" t="s">
        <v>217</v>
      </c>
    </row>
    <row r="35" spans="12:29" x14ac:dyDescent="0.2">
      <c r="P35" s="75"/>
      <c r="Q35" s="75"/>
      <c r="T35" s="164" t="s">
        <v>331</v>
      </c>
      <c r="U35" s="164" t="s">
        <v>216</v>
      </c>
      <c r="X35" s="164" t="s">
        <v>206</v>
      </c>
      <c r="Y35" s="164" t="s">
        <v>214</v>
      </c>
      <c r="AB35" s="75" t="s">
        <v>214</v>
      </c>
      <c r="AC35" s="75" t="s">
        <v>331</v>
      </c>
    </row>
    <row r="36" spans="12:29" x14ac:dyDescent="0.2">
      <c r="P36" s="75"/>
      <c r="Q36" s="75"/>
      <c r="T36" s="164" t="s">
        <v>334</v>
      </c>
      <c r="U36" s="164" t="s">
        <v>217</v>
      </c>
      <c r="X36" s="164" t="s">
        <v>207</v>
      </c>
      <c r="Y36" s="164" t="s">
        <v>215</v>
      </c>
      <c r="AB36" s="75" t="s">
        <v>215</v>
      </c>
      <c r="AC36" s="75" t="s">
        <v>334</v>
      </c>
    </row>
    <row r="37" spans="12:29" x14ac:dyDescent="0.2">
      <c r="P37" s="75"/>
      <c r="Q37" s="75"/>
      <c r="T37" s="164" t="s">
        <v>208</v>
      </c>
      <c r="U37" s="164" t="s">
        <v>210</v>
      </c>
      <c r="X37" s="164" t="s">
        <v>216</v>
      </c>
      <c r="Y37" s="164" t="s">
        <v>210</v>
      </c>
      <c r="AB37" s="75" t="s">
        <v>332</v>
      </c>
      <c r="AC37" s="75" t="s">
        <v>212</v>
      </c>
    </row>
    <row r="38" spans="12:29" x14ac:dyDescent="0.2">
      <c r="P38" s="75"/>
      <c r="Q38" s="75"/>
      <c r="T38" s="164" t="s">
        <v>209</v>
      </c>
      <c r="U38" s="164" t="s">
        <v>211</v>
      </c>
      <c r="X38" s="164" t="s">
        <v>217</v>
      </c>
      <c r="Y38" s="164" t="s">
        <v>211</v>
      </c>
      <c r="AB38" s="75" t="s">
        <v>335</v>
      </c>
      <c r="AC38" s="75" t="s">
        <v>213</v>
      </c>
    </row>
    <row r="39" spans="12:29" x14ac:dyDescent="0.2">
      <c r="P39" s="75"/>
      <c r="Q39" s="75"/>
      <c r="T39" s="164" t="s">
        <v>212</v>
      </c>
      <c r="U39" s="164" t="s">
        <v>331</v>
      </c>
      <c r="X39" s="164" t="s">
        <v>332</v>
      </c>
      <c r="Y39" s="164" t="s">
        <v>331</v>
      </c>
      <c r="AB39" s="75" t="s">
        <v>206</v>
      </c>
      <c r="AC39" s="75" t="s">
        <v>333</v>
      </c>
    </row>
    <row r="40" spans="12:29" x14ac:dyDescent="0.2">
      <c r="P40" s="75"/>
      <c r="Q40" s="75"/>
      <c r="T40" s="164" t="s">
        <v>213</v>
      </c>
      <c r="U40" s="164" t="s">
        <v>334</v>
      </c>
      <c r="X40" s="164" t="s">
        <v>335</v>
      </c>
      <c r="Y40" s="164" t="s">
        <v>334</v>
      </c>
      <c r="AB40" s="75" t="s">
        <v>207</v>
      </c>
      <c r="AC40" s="75" t="s">
        <v>336</v>
      </c>
    </row>
    <row r="41" spans="12:29" x14ac:dyDescent="0.2">
      <c r="P41" s="75"/>
      <c r="Q41" s="75"/>
      <c r="T41" s="164" t="s">
        <v>216</v>
      </c>
      <c r="U41" s="164" t="s">
        <v>214</v>
      </c>
      <c r="X41" s="164" t="s">
        <v>206</v>
      </c>
      <c r="Y41" s="164" t="s">
        <v>208</v>
      </c>
      <c r="AB41" s="75" t="s">
        <v>214</v>
      </c>
      <c r="AC41" s="75" t="s">
        <v>208</v>
      </c>
    </row>
    <row r="42" spans="12:29" x14ac:dyDescent="0.2">
      <c r="P42" s="75"/>
      <c r="Q42" s="75"/>
      <c r="T42" s="164" t="s">
        <v>217</v>
      </c>
      <c r="U42" s="164" t="s">
        <v>215</v>
      </c>
      <c r="X42" s="164" t="s">
        <v>207</v>
      </c>
      <c r="Y42" s="164" t="s">
        <v>209</v>
      </c>
      <c r="AB42" s="75" t="s">
        <v>215</v>
      </c>
      <c r="AC42" s="75" t="s">
        <v>209</v>
      </c>
    </row>
    <row r="43" spans="12:29" x14ac:dyDescent="0.2">
      <c r="P43" s="75"/>
      <c r="Q43" s="75"/>
      <c r="X43" s="164" t="s">
        <v>210</v>
      </c>
      <c r="Y43" s="164" t="s">
        <v>212</v>
      </c>
      <c r="AB43" s="75" t="s">
        <v>212</v>
      </c>
      <c r="AC43" s="75" t="s">
        <v>216</v>
      </c>
    </row>
    <row r="44" spans="12:29" x14ac:dyDescent="0.2">
      <c r="P44" s="75"/>
      <c r="Q44" s="75"/>
      <c r="X44" s="164" t="s">
        <v>211</v>
      </c>
      <c r="Y44" s="164" t="s">
        <v>213</v>
      </c>
      <c r="AB44" s="75" t="s">
        <v>213</v>
      </c>
      <c r="AC44" s="75" t="s">
        <v>217</v>
      </c>
    </row>
    <row r="45" spans="12:29" x14ac:dyDescent="0.2">
      <c r="X45" s="164" t="s">
        <v>214</v>
      </c>
      <c r="Y45" s="164" t="s">
        <v>332</v>
      </c>
      <c r="AB45" s="164" t="s">
        <v>331</v>
      </c>
      <c r="AC45" s="164" t="s">
        <v>206</v>
      </c>
    </row>
    <row r="46" spans="12:29" x14ac:dyDescent="0.2">
      <c r="X46" s="164" t="s">
        <v>215</v>
      </c>
      <c r="Y46" s="164" t="s">
        <v>335</v>
      </c>
      <c r="AB46" s="164" t="s">
        <v>334</v>
      </c>
      <c r="AC46" s="164" t="s">
        <v>207</v>
      </c>
    </row>
    <row r="47" spans="12:29" x14ac:dyDescent="0.2">
      <c r="X47" s="164" t="s">
        <v>331</v>
      </c>
      <c r="Y47" s="164" t="s">
        <v>216</v>
      </c>
      <c r="AB47" s="164" t="s">
        <v>210</v>
      </c>
      <c r="AC47" s="164" t="s">
        <v>332</v>
      </c>
    </row>
    <row r="48" spans="12:29" x14ac:dyDescent="0.2">
      <c r="X48" s="164" t="s">
        <v>334</v>
      </c>
      <c r="Y48" s="164" t="s">
        <v>217</v>
      </c>
      <c r="AB48" s="164" t="s">
        <v>211</v>
      </c>
      <c r="AC48" s="164" t="s">
        <v>335</v>
      </c>
    </row>
    <row r="49" spans="24:29" x14ac:dyDescent="0.2">
      <c r="X49" s="164" t="s">
        <v>208</v>
      </c>
      <c r="Y49" s="164" t="s">
        <v>210</v>
      </c>
      <c r="AB49" s="164" t="s">
        <v>208</v>
      </c>
      <c r="AC49" s="164" t="s">
        <v>212</v>
      </c>
    </row>
    <row r="50" spans="24:29" x14ac:dyDescent="0.2">
      <c r="X50" s="164" t="s">
        <v>209</v>
      </c>
      <c r="Y50" s="164" t="s">
        <v>211</v>
      </c>
      <c r="AB50" s="164" t="s">
        <v>209</v>
      </c>
      <c r="AC50" s="164" t="s">
        <v>213</v>
      </c>
    </row>
    <row r="51" spans="24:29" x14ac:dyDescent="0.2">
      <c r="X51" s="164" t="s">
        <v>332</v>
      </c>
      <c r="Y51" s="164" t="s">
        <v>206</v>
      </c>
      <c r="AB51" s="164" t="s">
        <v>206</v>
      </c>
      <c r="AC51" s="164" t="s">
        <v>214</v>
      </c>
    </row>
    <row r="52" spans="24:29" x14ac:dyDescent="0.2">
      <c r="X52" s="164" t="s">
        <v>335</v>
      </c>
      <c r="Y52" s="164" t="s">
        <v>207</v>
      </c>
      <c r="AB52" s="164" t="s">
        <v>207</v>
      </c>
      <c r="AC52" s="164" t="s">
        <v>215</v>
      </c>
    </row>
    <row r="53" spans="24:29" x14ac:dyDescent="0.2">
      <c r="X53" s="164" t="s">
        <v>212</v>
      </c>
      <c r="Y53" s="164" t="s">
        <v>331</v>
      </c>
      <c r="AB53" s="164" t="s">
        <v>216</v>
      </c>
      <c r="AC53" s="164" t="s">
        <v>210</v>
      </c>
    </row>
    <row r="54" spans="24:29" x14ac:dyDescent="0.2">
      <c r="X54" s="164" t="s">
        <v>213</v>
      </c>
      <c r="Y54" s="164" t="s">
        <v>334</v>
      </c>
      <c r="AB54" s="164" t="s">
        <v>217</v>
      </c>
      <c r="AC54" s="164" t="s">
        <v>211</v>
      </c>
    </row>
    <row r="55" spans="24:29" x14ac:dyDescent="0.2">
      <c r="X55" s="164" t="s">
        <v>216</v>
      </c>
      <c r="Y55" s="164" t="s">
        <v>214</v>
      </c>
      <c r="AB55" s="164" t="s">
        <v>332</v>
      </c>
      <c r="AC55" s="164" t="s">
        <v>333</v>
      </c>
    </row>
    <row r="56" spans="24:29" x14ac:dyDescent="0.2">
      <c r="X56" s="164" t="s">
        <v>217</v>
      </c>
      <c r="Y56" s="164" t="s">
        <v>215</v>
      </c>
      <c r="AB56" s="164" t="s">
        <v>335</v>
      </c>
      <c r="AC56" s="164" t="s">
        <v>336</v>
      </c>
    </row>
    <row r="57" spans="24:29" x14ac:dyDescent="0.2">
      <c r="AB57" s="164" t="s">
        <v>206</v>
      </c>
      <c r="AC57" s="164" t="s">
        <v>208</v>
      </c>
    </row>
    <row r="58" spans="24:29" x14ac:dyDescent="0.2">
      <c r="AB58" s="164" t="s">
        <v>207</v>
      </c>
      <c r="AC58" s="164" t="s">
        <v>209</v>
      </c>
    </row>
    <row r="59" spans="24:29" x14ac:dyDescent="0.2">
      <c r="AB59" s="164" t="s">
        <v>210</v>
      </c>
      <c r="AC59" s="164" t="s">
        <v>212</v>
      </c>
    </row>
    <row r="60" spans="24:29" x14ac:dyDescent="0.2">
      <c r="AB60" s="164" t="s">
        <v>211</v>
      </c>
      <c r="AC60" s="164" t="s">
        <v>213</v>
      </c>
    </row>
    <row r="61" spans="24:29" x14ac:dyDescent="0.2">
      <c r="AB61" s="164" t="s">
        <v>333</v>
      </c>
      <c r="AC61" s="164" t="s">
        <v>216</v>
      </c>
    </row>
    <row r="62" spans="24:29" x14ac:dyDescent="0.2">
      <c r="AB62" s="164" t="s">
        <v>336</v>
      </c>
      <c r="AC62" s="164" t="s">
        <v>217</v>
      </c>
    </row>
    <row r="63" spans="24:29" x14ac:dyDescent="0.2">
      <c r="AB63" s="164" t="s">
        <v>331</v>
      </c>
      <c r="AC63" s="164" t="s">
        <v>332</v>
      </c>
    </row>
    <row r="64" spans="24:29" x14ac:dyDescent="0.2">
      <c r="AB64" s="164" t="s">
        <v>334</v>
      </c>
      <c r="AC64" s="164" t="s">
        <v>335</v>
      </c>
    </row>
    <row r="65" spans="28:29" x14ac:dyDescent="0.2">
      <c r="AB65" s="164" t="s">
        <v>208</v>
      </c>
      <c r="AC65" s="164" t="s">
        <v>210</v>
      </c>
    </row>
    <row r="66" spans="28:29" x14ac:dyDescent="0.2">
      <c r="AB66" s="164" t="s">
        <v>209</v>
      </c>
      <c r="AC66" s="164" t="s">
        <v>211</v>
      </c>
    </row>
    <row r="67" spans="28:29" x14ac:dyDescent="0.2">
      <c r="AB67" s="164" t="s">
        <v>212</v>
      </c>
      <c r="AC67" s="164" t="s">
        <v>333</v>
      </c>
    </row>
    <row r="68" spans="28:29" x14ac:dyDescent="0.2">
      <c r="AB68" s="164" t="s">
        <v>213</v>
      </c>
      <c r="AC68" s="164" t="s">
        <v>336</v>
      </c>
    </row>
    <row r="69" spans="28:29" x14ac:dyDescent="0.2">
      <c r="AB69" s="164" t="s">
        <v>332</v>
      </c>
      <c r="AC69" s="164" t="s">
        <v>214</v>
      </c>
    </row>
    <row r="70" spans="28:29" x14ac:dyDescent="0.2">
      <c r="AB70" s="164" t="s">
        <v>335</v>
      </c>
      <c r="AC70" s="164" t="s">
        <v>215</v>
      </c>
    </row>
    <row r="71" spans="28:29" x14ac:dyDescent="0.2">
      <c r="AB71" s="164" t="s">
        <v>216</v>
      </c>
      <c r="AC71" s="164" t="s">
        <v>331</v>
      </c>
    </row>
    <row r="72" spans="28:29" x14ac:dyDescent="0.2">
      <c r="AB72" s="164" t="s">
        <v>217</v>
      </c>
      <c r="AC72" s="164" t="s">
        <v>334</v>
      </c>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M87"/>
  <sheetViews>
    <sheetView showGridLines="0" showRowColHeaders="0" tabSelected="1" zoomScaleNormal="100" workbookViewId="0">
      <selection activeCell="I12" sqref="I12"/>
    </sheetView>
  </sheetViews>
  <sheetFormatPr baseColWidth="10" defaultColWidth="0" defaultRowHeight="12.75" zeroHeight="1" x14ac:dyDescent="0.2"/>
  <cols>
    <col min="1" max="1" width="1.5703125" style="44" customWidth="1"/>
    <col min="2" max="2" width="4.7109375" style="44" customWidth="1"/>
    <col min="3" max="3" width="7.7109375" style="44" customWidth="1"/>
    <col min="4" max="5" width="6.5703125" style="44" customWidth="1"/>
    <col min="6" max="6" width="24.7109375" style="44" customWidth="1"/>
    <col min="7" max="7" width="3" style="44" customWidth="1"/>
    <col min="8" max="8" width="24.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4.7109375" style="44" customWidth="1"/>
    <col min="15" max="18" width="6.7109375" style="44" customWidth="1"/>
    <col min="19" max="19" width="4.7109375" style="44" customWidth="1"/>
    <col min="20" max="20" width="2.140625" style="44" customWidth="1"/>
    <col min="21" max="21" width="4.7109375" style="44" customWidth="1"/>
    <col min="22" max="23" width="6.7109375" style="44" customWidth="1"/>
    <col min="24" max="32" width="7.85546875" style="44" customWidth="1"/>
    <col min="33" max="33" width="24.7109375" style="44" customWidth="1"/>
    <col min="34" max="34" width="4.140625" style="44" customWidth="1"/>
    <col min="35" max="35" width="11.42578125" style="44" customWidth="1"/>
    <col min="36" max="36" width="8" style="44" customWidth="1"/>
    <col min="37" max="37" width="30.7109375" style="44" customWidth="1"/>
    <col min="38" max="39" width="11.42578125" style="44" customWidth="1"/>
    <col min="40" max="16384" width="11.42578125" style="44" hidden="1"/>
  </cols>
  <sheetData>
    <row r="1" spans="1:38" ht="13.5" thickBot="1" x14ac:dyDescent="0.25">
      <c r="B1" s="304"/>
      <c r="C1" s="304"/>
      <c r="D1" s="275"/>
      <c r="E1" s="275"/>
      <c r="F1" s="275"/>
      <c r="G1" s="275"/>
      <c r="H1" s="275"/>
      <c r="I1" s="275"/>
      <c r="J1" s="275"/>
      <c r="K1" s="275"/>
      <c r="M1" s="678"/>
      <c r="N1" s="678"/>
      <c r="AB1" s="304"/>
      <c r="AC1" s="304"/>
      <c r="AD1" s="304"/>
      <c r="AE1" s="304"/>
      <c r="AF1" s="304"/>
    </row>
    <row r="2" spans="1:38" ht="36" customHeight="1" thickTop="1" x14ac:dyDescent="0.2">
      <c r="B2" s="274"/>
      <c r="C2" s="274"/>
      <c r="G2" s="693" t="s">
        <v>389</v>
      </c>
      <c r="H2" s="694"/>
      <c r="I2" s="694"/>
      <c r="J2" s="694"/>
      <c r="K2" s="694"/>
      <c r="L2" s="694"/>
      <c r="M2" s="694"/>
      <c r="N2" s="694"/>
      <c r="O2" s="694"/>
      <c r="P2" s="694"/>
      <c r="Q2" s="694"/>
      <c r="R2" s="694"/>
      <c r="S2" s="694"/>
      <c r="T2" s="694"/>
      <c r="U2" s="694"/>
      <c r="V2" s="694"/>
      <c r="W2" s="694"/>
      <c r="X2" s="694"/>
      <c r="Y2" s="694"/>
      <c r="Z2" s="694"/>
      <c r="AA2" s="695"/>
      <c r="AF2" s="306"/>
      <c r="AG2" s="558" t="s">
        <v>374</v>
      </c>
    </row>
    <row r="3" spans="1:38" ht="30" customHeight="1" x14ac:dyDescent="0.2">
      <c r="G3" s="696" t="s">
        <v>390</v>
      </c>
      <c r="H3" s="697"/>
      <c r="I3" s="697"/>
      <c r="J3" s="697"/>
      <c r="K3" s="697"/>
      <c r="L3" s="697"/>
      <c r="M3" s="697"/>
      <c r="N3" s="697"/>
      <c r="O3" s="697"/>
      <c r="P3" s="697"/>
      <c r="Q3" s="697"/>
      <c r="R3" s="697"/>
      <c r="S3" s="697"/>
      <c r="T3" s="697"/>
      <c r="U3" s="697"/>
      <c r="V3" s="697"/>
      <c r="W3" s="697"/>
      <c r="X3" s="697"/>
      <c r="Y3" s="697"/>
      <c r="Z3" s="697"/>
      <c r="AA3" s="698"/>
    </row>
    <row r="4" spans="1:38" ht="30" customHeight="1" x14ac:dyDescent="0.2">
      <c r="G4" s="699" t="s">
        <v>391</v>
      </c>
      <c r="H4" s="700"/>
      <c r="I4" s="700"/>
      <c r="J4" s="700"/>
      <c r="K4" s="700"/>
      <c r="L4" s="700"/>
      <c r="M4" s="700"/>
      <c r="N4" s="700"/>
      <c r="O4" s="700"/>
      <c r="P4" s="700"/>
      <c r="Q4" s="700"/>
      <c r="R4" s="700"/>
      <c r="S4" s="700"/>
      <c r="T4" s="700"/>
      <c r="U4" s="700"/>
      <c r="V4" s="700"/>
      <c r="W4" s="700"/>
      <c r="X4" s="700"/>
      <c r="Y4" s="700"/>
      <c r="Z4" s="700"/>
      <c r="AA4" s="701"/>
    </row>
    <row r="5" spans="1:38" ht="30" customHeight="1" thickBot="1" x14ac:dyDescent="0.25">
      <c r="G5" s="702" t="s">
        <v>392</v>
      </c>
      <c r="H5" s="703"/>
      <c r="I5" s="703"/>
      <c r="J5" s="703"/>
      <c r="K5" s="703"/>
      <c r="L5" s="703"/>
      <c r="M5" s="703"/>
      <c r="N5" s="703"/>
      <c r="O5" s="703"/>
      <c r="P5" s="703"/>
      <c r="Q5" s="703"/>
      <c r="R5" s="703"/>
      <c r="S5" s="703"/>
      <c r="T5" s="703"/>
      <c r="U5" s="703"/>
      <c r="V5" s="703"/>
      <c r="W5" s="703"/>
      <c r="X5" s="703"/>
      <c r="Y5" s="703"/>
      <c r="Z5" s="703"/>
      <c r="AA5" s="704"/>
      <c r="AJ5" s="413"/>
      <c r="AK5" s="413"/>
      <c r="AL5" s="413"/>
    </row>
    <row r="6" spans="1:38" ht="9" customHeight="1" thickTop="1" thickBot="1" x14ac:dyDescent="0.25">
      <c r="B6" s="305"/>
      <c r="C6" s="305"/>
      <c r="D6" s="305"/>
      <c r="E6" s="305"/>
      <c r="F6" s="305"/>
      <c r="G6" s="305"/>
      <c r="H6" s="305"/>
      <c r="I6" s="305"/>
      <c r="J6" s="305"/>
      <c r="K6" s="305"/>
      <c r="AJ6" s="413"/>
      <c r="AK6" s="413"/>
      <c r="AL6" s="413"/>
    </row>
    <row r="7" spans="1:38" ht="30" customHeight="1" thickTop="1" x14ac:dyDescent="0.2">
      <c r="B7" s="305"/>
      <c r="C7" s="305"/>
      <c r="D7" s="305"/>
      <c r="E7" s="305"/>
      <c r="F7" s="305"/>
      <c r="G7" s="305"/>
      <c r="H7" s="305"/>
      <c r="I7" s="305"/>
      <c r="J7" s="305"/>
      <c r="L7" s="681" t="str">
        <f>Language!$E$18</f>
        <v>Preliminary round</v>
      </c>
      <c r="M7" s="682"/>
      <c r="N7" s="682"/>
      <c r="O7" s="682"/>
      <c r="P7" s="682"/>
      <c r="Q7" s="682"/>
      <c r="R7" s="682"/>
      <c r="S7" s="682"/>
      <c r="T7" s="682"/>
      <c r="U7" s="682"/>
      <c r="V7" s="683"/>
      <c r="AG7" s="559" t="str">
        <f>Language!$E$49&amp;"      --&gt;"</f>
        <v>bonus      --&gt;</v>
      </c>
      <c r="AJ7" s="707" t="str">
        <f>Language!$E$72</f>
        <v>If two or more teams cannot be distinguished and a decision is made, for example, through a penalty shootout or drawing lots, it is sufficient to enter a bonus point for the preferred team.</v>
      </c>
      <c r="AK7" s="707"/>
      <c r="AL7" s="707"/>
    </row>
    <row r="8" spans="1:38" ht="30" customHeight="1" thickBot="1" x14ac:dyDescent="0.25">
      <c r="B8" s="305"/>
      <c r="C8" s="305"/>
      <c r="D8" s="305"/>
      <c r="E8" s="305"/>
      <c r="F8" s="305"/>
      <c r="G8" s="305"/>
      <c r="H8" s="305"/>
      <c r="I8" s="305"/>
      <c r="J8" s="305"/>
      <c r="L8" s="684"/>
      <c r="M8" s="685"/>
      <c r="N8" s="685"/>
      <c r="O8" s="685"/>
      <c r="P8" s="685"/>
      <c r="Q8" s="685"/>
      <c r="R8" s="685"/>
      <c r="S8" s="685"/>
      <c r="T8" s="685"/>
      <c r="U8" s="685"/>
      <c r="V8" s="686"/>
      <c r="AJ8" s="707"/>
      <c r="AK8" s="707"/>
      <c r="AL8" s="707"/>
    </row>
    <row r="9" spans="1:38" ht="13.5" customHeight="1" thickTop="1" thickBot="1" x14ac:dyDescent="0.35">
      <c r="C9" s="45"/>
      <c r="D9" s="45"/>
      <c r="E9" s="45"/>
      <c r="F9" s="303"/>
      <c r="G9" s="303"/>
      <c r="H9" s="303"/>
      <c r="I9" s="303"/>
      <c r="J9" s="303"/>
      <c r="K9" s="303"/>
      <c r="X9" s="289"/>
      <c r="Y9" s="289"/>
      <c r="Z9" s="289"/>
      <c r="AA9" s="289"/>
      <c r="AB9" s="289"/>
      <c r="AC9" s="289"/>
      <c r="AD9" s="289"/>
      <c r="AE9" s="289"/>
      <c r="AF9" s="289"/>
    </row>
    <row r="10" spans="1:38" ht="24" customHeight="1" thickBot="1" x14ac:dyDescent="0.45">
      <c r="A10" s="297"/>
      <c r="B10" s="301" t="str">
        <f>Language!$E$11</f>
        <v>Results</v>
      </c>
      <c r="C10" s="298"/>
      <c r="D10" s="298"/>
      <c r="E10" s="298"/>
      <c r="F10" s="302"/>
      <c r="G10" s="302"/>
      <c r="H10" s="302"/>
      <c r="I10" s="302"/>
      <c r="J10" s="302"/>
      <c r="K10" s="302"/>
      <c r="M10" s="692" t="str">
        <f>Language!$E$16&amp;" A"</f>
        <v>Group A</v>
      </c>
      <c r="N10" s="692"/>
      <c r="O10" s="197"/>
      <c r="P10" s="197"/>
      <c r="Q10" s="197"/>
      <c r="R10" s="197"/>
      <c r="S10" s="197"/>
      <c r="T10" s="197"/>
      <c r="U10" s="197"/>
      <c r="V10" s="197"/>
      <c r="W10" s="197"/>
      <c r="X10" s="286" t="str">
        <f ca="1">IF(LEN(N12)&gt;Settings!$C$17,LEFT(N12,Settings!$C$17)&amp;".",N12)</f>
        <v>FC Barc.</v>
      </c>
      <c r="Y10" s="287" t="str">
        <f ca="1">IF(LEN(N13)&gt;Settings!$C$17,LEFT(N13,Settings!$C$17)&amp;".",N13)</f>
        <v>Eintrac.</v>
      </c>
      <c r="Z10" s="287" t="str">
        <f ca="1">IF(LEN(N14)&gt;Settings!$C$17,LEFT(N14,Settings!$C$17)&amp;".",N14)</f>
        <v>Raslo W.</v>
      </c>
      <c r="AA10" s="287" t="str">
        <f ca="1">IF(LEN(N15)&gt;Settings!$C$17,LEFT(N15,Settings!$C$17)&amp;".",N15)</f>
        <v>Fun Kic.</v>
      </c>
      <c r="AB10" s="287" t="str">
        <f ca="1">IF(LEN(N16)&gt;Settings!$C$17,LEFT(N16,Settings!$C$17)&amp;".",N16)</f>
        <v>Knock O.</v>
      </c>
      <c r="AC10" s="545" t="str">
        <f ca="1">IF(LEN(N17)&gt;Settings!$C$17,LEFT(N17,Settings!$C$17)&amp;".",N17)</f>
        <v>Maibach.</v>
      </c>
      <c r="AD10" s="545" t="str">
        <f ca="1">IF(LEN(N18)&gt;Settings!$C$17,LEFT(N18,Settings!$C$17)&amp;".",N18)</f>
        <v>VFB Ess.</v>
      </c>
      <c r="AE10" s="545" t="str">
        <f ca="1">IF(LEN(N19)&gt;Settings!$C$17,LEFT(N19,Settings!$C$17)&amp;".",N19)</f>
        <v>1. FC R.</v>
      </c>
      <c r="AF10" s="288" t="str">
        <f ca="1">IF(LEN(N20)&gt;Settings!$C$17,LEFT(N20,Settings!$C$17)&amp;".",N20)</f>
        <v/>
      </c>
      <c r="AG10" s="198"/>
      <c r="AJ10" s="692" t="str">
        <f>Language!$E$16&amp;" A"</f>
        <v>Group A</v>
      </c>
      <c r="AK10" s="692"/>
    </row>
    <row r="11" spans="1:38" ht="24" customHeight="1" thickTop="1" thickBot="1" x14ac:dyDescent="0.25">
      <c r="B11" s="386" t="str">
        <f>Language!$E$9</f>
        <v>No.</v>
      </c>
      <c r="C11" s="333" t="str">
        <f>Language!$E$39</f>
        <v>Start</v>
      </c>
      <c r="D11" s="333" t="str">
        <f>Language!$E$48</f>
        <v>Field</v>
      </c>
      <c r="E11" s="333" t="str">
        <f>Language!$E$17</f>
        <v>Grp</v>
      </c>
      <c r="F11" s="679" t="str">
        <f>Language!$E$14</f>
        <v>Match pairing</v>
      </c>
      <c r="G11" s="679"/>
      <c r="H11" s="679"/>
      <c r="I11" s="679" t="str">
        <f>Language!$E$15</f>
        <v>Result</v>
      </c>
      <c r="J11" s="679"/>
      <c r="K11" s="680"/>
      <c r="M11" s="690"/>
      <c r="N11" s="691"/>
      <c r="O11" s="199" t="str">
        <f>Language!$E$21</f>
        <v>Pld</v>
      </c>
      <c r="P11" s="200" t="str">
        <f>Language!$E$22</f>
        <v>W</v>
      </c>
      <c r="Q11" s="200" t="str">
        <f>Language!$E$23</f>
        <v>D</v>
      </c>
      <c r="R11" s="201" t="str">
        <f>Language!$E$24</f>
        <v>L</v>
      </c>
      <c r="S11" s="687" t="str">
        <f>Language!$E$25</f>
        <v>Goals</v>
      </c>
      <c r="T11" s="688"/>
      <c r="U11" s="689"/>
      <c r="V11" s="200" t="str">
        <f>Language!$E$26</f>
        <v>GD</v>
      </c>
      <c r="W11" s="202" t="str">
        <f>Language!$E$27</f>
        <v>Pts</v>
      </c>
      <c r="X11" s="203" t="str">
        <f ca="1">N12</f>
        <v>FC Barcelona</v>
      </c>
      <c r="Y11" s="204" t="str">
        <f ca="1">N13</f>
        <v>Eintracht Frankfurt</v>
      </c>
      <c r="Z11" s="204" t="str">
        <f ca="1">N14</f>
        <v>Raslo Winners</v>
      </c>
      <c r="AA11" s="204" t="str">
        <f ca="1">N15</f>
        <v>Fun Kickers Oes</v>
      </c>
      <c r="AB11" s="204" t="str">
        <f ca="1">N16</f>
        <v>Knock Out Rangers</v>
      </c>
      <c r="AC11" s="546" t="str">
        <f ca="1">N17</f>
        <v>Maibach 1822 eV</v>
      </c>
      <c r="AD11" s="546" t="str">
        <f ca="1">N18</f>
        <v>VFB Essenheim</v>
      </c>
      <c r="AE11" s="546" t="str">
        <f ca="1">N19</f>
        <v>1. FC Riedwald</v>
      </c>
      <c r="AF11" s="514" t="str">
        <f ca="1">N20</f>
        <v/>
      </c>
      <c r="AG11" s="198"/>
      <c r="AJ11" s="410" t="str">
        <f>Language!$E$9</f>
        <v>No.</v>
      </c>
      <c r="AK11" s="411" t="str">
        <f>Language!$E$10</f>
        <v>Participant or team</v>
      </c>
      <c r="AL11" s="412" t="str">
        <f>Language!$E$49</f>
        <v>bonus</v>
      </c>
    </row>
    <row r="12" spans="1:38" ht="24" customHeight="1" x14ac:dyDescent="0.2">
      <c r="B12" s="431">
        <f>Planning!$E6</f>
        <v>1</v>
      </c>
      <c r="C12" s="582">
        <f>Planning!$F6</f>
        <v>0.375</v>
      </c>
      <c r="D12" s="583" t="str">
        <f>Planning!$G6</f>
        <v>1</v>
      </c>
      <c r="E12" s="583" t="str">
        <f ca="1">Planning!$H6</f>
        <v>A</v>
      </c>
      <c r="F12" s="437" t="str">
        <f ca="1">Planning!$L6</f>
        <v>1. FC Riedwald</v>
      </c>
      <c r="G12" s="424" t="s">
        <v>5</v>
      </c>
      <c r="H12" s="440" t="str">
        <f ca="1">Planning!$N6</f>
        <v>Knock Out Rangers</v>
      </c>
      <c r="I12" s="434">
        <v>2</v>
      </c>
      <c r="J12" s="425" t="str">
        <f>Language!$E$80</f>
        <v>-</v>
      </c>
      <c r="K12" s="426">
        <v>6</v>
      </c>
      <c r="M12" s="371">
        <f ca="1">IF(Calc1!$K$13=0,"",1)</f>
        <v>1</v>
      </c>
      <c r="N12" s="372" t="str">
        <f ca="1">IF(Calc1!$F$14&lt;3,"",IF(Calc1!$K$13=0,Calc1!$Q64,VLOOKUP(Calc1!B4,Calc1!$C$4:$N$12,4,0)))</f>
        <v>FC Barcelona</v>
      </c>
      <c r="O12" s="205">
        <f ca="1">IF(Calc1!$K$13=0,"",VLOOKUP(Calc1!B4,Calc1!$C$4:$N$12,9,0))</f>
        <v>2</v>
      </c>
      <c r="P12" s="206">
        <f ca="1">IF(Calc1!$K$13=0,"",VLOOKUP(Calc1!B4,Calc1!$C$4:$N$12,10,0))</f>
        <v>2</v>
      </c>
      <c r="Q12" s="206">
        <f ca="1">IF(Calc1!$K$13=0,"",VLOOKUP(Calc1!B4,Calc1!$C$4:$N$12,11,0))</f>
        <v>0</v>
      </c>
      <c r="R12" s="207">
        <f ca="1">IF(Calc1!$K$13=0,"",VLOOKUP(Calc1!B4,Calc1!$C$4:$N$12,12,0))</f>
        <v>0</v>
      </c>
      <c r="S12" s="208">
        <f ca="1">IF(Calc1!$K$13=0,"",VLOOKUP(Calc1!B4,Calc1!$C$4:$N$12,5,0))</f>
        <v>10</v>
      </c>
      <c r="T12" s="209" t="str">
        <f>Language!$E$80</f>
        <v>-</v>
      </c>
      <c r="U12" s="210">
        <f ca="1">IF(Calc1!$K$13=0,"",VLOOKUP(Calc1!B4,Calc1!$C$4:$N$12,6,0))</f>
        <v>1</v>
      </c>
      <c r="V12" s="205">
        <f ca="1">IF(Calc1!$K$13=0,"",VLOOKUP(Calc1!B4,Calc1!$C$4:$N$12,7,0))</f>
        <v>9</v>
      </c>
      <c r="W12" s="211">
        <f ca="1">IF(Calc1!$K$13=0,"",VLOOKUP(Calc1!B4,Calc1!$C$4:$N$12,8,0))</f>
        <v>6</v>
      </c>
      <c r="X12" s="212"/>
      <c r="Y12" s="206" t="str">
        <f ca="1">IFERROR(VLOOKUP($N12&amp;Y$11,Calc1!$Z$64:$AB$207,3,0),"")</f>
        <v/>
      </c>
      <c r="Z12" s="206" t="str">
        <f ca="1">IFERROR(VLOOKUP($N12&amp;Z$11,Calc1!$Z$64:$AB$207,3,0),"")</f>
        <v>4-1</v>
      </c>
      <c r="AA12" s="206" t="str">
        <f ca="1">IFERROR(VLOOKUP($N12&amp;AA$11,Calc1!$Z$64:$AB$207,3,0),"")</f>
        <v/>
      </c>
      <c r="AB12" s="206" t="str">
        <f ca="1">IFERROR(VLOOKUP($N12&amp;AB$11,Calc1!$Z$64:$AB$207,3,0),"")</f>
        <v/>
      </c>
      <c r="AC12" s="207" t="str">
        <f ca="1">IFERROR(VLOOKUP($N12&amp;AC$11,Calc1!$Z$64:$AB$207,3,0),"")</f>
        <v/>
      </c>
      <c r="AD12" s="207" t="str">
        <f ca="1">IFERROR(VLOOKUP($N12&amp;AD$11,Calc1!$Z$64:$AB$207,3,0),"")</f>
        <v>6-0</v>
      </c>
      <c r="AE12" s="207" t="str">
        <f ca="1">IFERROR(VLOOKUP($N12&amp;AE$11,Calc1!$Z$64:$AB$207,3,0),"")</f>
        <v/>
      </c>
      <c r="AF12" s="213" t="str">
        <f ca="1">IFERROR(VLOOKUP($N12&amp;AF$11,Calc1!$Z$64:$AB$207,3,0),"")</f>
        <v/>
      </c>
      <c r="AG12" s="214" t="str">
        <f t="shared" ref="AG12:AG16" ca="1" si="0">N12</f>
        <v>FC Barcelona</v>
      </c>
      <c r="AJ12" s="408" t="s">
        <v>208</v>
      </c>
      <c r="AK12" s="409" t="str">
        <f>IF(Planning!$C7="","",Planning!$C7)</f>
        <v>1. FC Riedwald</v>
      </c>
      <c r="AL12" s="414"/>
    </row>
    <row r="13" spans="1:38" ht="24" customHeight="1" x14ac:dyDescent="0.2">
      <c r="B13" s="432">
        <f ca="1">Planning!$E7</f>
        <v>2</v>
      </c>
      <c r="C13" s="584">
        <f ca="1">Planning!$F7</f>
        <v>0.375</v>
      </c>
      <c r="D13" s="585">
        <f ca="1">Planning!$G7</f>
        <v>2</v>
      </c>
      <c r="E13" s="585" t="str">
        <f ca="1">Planning!$H7</f>
        <v>B</v>
      </c>
      <c r="F13" s="438" t="str">
        <f ca="1">Planning!$L7</f>
        <v>Mainz 05</v>
      </c>
      <c r="G13" s="218" t="s">
        <v>5</v>
      </c>
      <c r="H13" s="441" t="str">
        <f ca="1">Planning!$N7</f>
        <v>Borussia Heine</v>
      </c>
      <c r="I13" s="435">
        <v>2</v>
      </c>
      <c r="J13" s="427" t="str">
        <f>Language!$E$80</f>
        <v>-</v>
      </c>
      <c r="K13" s="428">
        <v>4</v>
      </c>
      <c r="M13" s="373">
        <f ca="1">IF(Calc1!$K$13=0,"",IF(VLOOKUP(Calc1!B5,Calc1!$C$4:$E$12,3,0)=MAX(M$12:M12),VLOOKUP(Calc1!B5,Calc1!$C$4:$E$12,3,0),Calc1!B5))</f>
        <v>2</v>
      </c>
      <c r="N13" s="374" t="str">
        <f ca="1">IF(Calc1!$F$14&lt;3,"",IF(Calc1!$K$13=0,Calc1!$Q65,VLOOKUP(Calc1!B5,Calc1!$C$4:$N$12,4,0)))</f>
        <v>Eintracht Frankfurt</v>
      </c>
      <c r="O13" s="215">
        <f ca="1">IF(Calc1!$K$13=0,"",VLOOKUP(Calc1!B5,Calc1!$C$4:$N$12,9,0))</f>
        <v>2</v>
      </c>
      <c r="P13" s="196">
        <f ca="1">IF(Calc1!$K$13=0,"",VLOOKUP(Calc1!B5,Calc1!$C$4:$N$12,10,0))</f>
        <v>2</v>
      </c>
      <c r="Q13" s="196">
        <f ca="1">IF(Calc1!$K$13=0,"",VLOOKUP(Calc1!B5,Calc1!$C$4:$N$12,11,0))</f>
        <v>0</v>
      </c>
      <c r="R13" s="216">
        <f ca="1">IF(Calc1!$K$13=0,"",VLOOKUP(Calc1!B5,Calc1!$C$4:$N$12,12,0))</f>
        <v>0</v>
      </c>
      <c r="S13" s="217">
        <f ca="1">IF(Calc1!$K$13=0,"",VLOOKUP(Calc1!B5,Calc1!$C$4:$N$12,5,0))</f>
        <v>7</v>
      </c>
      <c r="T13" s="218" t="str">
        <f>Language!$E$80</f>
        <v>-</v>
      </c>
      <c r="U13" s="219">
        <f ca="1">IF(Calc1!$K$13=0,"",VLOOKUP(Calc1!B5,Calc1!$C$4:$N$12,6,0))</f>
        <v>3</v>
      </c>
      <c r="V13" s="215">
        <f ca="1">IF(Calc1!$K$13=0,"",VLOOKUP(Calc1!B5,Calc1!$C$4:$N$12,7,0))</f>
        <v>4</v>
      </c>
      <c r="W13" s="220">
        <f ca="1">IF(Calc1!$K$13=0,"",VLOOKUP(Calc1!B5,Calc1!$C$4:$N$12,8,0))</f>
        <v>6</v>
      </c>
      <c r="X13" s="221" t="str">
        <f ca="1">IFERROR(VLOOKUP($N13&amp;X$11,Calc1!$Z$64:$AB$207,3,0),"")</f>
        <v/>
      </c>
      <c r="Y13" s="222"/>
      <c r="Z13" s="196" t="str">
        <f ca="1">IFERROR(VLOOKUP($N13&amp;Z$11,Calc1!$Z$64:$AB$207,3,0),"")</f>
        <v/>
      </c>
      <c r="AA13" s="196" t="str">
        <f ca="1">IFERROR(VLOOKUP($N13&amp;AA$11,Calc1!$Z$64:$AB$207,3,0),"")</f>
        <v>4-2</v>
      </c>
      <c r="AB13" s="196" t="str">
        <f ca="1">IFERROR(VLOOKUP($N13&amp;AB$11,Calc1!$Z$64:$AB$207,3,0),"")</f>
        <v/>
      </c>
      <c r="AC13" s="216" t="str">
        <f ca="1">IFERROR(VLOOKUP($N13&amp;AC$11,Calc1!$Z$64:$AB$207,3,0),"")</f>
        <v>3-1</v>
      </c>
      <c r="AD13" s="216" t="str">
        <f ca="1">IFERROR(VLOOKUP($N13&amp;AD$11,Calc1!$Z$64:$AB$207,3,0),"")</f>
        <v/>
      </c>
      <c r="AE13" s="216" t="str">
        <f ca="1">IFERROR(VLOOKUP($N13&amp;AE$11,Calc1!$Z$64:$AB$207,3,0),"")</f>
        <v/>
      </c>
      <c r="AF13" s="223" t="str">
        <f ca="1">IFERROR(VLOOKUP($N13&amp;AF$11,Calc1!$Z$64:$AB$207,3,0),"")</f>
        <v/>
      </c>
      <c r="AG13" s="224" t="str">
        <f t="shared" ca="1" si="0"/>
        <v>Eintracht Frankfurt</v>
      </c>
      <c r="AJ13" s="404" t="s">
        <v>210</v>
      </c>
      <c r="AK13" s="406" t="str">
        <f>IF(Planning!$C9="","",Planning!$C9)</f>
        <v>FC Barcelona</v>
      </c>
      <c r="AL13" s="415"/>
    </row>
    <row r="14" spans="1:38" ht="24" customHeight="1" x14ac:dyDescent="0.2">
      <c r="B14" s="432">
        <f ca="1">Planning!$E8</f>
        <v>3</v>
      </c>
      <c r="C14" s="584">
        <f ca="1">Planning!$F8</f>
        <v>0.375</v>
      </c>
      <c r="D14" s="585">
        <f ca="1">Planning!$G8</f>
        <v>3</v>
      </c>
      <c r="E14" s="585" t="str">
        <f ca="1">Planning!$H8</f>
        <v>A</v>
      </c>
      <c r="F14" s="438" t="str">
        <f ca="1">Planning!$L8</f>
        <v>Raslo Winners</v>
      </c>
      <c r="G14" s="218" t="s">
        <v>5</v>
      </c>
      <c r="H14" s="441" t="str">
        <f ca="1">Planning!$N8</f>
        <v>FC Barcelona</v>
      </c>
      <c r="I14" s="435">
        <v>1</v>
      </c>
      <c r="J14" s="427" t="str">
        <f>Language!$E$80</f>
        <v>-</v>
      </c>
      <c r="K14" s="428">
        <v>4</v>
      </c>
      <c r="M14" s="373">
        <f ca="1">IF(Calc1!$K$13=0,"",IF(VLOOKUP(Calc1!B6,Calc1!$C$4:$E$12,3,0)=MAX(M$12:M13),VLOOKUP(Calc1!B6,Calc1!$C$4:$E$12,3,0),Calc1!B6))</f>
        <v>3</v>
      </c>
      <c r="N14" s="374" t="str">
        <f ca="1">IF(Calc1!$F$14&lt;3,"",IF(Calc1!$K$13=0,Calc1!$Q66,VLOOKUP(Calc1!B6,Calc1!$C$4:$N$12,4,0)))</f>
        <v>Raslo Winners</v>
      </c>
      <c r="O14" s="215">
        <f ca="1">IF(Calc1!$K$13=0,"",VLOOKUP(Calc1!B6,Calc1!$C$4:$N$12,9,0))</f>
        <v>3</v>
      </c>
      <c r="P14" s="196">
        <f ca="1">IF(Calc1!$K$13=0,"",VLOOKUP(Calc1!B6,Calc1!$C$4:$N$12,10,0))</f>
        <v>2</v>
      </c>
      <c r="Q14" s="196">
        <f ca="1">IF(Calc1!$K$13=0,"",VLOOKUP(Calc1!B6,Calc1!$C$4:$N$12,11,0))</f>
        <v>0</v>
      </c>
      <c r="R14" s="216">
        <f ca="1">IF(Calc1!$K$13=0,"",VLOOKUP(Calc1!B6,Calc1!$C$4:$N$12,12,0))</f>
        <v>1</v>
      </c>
      <c r="S14" s="217">
        <f ca="1">IF(Calc1!$K$13=0,"",VLOOKUP(Calc1!B6,Calc1!$C$4:$N$12,5,0))</f>
        <v>6</v>
      </c>
      <c r="T14" s="218" t="str">
        <f>Language!$E$80</f>
        <v>-</v>
      </c>
      <c r="U14" s="219">
        <f ca="1">IF(Calc1!$K$13=0,"",VLOOKUP(Calc1!B6,Calc1!$C$4:$N$12,6,0))</f>
        <v>4</v>
      </c>
      <c r="V14" s="215">
        <f ca="1">IF(Calc1!$K$13=0,"",VLOOKUP(Calc1!B6,Calc1!$C$4:$N$12,7,0))</f>
        <v>2</v>
      </c>
      <c r="W14" s="220">
        <f ca="1">IF(Calc1!$K$13=0,"",VLOOKUP(Calc1!B6,Calc1!$C$4:$N$12,8,0))</f>
        <v>6</v>
      </c>
      <c r="X14" s="221" t="str">
        <f ca="1">IFERROR(VLOOKUP($N14&amp;X$11,Calc1!$Z$64:$AB$207,3,0),"")</f>
        <v>1-4</v>
      </c>
      <c r="Y14" s="401" t="str">
        <f ca="1">IFERROR(VLOOKUP($N14&amp;Y$11,Calc1!$Z$64:$AB$207,3,0),"")</f>
        <v/>
      </c>
      <c r="Z14" s="222"/>
      <c r="AA14" s="196" t="str">
        <f ca="1">IFERROR(VLOOKUP($N14&amp;AA$11,Calc1!$Z$64:$AB$207,3,0),"")</f>
        <v/>
      </c>
      <c r="AB14" s="196" t="str">
        <f ca="1">IFERROR(VLOOKUP($N14&amp;AB$11,Calc1!$Z$64:$AB$207,3,0),"")</f>
        <v/>
      </c>
      <c r="AC14" s="216" t="str">
        <f ca="1">IFERROR(VLOOKUP($N14&amp;AC$11,Calc1!$Z$64:$AB$207,3,0),"")</f>
        <v/>
      </c>
      <c r="AD14" s="216" t="str">
        <f ca="1">IFERROR(VLOOKUP($N14&amp;AD$11,Calc1!$Z$64:$AB$207,3,0),"")</f>
        <v>3-0</v>
      </c>
      <c r="AE14" s="216" t="str">
        <f ca="1">IFERROR(VLOOKUP($N14&amp;AE$11,Calc1!$Z$64:$AB$207,3,0),"")</f>
        <v>2-0</v>
      </c>
      <c r="AF14" s="223" t="str">
        <f ca="1">IFERROR(VLOOKUP($N14&amp;AF$11,Calc1!$Z$64:$AB$207,3,0),"")</f>
        <v/>
      </c>
      <c r="AG14" s="224" t="str">
        <f t="shared" ca="1" si="0"/>
        <v>Raslo Winners</v>
      </c>
      <c r="AJ14" s="404" t="s">
        <v>206</v>
      </c>
      <c r="AK14" s="406" t="str">
        <f>IF(Planning!$C11="","",Planning!$C11)</f>
        <v>Eintracht Frankfurt</v>
      </c>
      <c r="AL14" s="415"/>
    </row>
    <row r="15" spans="1:38" ht="24" customHeight="1" x14ac:dyDescent="0.2">
      <c r="B15" s="432">
        <f ca="1">Planning!$E9</f>
        <v>4</v>
      </c>
      <c r="C15" s="584">
        <f ca="1">Planning!$F9</f>
        <v>0.375</v>
      </c>
      <c r="D15" s="585">
        <f ca="1">Planning!$G9</f>
        <v>4</v>
      </c>
      <c r="E15" s="585" t="str">
        <f ca="1">Planning!$H9</f>
        <v>B</v>
      </c>
      <c r="F15" s="438" t="str">
        <f ca="1">Planning!$L9</f>
        <v>VFL Ronsdorf</v>
      </c>
      <c r="G15" s="218" t="s">
        <v>5</v>
      </c>
      <c r="H15" s="441" t="str">
        <f ca="1">Planning!$N9</f>
        <v>Inter Mailand</v>
      </c>
      <c r="I15" s="435">
        <v>2</v>
      </c>
      <c r="J15" s="427" t="str">
        <f>Language!$E$80</f>
        <v>-</v>
      </c>
      <c r="K15" s="428">
        <v>5</v>
      </c>
      <c r="M15" s="373">
        <f ca="1">IF(Calc1!$K$13=0,"",IF(VLOOKUP(Calc1!B7,Calc1!$C$4:$E$12,3,0)=MAX(M$12:M14),VLOOKUP(Calc1!B7,Calc1!$C$4:$E$12,3,0),Calc1!B7))</f>
        <v>4</v>
      </c>
      <c r="N15" s="374" t="str">
        <f ca="1">IF(Calc1!$F$14&lt;3,"",IF(Calc1!$K$13=0,Calc1!$Q67,VLOOKUP(Calc1!B7,Calc1!$C$4:$N$12,4,0)))</f>
        <v>Fun Kickers Oes</v>
      </c>
      <c r="O15" s="215">
        <f ca="1">IF(Calc1!$K$13=0,"",VLOOKUP(Calc1!B7,Calc1!$C$4:$N$12,9,0))</f>
        <v>3</v>
      </c>
      <c r="P15" s="196">
        <f ca="1">IF(Calc1!$K$13=0,"",VLOOKUP(Calc1!B7,Calc1!$C$4:$N$12,10,0))</f>
        <v>2</v>
      </c>
      <c r="Q15" s="196">
        <f ca="1">IF(Calc1!$K$13=0,"",VLOOKUP(Calc1!B7,Calc1!$C$4:$N$12,11,0))</f>
        <v>0</v>
      </c>
      <c r="R15" s="216">
        <f ca="1">IF(Calc1!$K$13=0,"",VLOOKUP(Calc1!B7,Calc1!$C$4:$N$12,12,0))</f>
        <v>1</v>
      </c>
      <c r="S15" s="217">
        <f ca="1">IF(Calc1!$K$13=0,"",VLOOKUP(Calc1!B7,Calc1!$C$4:$N$12,5,0))</f>
        <v>9</v>
      </c>
      <c r="T15" s="218" t="str">
        <f>Language!$E$80</f>
        <v>-</v>
      </c>
      <c r="U15" s="219">
        <f ca="1">IF(Calc1!$K$13=0,"",VLOOKUP(Calc1!B7,Calc1!$C$4:$N$12,6,0))</f>
        <v>8</v>
      </c>
      <c r="V15" s="215">
        <f ca="1">IF(Calc1!$K$13=0,"",VLOOKUP(Calc1!B7,Calc1!$C$4:$N$12,7,0))</f>
        <v>1</v>
      </c>
      <c r="W15" s="220">
        <f ca="1">IF(Calc1!$K$13=0,"",VLOOKUP(Calc1!B7,Calc1!$C$4:$N$12,8,0))</f>
        <v>6</v>
      </c>
      <c r="X15" s="221" t="str">
        <f ca="1">IFERROR(VLOOKUP($N15&amp;X$11,Calc1!$Z$64:$AB$207,3,0),"")</f>
        <v/>
      </c>
      <c r="Y15" s="401" t="str">
        <f ca="1">IFERROR(VLOOKUP($N15&amp;Y$11,Calc1!$Z$64:$AB$207,3,0),"")</f>
        <v>2-4</v>
      </c>
      <c r="Z15" s="196" t="str">
        <f ca="1">IFERROR(VLOOKUP($N15&amp;Z$11,Calc1!$Z$64:$AB$207,3,0),"")</f>
        <v/>
      </c>
      <c r="AA15" s="222"/>
      <c r="AB15" s="196" t="str">
        <f ca="1">IFERROR(VLOOKUP($N15&amp;AB$11,Calc1!$Z$64:$AB$207,3,0),"")</f>
        <v>3-2</v>
      </c>
      <c r="AC15" s="216" t="str">
        <f ca="1">IFERROR(VLOOKUP($N15&amp;AC$11,Calc1!$Z$64:$AB$207,3,0),"")</f>
        <v/>
      </c>
      <c r="AD15" s="216" t="str">
        <f ca="1">IFERROR(VLOOKUP($N15&amp;AD$11,Calc1!$Z$64:$AB$207,3,0),"")</f>
        <v/>
      </c>
      <c r="AE15" s="216" t="str">
        <f ca="1">IFERROR(VLOOKUP($N15&amp;AE$11,Calc1!$Z$64:$AB$207,3,0),"")</f>
        <v>4-2</v>
      </c>
      <c r="AF15" s="223" t="str">
        <f ca="1">IFERROR(VLOOKUP($N15&amp;AF$11,Calc1!$Z$64:$AB$207,3,0),"")</f>
        <v/>
      </c>
      <c r="AG15" s="224" t="str">
        <f t="shared" ca="1" si="0"/>
        <v>Fun Kickers Oes</v>
      </c>
      <c r="AJ15" s="404" t="s">
        <v>212</v>
      </c>
      <c r="AK15" s="406" t="str">
        <f>IF(Planning!$C13="","",Planning!$C13)</f>
        <v>Maibach 1822 eV</v>
      </c>
      <c r="AL15" s="415"/>
    </row>
    <row r="16" spans="1:38" ht="24" customHeight="1" x14ac:dyDescent="0.2">
      <c r="B16" s="432">
        <f ca="1">Planning!$E10</f>
        <v>5</v>
      </c>
      <c r="C16" s="584">
        <f ca="1">Planning!$F10</f>
        <v>0.39930555555555558</v>
      </c>
      <c r="D16" s="585">
        <f ca="1">Planning!$G10</f>
        <v>1</v>
      </c>
      <c r="E16" s="585" t="str">
        <f ca="1">Planning!$H10</f>
        <v>A</v>
      </c>
      <c r="F16" s="438" t="str">
        <f ca="1">Planning!$L10</f>
        <v>Eintracht Frankfurt</v>
      </c>
      <c r="G16" s="218" t="s">
        <v>5</v>
      </c>
      <c r="H16" s="441" t="str">
        <f ca="1">Planning!$N10</f>
        <v>Fun Kickers Oes</v>
      </c>
      <c r="I16" s="435">
        <v>4</v>
      </c>
      <c r="J16" s="427" t="str">
        <f>Language!$E$80</f>
        <v>-</v>
      </c>
      <c r="K16" s="428">
        <v>2</v>
      </c>
      <c r="M16" s="373">
        <f ca="1">IF(Calc1!$K$13=0,"",IF(VLOOKUP(Calc1!B8,Calc1!$C$4:$E$12,3,0)=MAX(M$12:M15),VLOOKUP(Calc1!B8,Calc1!$C$4:$E$12,3,0),Calc1!B8))</f>
        <v>5</v>
      </c>
      <c r="N16" s="374" t="str">
        <f ca="1">IF(Calc1!$F$14&lt;3,"",IF(Calc1!$K$13=0,Calc1!$Q68,VLOOKUP(Calc1!B8,Calc1!$C$4:$N$12,4,0)))</f>
        <v>Knock Out Rangers</v>
      </c>
      <c r="O16" s="215">
        <f ca="1">IF(Calc1!$K$13=0,"",VLOOKUP(Calc1!B8,Calc1!$C$4:$N$12,9,0))</f>
        <v>3</v>
      </c>
      <c r="P16" s="196">
        <f ca="1">IF(Calc1!$K$13=0,"",VLOOKUP(Calc1!B8,Calc1!$C$4:$N$12,10,0))</f>
        <v>1</v>
      </c>
      <c r="Q16" s="196">
        <f ca="1">IF(Calc1!$K$13=0,"",VLOOKUP(Calc1!B8,Calc1!$C$4:$N$12,11,0))</f>
        <v>1</v>
      </c>
      <c r="R16" s="216">
        <f ca="1">IF(Calc1!$K$13=0,"",VLOOKUP(Calc1!B8,Calc1!$C$4:$N$12,12,0))</f>
        <v>1</v>
      </c>
      <c r="S16" s="217">
        <f ca="1">IF(Calc1!$K$13=0,"",VLOOKUP(Calc1!B8,Calc1!$C$4:$N$12,5,0))</f>
        <v>9</v>
      </c>
      <c r="T16" s="218" t="str">
        <f>Language!$E$80</f>
        <v>-</v>
      </c>
      <c r="U16" s="219">
        <f ca="1">IF(Calc1!$K$13=0,"",VLOOKUP(Calc1!B8,Calc1!$C$4:$N$12,6,0))</f>
        <v>6</v>
      </c>
      <c r="V16" s="215">
        <f ca="1">IF(Calc1!$K$13=0,"",VLOOKUP(Calc1!B8,Calc1!$C$4:$N$12,7,0))</f>
        <v>3</v>
      </c>
      <c r="W16" s="220">
        <f ca="1">IF(Calc1!$K$13=0,"",VLOOKUP(Calc1!B8,Calc1!$C$4:$N$12,8,0))</f>
        <v>4</v>
      </c>
      <c r="X16" s="221" t="str">
        <f ca="1">IFERROR(VLOOKUP($N16&amp;X$11,Calc1!$Z$64:$AB$207,3,0),"")</f>
        <v/>
      </c>
      <c r="Y16" s="401" t="str">
        <f ca="1">IFERROR(VLOOKUP($N16&amp;Y$11,Calc1!$Z$64:$AB$207,3,0),"")</f>
        <v/>
      </c>
      <c r="Z16" s="196" t="str">
        <f ca="1">IFERROR(VLOOKUP($N16&amp;Z$11,Calc1!$Z$64:$AB$207,3,0),"")</f>
        <v/>
      </c>
      <c r="AA16" s="196" t="str">
        <f ca="1">IFERROR(VLOOKUP($N16&amp;AA$11,Calc1!$Z$64:$AB$207,3,0),"")</f>
        <v>2-3</v>
      </c>
      <c r="AB16" s="222"/>
      <c r="AC16" s="216" t="str">
        <f ca="1">IFERROR(VLOOKUP($N16&amp;AC$11,Calc1!$Z$64:$AB$207,3,0),"")</f>
        <v>1-1</v>
      </c>
      <c r="AD16" s="216" t="str">
        <f ca="1">IFERROR(VLOOKUP($N16&amp;AD$11,Calc1!$Z$64:$AB$207,3,0),"")</f>
        <v/>
      </c>
      <c r="AE16" s="216" t="str">
        <f ca="1">IFERROR(VLOOKUP($N16&amp;AE$11,Calc1!$Z$64:$AB$207,3,0),"")</f>
        <v>6-2</v>
      </c>
      <c r="AF16" s="223" t="str">
        <f ca="1">IFERROR(VLOOKUP($N16&amp;AF$11,Calc1!$Z$64:$AB$207,3,0),"")</f>
        <v/>
      </c>
      <c r="AG16" s="224" t="str">
        <f t="shared" ca="1" si="0"/>
        <v>Knock Out Rangers</v>
      </c>
      <c r="AJ16" s="404" t="s">
        <v>214</v>
      </c>
      <c r="AK16" s="406" t="str">
        <f>IF(Planning!$C15="","",Planning!$C15)</f>
        <v>VFB Essenheim</v>
      </c>
      <c r="AL16" s="415"/>
    </row>
    <row r="17" spans="2:38" ht="24" customHeight="1" x14ac:dyDescent="0.2">
      <c r="B17" s="432">
        <f ca="1">Planning!$E11</f>
        <v>6</v>
      </c>
      <c r="C17" s="584">
        <f ca="1">Planning!$F11</f>
        <v>0.39930555555555558</v>
      </c>
      <c r="D17" s="585">
        <f ca="1">Planning!$G11</f>
        <v>2</v>
      </c>
      <c r="E17" s="585" t="str">
        <f ca="1">Planning!$H11</f>
        <v>B</v>
      </c>
      <c r="F17" s="438" t="str">
        <f ca="1">Planning!$L11</f>
        <v>SSV Wildbach</v>
      </c>
      <c r="G17" s="218" t="s">
        <v>5</v>
      </c>
      <c r="H17" s="441" t="str">
        <f ca="1">Planning!$N11</f>
        <v>AC Roma</v>
      </c>
      <c r="I17" s="435">
        <v>0</v>
      </c>
      <c r="J17" s="427" t="str">
        <f>Language!$E$80</f>
        <v>-</v>
      </c>
      <c r="K17" s="428">
        <v>5</v>
      </c>
      <c r="M17" s="373">
        <f ca="1">IF(Calc1!$K$13=0,"",IF(VLOOKUP(Calc1!B9,Calc1!$C$4:$E$12,3,0)=MAX(M$12:M16),VLOOKUP(Calc1!B9,Calc1!$C$4:$E$12,3,0),Calc1!B9))</f>
        <v>6</v>
      </c>
      <c r="N17" s="374" t="str">
        <f ca="1">IF(Calc1!$F$14&lt;3,"",IF(Calc1!$K$13=0,Calc1!$Q69,VLOOKUP(Calc1!B9,Calc1!$C$4:$N$12,4,0)))</f>
        <v>Maibach 1822 eV</v>
      </c>
      <c r="O17" s="215">
        <f ca="1">IF(Calc1!$K$13=0,"",VLOOKUP(Calc1!B9,Calc1!$C$4:$N$12,9,0))</f>
        <v>3</v>
      </c>
      <c r="P17" s="196">
        <f ca="1">IF(Calc1!$K$13=0,"",VLOOKUP(Calc1!B9,Calc1!$C$4:$N$12,10,0))</f>
        <v>0</v>
      </c>
      <c r="Q17" s="196">
        <f ca="1">IF(Calc1!$K$13=0,"",VLOOKUP(Calc1!B9,Calc1!$C$4:$N$12,11,0))</f>
        <v>2</v>
      </c>
      <c r="R17" s="216">
        <f ca="1">IF(Calc1!$K$13=0,"",VLOOKUP(Calc1!B9,Calc1!$C$4:$N$12,12,0))</f>
        <v>1</v>
      </c>
      <c r="S17" s="217">
        <f ca="1">IF(Calc1!$K$13=0,"",VLOOKUP(Calc1!B9,Calc1!$C$4:$N$12,5,0))</f>
        <v>4</v>
      </c>
      <c r="T17" s="218" t="str">
        <f>Language!$E$80</f>
        <v>-</v>
      </c>
      <c r="U17" s="219">
        <f ca="1">IF(Calc1!$K$13=0,"",VLOOKUP(Calc1!B9,Calc1!$C$4:$N$12,6,0))</f>
        <v>6</v>
      </c>
      <c r="V17" s="215">
        <f ca="1">IF(Calc1!$K$13=0,"",VLOOKUP(Calc1!B9,Calc1!$C$4:$N$12,7,0))</f>
        <v>-2</v>
      </c>
      <c r="W17" s="220">
        <f ca="1">IF(Calc1!$K$13=0,"",VLOOKUP(Calc1!B9,Calc1!$C$4:$N$12,8,0))</f>
        <v>2</v>
      </c>
      <c r="X17" s="221" t="str">
        <f ca="1">IFERROR(VLOOKUP($N17&amp;X$11,Calc1!$Z$64:$AB$207,3,0),"")</f>
        <v/>
      </c>
      <c r="Y17" s="401" t="str">
        <f ca="1">IFERROR(VLOOKUP($N17&amp;Y$11,Calc1!$Z$64:$AB$207,3,0),"")</f>
        <v>1-3</v>
      </c>
      <c r="Z17" s="196" t="str">
        <f ca="1">IFERROR(VLOOKUP($N17&amp;Z$11,Calc1!$Z$64:$AB$207,3,0),"")</f>
        <v/>
      </c>
      <c r="AA17" s="196" t="str">
        <f ca="1">IFERROR(VLOOKUP($N17&amp;AA$11,Calc1!$Z$64:$AB$207,3,0),"")</f>
        <v/>
      </c>
      <c r="AB17" s="196" t="str">
        <f ca="1">IFERROR(VLOOKUP($N17&amp;AB$11,Calc1!$Z$64:$AB$207,3,0),"")</f>
        <v>1-1</v>
      </c>
      <c r="AC17" s="547"/>
      <c r="AD17" s="216" t="str">
        <f ca="1">IFERROR(VLOOKUP($N17&amp;AD$11,Calc1!$Z$64:$AB$207,3,0),"")</f>
        <v>2-2</v>
      </c>
      <c r="AE17" s="216" t="str">
        <f ca="1">IFERROR(VLOOKUP($N17&amp;AE$11,Calc1!$Z$64:$AB$207,3,0),"")</f>
        <v/>
      </c>
      <c r="AF17" s="223" t="str">
        <f ca="1">IFERROR(VLOOKUP($N17&amp;AF$11,Calc1!$Z$64:$AB$207,3,0),"")</f>
        <v/>
      </c>
      <c r="AG17" s="224" t="str">
        <f t="shared" ref="AG17:AG19" ca="1" si="1">N17</f>
        <v>Maibach 1822 eV</v>
      </c>
      <c r="AJ17" s="404" t="s">
        <v>216</v>
      </c>
      <c r="AK17" s="406" t="str">
        <f>IF(Planning!$C17="","",Planning!$C17)</f>
        <v>Fun Kickers Oes</v>
      </c>
      <c r="AL17" s="415"/>
    </row>
    <row r="18" spans="2:38" ht="24" customHeight="1" x14ac:dyDescent="0.2">
      <c r="B18" s="432">
        <f ca="1">Planning!$E12</f>
        <v>7</v>
      </c>
      <c r="C18" s="584">
        <f ca="1">Planning!$F12</f>
        <v>0.39930555555555558</v>
      </c>
      <c r="D18" s="585">
        <f ca="1">Planning!$G12</f>
        <v>3</v>
      </c>
      <c r="E18" s="585" t="str">
        <f ca="1">Planning!$H12</f>
        <v>A</v>
      </c>
      <c r="F18" s="438" t="str">
        <f ca="1">Planning!$L12</f>
        <v>VFB Essenheim</v>
      </c>
      <c r="G18" s="218" t="s">
        <v>5</v>
      </c>
      <c r="H18" s="441" t="str">
        <f ca="1">Planning!$N12</f>
        <v>Maibach 1822 eV</v>
      </c>
      <c r="I18" s="435">
        <v>2</v>
      </c>
      <c r="J18" s="427" t="str">
        <f>Language!$E$80</f>
        <v>-</v>
      </c>
      <c r="K18" s="428">
        <v>2</v>
      </c>
      <c r="M18" s="373">
        <f ca="1">IF(Calc1!$K$13=0,"",IF(VLOOKUP(Calc1!B10,Calc1!$C$4:$E$12,3,0)=MAX(M$12:M17),VLOOKUP(Calc1!B10,Calc1!$C$4:$E$12,3,0),Calc1!B10))</f>
        <v>7</v>
      </c>
      <c r="N18" s="374" t="str">
        <f ca="1">IF(Calc1!$F$14&lt;3,"",IF(Calc1!$K$13=0,Calc1!$Q70,VLOOKUP(Calc1!B10,Calc1!$C$4:$N$12,4,0)))</f>
        <v>VFB Essenheim</v>
      </c>
      <c r="O18" s="215">
        <f ca="1">IF(Calc1!$K$13=0,"",VLOOKUP(Calc1!B10,Calc1!$C$4:$N$12,9,0))</f>
        <v>3</v>
      </c>
      <c r="P18" s="196">
        <f ca="1">IF(Calc1!$K$13=0,"",VLOOKUP(Calc1!B10,Calc1!$C$4:$N$12,10,0))</f>
        <v>0</v>
      </c>
      <c r="Q18" s="196">
        <f ca="1">IF(Calc1!$K$13=0,"",VLOOKUP(Calc1!B10,Calc1!$C$4:$N$12,11,0))</f>
        <v>1</v>
      </c>
      <c r="R18" s="216">
        <f ca="1">IF(Calc1!$K$13=0,"",VLOOKUP(Calc1!B10,Calc1!$C$4:$N$12,12,0))</f>
        <v>2</v>
      </c>
      <c r="S18" s="217">
        <f ca="1">IF(Calc1!$K$13=0,"",VLOOKUP(Calc1!B10,Calc1!$C$4:$N$12,5,0))</f>
        <v>2</v>
      </c>
      <c r="T18" s="218" t="str">
        <f>Language!$E$80</f>
        <v>-</v>
      </c>
      <c r="U18" s="219">
        <f ca="1">IF(Calc1!$K$13=0,"",VLOOKUP(Calc1!B10,Calc1!$C$4:$N$12,6,0))</f>
        <v>11</v>
      </c>
      <c r="V18" s="215">
        <f ca="1">IF(Calc1!$K$13=0,"",VLOOKUP(Calc1!B10,Calc1!$C$4:$N$12,7,0))</f>
        <v>-9</v>
      </c>
      <c r="W18" s="220">
        <f ca="1">IF(Calc1!$K$13=0,"",VLOOKUP(Calc1!B10,Calc1!$C$4:$N$12,8,0))</f>
        <v>1</v>
      </c>
      <c r="X18" s="221" t="str">
        <f ca="1">IFERROR(VLOOKUP($N18&amp;X$11,Calc1!$Z$64:$AB$207,3,0),"")</f>
        <v>0-6</v>
      </c>
      <c r="Y18" s="401" t="str">
        <f ca="1">IFERROR(VLOOKUP($N18&amp;Y$11,Calc1!$Z$64:$AB$207,3,0),"")</f>
        <v/>
      </c>
      <c r="Z18" s="196" t="str">
        <f ca="1">IFERROR(VLOOKUP($N18&amp;Z$11,Calc1!$Z$64:$AB$207,3,0),"")</f>
        <v>0-3</v>
      </c>
      <c r="AA18" s="196" t="str">
        <f ca="1">IFERROR(VLOOKUP($N18&amp;AA$11,Calc1!$Z$64:$AB$207,3,0),"")</f>
        <v/>
      </c>
      <c r="AB18" s="196" t="str">
        <f ca="1">IFERROR(VLOOKUP($N18&amp;AB$11,Calc1!$Z$64:$AB$207,3,0),"")</f>
        <v/>
      </c>
      <c r="AC18" s="216" t="str">
        <f ca="1">IFERROR(VLOOKUP($N18&amp;AC$11,Calc1!$Z$64:$AB$207,3,0),"")</f>
        <v>2-2</v>
      </c>
      <c r="AD18" s="547"/>
      <c r="AE18" s="216" t="str">
        <f ca="1">IFERROR(VLOOKUP($N18&amp;AE$11,Calc1!$Z$64:$AB$207,3,0),"")</f>
        <v/>
      </c>
      <c r="AF18" s="223" t="str">
        <f ca="1">IFERROR(VLOOKUP($N18&amp;AF$11,Calc1!$Z$64:$AB$207,3,0),"")</f>
        <v/>
      </c>
      <c r="AG18" s="224" t="str">
        <f t="shared" ca="1" si="1"/>
        <v>VFB Essenheim</v>
      </c>
      <c r="AJ18" s="404" t="s">
        <v>331</v>
      </c>
      <c r="AK18" s="406" t="str">
        <f>IF(Planning!$C19="","",Planning!$C19)</f>
        <v>Raslo Winners</v>
      </c>
      <c r="AL18" s="415"/>
    </row>
    <row r="19" spans="2:38" ht="24" customHeight="1" x14ac:dyDescent="0.2">
      <c r="B19" s="432">
        <f ca="1">Planning!$E13</f>
        <v>8</v>
      </c>
      <c r="C19" s="584">
        <f ca="1">Planning!$F13</f>
        <v>0.39930555555555558</v>
      </c>
      <c r="D19" s="585">
        <f ca="1">Planning!$G13</f>
        <v>4</v>
      </c>
      <c r="E19" s="585" t="str">
        <f ca="1">Planning!$H13</f>
        <v>B</v>
      </c>
      <c r="F19" s="438" t="str">
        <f ca="1">Planning!$L13</f>
        <v>FC Grönlingen</v>
      </c>
      <c r="G19" s="218" t="s">
        <v>5</v>
      </c>
      <c r="H19" s="441" t="str">
        <f ca="1">Planning!$N13</f>
        <v>Manchester City</v>
      </c>
      <c r="I19" s="435">
        <v>2</v>
      </c>
      <c r="J19" s="427" t="str">
        <f>Language!$E$80</f>
        <v>-</v>
      </c>
      <c r="K19" s="428">
        <v>5</v>
      </c>
      <c r="M19" s="373">
        <f ca="1">IF(Calc1!$K$13=0,"",IF(VLOOKUP(Calc1!B11,Calc1!$C$4:$E$12,3,0)=MAX(M$12:M18),VLOOKUP(Calc1!B11,Calc1!$C$4:$E$12,3,0),Calc1!B11))</f>
        <v>8</v>
      </c>
      <c r="N19" s="374" t="str">
        <f ca="1">IF(Calc1!$F$14&lt;3,"",IF(Calc1!$K$13=0,Calc1!$Q71,VLOOKUP(Calc1!B11,Calc1!$C$4:$N$12,4,0)))</f>
        <v>1. FC Riedwald</v>
      </c>
      <c r="O19" s="215">
        <f ca="1">IF(Calc1!$K$13=0,"",VLOOKUP(Calc1!B11,Calc1!$C$4:$N$12,9,0))</f>
        <v>3</v>
      </c>
      <c r="P19" s="196">
        <f ca="1">IF(Calc1!$K$13=0,"",VLOOKUP(Calc1!B11,Calc1!$C$4:$N$12,10,0))</f>
        <v>0</v>
      </c>
      <c r="Q19" s="196">
        <f ca="1">IF(Calc1!$K$13=0,"",VLOOKUP(Calc1!B11,Calc1!$C$4:$N$12,11,0))</f>
        <v>0</v>
      </c>
      <c r="R19" s="216">
        <f ca="1">IF(Calc1!$K$13=0,"",VLOOKUP(Calc1!B11,Calc1!$C$4:$N$12,12,0))</f>
        <v>3</v>
      </c>
      <c r="S19" s="217">
        <f ca="1">IF(Calc1!$K$13=0,"",VLOOKUP(Calc1!B11,Calc1!$C$4:$N$12,5,0))</f>
        <v>4</v>
      </c>
      <c r="T19" s="218" t="str">
        <f>Language!$E$80</f>
        <v>-</v>
      </c>
      <c r="U19" s="219">
        <f ca="1">IF(Calc1!$K$13=0,"",VLOOKUP(Calc1!B11,Calc1!$C$4:$N$12,6,0))</f>
        <v>12</v>
      </c>
      <c r="V19" s="215">
        <f ca="1">IF(Calc1!$K$13=0,"",VLOOKUP(Calc1!B11,Calc1!$C$4:$N$12,7,0))</f>
        <v>-8</v>
      </c>
      <c r="W19" s="220">
        <f ca="1">IF(Calc1!$K$13=0,"",VLOOKUP(Calc1!B11,Calc1!$C$4:$N$12,8,0))</f>
        <v>0</v>
      </c>
      <c r="X19" s="221" t="str">
        <f ca="1">IFERROR(VLOOKUP($N19&amp;X$11,Calc1!$Z$64:$AB$207,3,0),"")</f>
        <v/>
      </c>
      <c r="Y19" s="401" t="str">
        <f ca="1">IFERROR(VLOOKUP($N19&amp;Y$11,Calc1!$Z$64:$AB$207,3,0),"")</f>
        <v/>
      </c>
      <c r="Z19" s="196" t="str">
        <f ca="1">IFERROR(VLOOKUP($N19&amp;Z$11,Calc1!$Z$64:$AB$207,3,0),"")</f>
        <v>0-2</v>
      </c>
      <c r="AA19" s="196" t="str">
        <f ca="1">IFERROR(VLOOKUP($N19&amp;AA$11,Calc1!$Z$64:$AB$207,3,0),"")</f>
        <v>2-4</v>
      </c>
      <c r="AB19" s="196" t="str">
        <f ca="1">IFERROR(VLOOKUP($N19&amp;AB$11,Calc1!$Z$64:$AB$207,3,0),"")</f>
        <v>2-6</v>
      </c>
      <c r="AC19" s="216" t="str">
        <f ca="1">IFERROR(VLOOKUP($N19&amp;AC$11,Calc1!$Z$64:$AB$207,3,0),"")</f>
        <v/>
      </c>
      <c r="AD19" s="216" t="str">
        <f ca="1">IFERROR(VLOOKUP($N19&amp;AD$11,Calc1!$Z$64:$AB$207,3,0),"")</f>
        <v/>
      </c>
      <c r="AE19" s="547"/>
      <c r="AF19" s="223" t="str">
        <f ca="1">IFERROR(VLOOKUP($N19&amp;AF$11,Calc1!$Z$64:$AB$207,3,0),"")</f>
        <v/>
      </c>
      <c r="AG19" s="224" t="str">
        <f t="shared" ca="1" si="1"/>
        <v>1. FC Riedwald</v>
      </c>
      <c r="AJ19" s="404" t="s">
        <v>332</v>
      </c>
      <c r="AK19" s="406" t="str">
        <f>IF(Planning!$C21="","",Planning!$C21)</f>
        <v>Knock Out Rangers</v>
      </c>
      <c r="AL19" s="415"/>
    </row>
    <row r="20" spans="2:38" ht="24" customHeight="1" thickBot="1" x14ac:dyDescent="0.25">
      <c r="B20" s="432">
        <f ca="1">Planning!$E14</f>
        <v>9</v>
      </c>
      <c r="C20" s="584">
        <f ca="1">Planning!$F14</f>
        <v>0.4236111111111111</v>
      </c>
      <c r="D20" s="585">
        <f ca="1">Planning!$G14</f>
        <v>1</v>
      </c>
      <c r="E20" s="585" t="str">
        <f ca="1">Planning!$H14</f>
        <v>A</v>
      </c>
      <c r="F20" s="438" t="str">
        <f ca="1">Planning!$L14</f>
        <v>Raslo Winners</v>
      </c>
      <c r="G20" s="218" t="s">
        <v>5</v>
      </c>
      <c r="H20" s="441" t="str">
        <f ca="1">Planning!$N14</f>
        <v>1. FC Riedwald</v>
      </c>
      <c r="I20" s="435">
        <v>2</v>
      </c>
      <c r="J20" s="427" t="str">
        <f>Language!$E$80</f>
        <v>-</v>
      </c>
      <c r="K20" s="428">
        <v>0</v>
      </c>
      <c r="M20" s="375">
        <f ca="1">IF(Calc1!$K$13=0,"",IF(VLOOKUP(Calc1!B12,Calc1!$C$4:$E$12,3,0)=MAX(M$12:M19),VLOOKUP(Calc1!B12,Calc1!$C$4:$E$12,3,0),Calc1!B12))</f>
        <v>9</v>
      </c>
      <c r="N20" s="376" t="str">
        <f ca="1">IF(Calc1!$F$14&lt;3,"",IF(Calc1!$K$13=0,Calc1!$Q72,VLOOKUP(Calc1!B12,Calc1!$C$4:$N$12,4,0)))</f>
        <v/>
      </c>
      <c r="O20" s="225">
        <f ca="1">IF(Calc1!$K$13=0,"",VLOOKUP(Calc1!B12,Calc1!$C$4:$N$12,9,0))</f>
        <v>0</v>
      </c>
      <c r="P20" s="226">
        <f ca="1">IF(Calc1!$K$13=0,"",VLOOKUP(Calc1!B12,Calc1!$C$4:$N$12,10,0))</f>
        <v>0</v>
      </c>
      <c r="Q20" s="226">
        <f ca="1">IF(Calc1!$K$13=0,"",VLOOKUP(Calc1!B12,Calc1!$C$4:$N$12,11,0))</f>
        <v>0</v>
      </c>
      <c r="R20" s="227">
        <f ca="1">IF(Calc1!$K$13=0,"",VLOOKUP(Calc1!B12,Calc1!$C$4:$N$12,12,0))</f>
        <v>0</v>
      </c>
      <c r="S20" s="228">
        <f ca="1">IF(Calc1!$K$13=0,"",VLOOKUP(Calc1!B12,Calc1!$C$4:$N$12,5,0))</f>
        <v>0</v>
      </c>
      <c r="T20" s="229" t="str">
        <f>Language!$E$80</f>
        <v>-</v>
      </c>
      <c r="U20" s="230">
        <f ca="1">IF(Calc1!$K$13=0,"",VLOOKUP(Calc1!B12,Calc1!$C$4:$N$12,6,0))</f>
        <v>0</v>
      </c>
      <c r="V20" s="225">
        <f ca="1">IF(Calc1!$K$13=0,"",VLOOKUP(Calc1!B12,Calc1!$C$4:$N$12,7,0))</f>
        <v>0</v>
      </c>
      <c r="W20" s="231">
        <f ca="1">IF(Calc1!$K$13=0,"",VLOOKUP(Calc1!B12,Calc1!$C$4:$N$12,8,0))</f>
        <v>0</v>
      </c>
      <c r="X20" s="232" t="str">
        <f ca="1">IFERROR(VLOOKUP($N20&amp;X$11,Calc1!$Z$64:$AB$207,3,0),"")</f>
        <v/>
      </c>
      <c r="Y20" s="226" t="str">
        <f ca="1">IFERROR(VLOOKUP($N20&amp;Y$11,Calc1!$Z$64:$AB$207,3,0),"")</f>
        <v/>
      </c>
      <c r="Z20" s="226" t="str">
        <f ca="1">IFERROR(VLOOKUP($N20&amp;Z$11,Calc1!$Z$64:$AB$207,3,0),"")</f>
        <v/>
      </c>
      <c r="AA20" s="226" t="str">
        <f ca="1">IFERROR(VLOOKUP($N20&amp;AA$11,Calc1!$Z$64:$AB$207,3,0),"")</f>
        <v/>
      </c>
      <c r="AB20" s="226" t="str">
        <f ca="1">IFERROR(VLOOKUP($N20&amp;AB$11,Calc1!$Z$64:$AB$207,3,0),"")</f>
        <v/>
      </c>
      <c r="AC20" s="227" t="str">
        <f ca="1">IFERROR(VLOOKUP($N20&amp;AC$11,Calc1!$Z$64:$AB$207,3,0),"")</f>
        <v/>
      </c>
      <c r="AD20" s="227" t="str">
        <f ca="1">IFERROR(VLOOKUP($N20&amp;AD$11,Calc1!$Z$64:$AB$207,3,0),"")</f>
        <v/>
      </c>
      <c r="AE20" s="227" t="str">
        <f ca="1">IFERROR(VLOOKUP($N20&amp;AE$11,Calc1!$Z$64:$AB$207,3,0),"")</f>
        <v/>
      </c>
      <c r="AF20" s="233"/>
      <c r="AG20" s="296" t="str">
        <f t="shared" ref="AG20" ca="1" si="2">N20</f>
        <v/>
      </c>
      <c r="AJ20" s="405" t="s">
        <v>333</v>
      </c>
      <c r="AK20" s="407" t="str">
        <f>IF(Planning!$C23="","",Planning!$C23)</f>
        <v/>
      </c>
      <c r="AL20" s="416"/>
    </row>
    <row r="21" spans="2:38" ht="24" customHeight="1" thickTop="1" x14ac:dyDescent="0.2">
      <c r="B21" s="432">
        <f ca="1">Planning!$E15</f>
        <v>10</v>
      </c>
      <c r="C21" s="584">
        <f ca="1">Planning!$F15</f>
        <v>0.4236111111111111</v>
      </c>
      <c r="D21" s="585">
        <f ca="1">Planning!$G15</f>
        <v>2</v>
      </c>
      <c r="E21" s="585" t="str">
        <f ca="1">Planning!$H15</f>
        <v>B</v>
      </c>
      <c r="F21" s="438" t="str">
        <f ca="1">Planning!$L15</f>
        <v>VFL Ronsdorf</v>
      </c>
      <c r="G21" s="218" t="s">
        <v>5</v>
      </c>
      <c r="H21" s="441" t="str">
        <f ca="1">Planning!$N15</f>
        <v>Mainz 05</v>
      </c>
      <c r="I21" s="435">
        <v>2</v>
      </c>
      <c r="J21" s="427" t="str">
        <f>Language!$E$80</f>
        <v>-</v>
      </c>
      <c r="K21" s="428">
        <v>6</v>
      </c>
    </row>
    <row r="22" spans="2:38" ht="24" customHeight="1" thickBot="1" x14ac:dyDescent="0.25">
      <c r="B22" s="432">
        <f ca="1">Planning!$E16</f>
        <v>11</v>
      </c>
      <c r="C22" s="584">
        <f ca="1">Planning!$F16</f>
        <v>0.4236111111111111</v>
      </c>
      <c r="D22" s="585">
        <f ca="1">Planning!$G16</f>
        <v>3</v>
      </c>
      <c r="E22" s="585" t="str">
        <f ca="1">Planning!$H16</f>
        <v>A</v>
      </c>
      <c r="F22" s="438" t="str">
        <f ca="1">Planning!$L16</f>
        <v>Fun Kickers Oes</v>
      </c>
      <c r="G22" s="218" t="s">
        <v>5</v>
      </c>
      <c r="H22" s="441" t="str">
        <f ca="1">Planning!$N16</f>
        <v>Knock Out Rangers</v>
      </c>
      <c r="I22" s="435">
        <v>3</v>
      </c>
      <c r="J22" s="427" t="str">
        <f>Language!$E$80</f>
        <v>-</v>
      </c>
      <c r="K22" s="428">
        <v>2</v>
      </c>
    </row>
    <row r="23" spans="2:38" ht="24" customHeight="1" thickBot="1" x14ac:dyDescent="0.45">
      <c r="B23" s="432">
        <f ca="1">Planning!$E17</f>
        <v>12</v>
      </c>
      <c r="C23" s="584">
        <f ca="1">Planning!$F17</f>
        <v>0.4236111111111111</v>
      </c>
      <c r="D23" s="585">
        <f ca="1">Planning!$G17</f>
        <v>4</v>
      </c>
      <c r="E23" s="585" t="str">
        <f ca="1">Planning!$H17</f>
        <v>B</v>
      </c>
      <c r="F23" s="438" t="str">
        <f ca="1">Planning!$L17</f>
        <v>AC Roma</v>
      </c>
      <c r="G23" s="218" t="s">
        <v>5</v>
      </c>
      <c r="H23" s="441" t="str">
        <f ca="1">Planning!$N17</f>
        <v>Borussia Heine</v>
      </c>
      <c r="I23" s="435">
        <v>2</v>
      </c>
      <c r="J23" s="427" t="str">
        <f>Language!$E$80</f>
        <v>-</v>
      </c>
      <c r="K23" s="428">
        <v>1</v>
      </c>
      <c r="M23" s="692" t="str">
        <f>Language!$E$16&amp;" B"</f>
        <v>Group B</v>
      </c>
      <c r="N23" s="692"/>
      <c r="O23" s="197"/>
      <c r="P23" s="197"/>
      <c r="Q23" s="197"/>
      <c r="R23" s="197"/>
      <c r="S23" s="197"/>
      <c r="T23" s="197"/>
      <c r="U23" s="197"/>
      <c r="V23" s="197"/>
      <c r="W23" s="197"/>
      <c r="X23" s="286" t="str">
        <f ca="1">IF(LEN(N25)&gt;Settings!$C$17,LEFT(N25,Settings!$C$17)&amp;".",N25)</f>
        <v>Manches.</v>
      </c>
      <c r="Y23" s="287" t="str">
        <f ca="1">IF(LEN(N26)&gt;Settings!$C$17,LEFT(N26,Settings!$C$17)&amp;".",N26)</f>
        <v>AC Roma</v>
      </c>
      <c r="Z23" s="287" t="str">
        <f ca="1">IF(LEN(N27)&gt;Settings!$C$17,LEFT(N27,Settings!$C$17)&amp;".",N27)</f>
        <v>Inter M.</v>
      </c>
      <c r="AA23" s="287" t="str">
        <f ca="1">IF(LEN(N28)&gt;Settings!$C$17,LEFT(N28,Settings!$C$17)&amp;".",N28)</f>
        <v>Mainz 0.</v>
      </c>
      <c r="AB23" s="287" t="str">
        <f ca="1">IF(LEN(N29)&gt;Settings!$C$17,LEFT(N29,Settings!$C$17)&amp;".",N29)</f>
        <v>Borussi.</v>
      </c>
      <c r="AC23" s="545" t="str">
        <f ca="1">IF(LEN(N30)&gt;Settings!$C$17,LEFT(N30,Settings!$C$17)&amp;".",N30)</f>
        <v>FC Grön.</v>
      </c>
      <c r="AD23" s="545" t="str">
        <f ca="1">IF(LEN(N31)&gt;Settings!$C$17,LEFT(N31,Settings!$C$17)&amp;".",N31)</f>
        <v>VFL Ron.</v>
      </c>
      <c r="AE23" s="545" t="str">
        <f ca="1">IF(LEN(N32)&gt;Settings!$C$17,LEFT(N32,Settings!$C$17)&amp;".",N32)</f>
        <v>SSV Wil.</v>
      </c>
      <c r="AF23" s="288" t="str">
        <f ca="1">IF(LEN(N33)&gt;Settings!$C$17,LEFT(N33,Settings!$C$17)&amp;".",N33)</f>
        <v/>
      </c>
      <c r="AG23" s="198"/>
      <c r="AJ23" s="692" t="str">
        <f>Language!$E$16&amp;" B"</f>
        <v>Group B</v>
      </c>
      <c r="AK23" s="692"/>
    </row>
    <row r="24" spans="2:38" ht="24" customHeight="1" thickTop="1" thickBot="1" x14ac:dyDescent="0.25">
      <c r="B24" s="432">
        <f ca="1">Planning!$E18</f>
        <v>13</v>
      </c>
      <c r="C24" s="584">
        <f ca="1">Planning!$F18</f>
        <v>0.44791666666666669</v>
      </c>
      <c r="D24" s="585">
        <f ca="1">Planning!$G18</f>
        <v>1</v>
      </c>
      <c r="E24" s="585" t="str">
        <f ca="1">Planning!$H18</f>
        <v>A</v>
      </c>
      <c r="F24" s="438" t="str">
        <f ca="1">Planning!$L18</f>
        <v>FC Barcelona</v>
      </c>
      <c r="G24" s="218" t="s">
        <v>5</v>
      </c>
      <c r="H24" s="441" t="str">
        <f ca="1">Planning!$N18</f>
        <v>VFB Essenheim</v>
      </c>
      <c r="I24" s="435">
        <v>6</v>
      </c>
      <c r="J24" s="427" t="str">
        <f>Language!$E$80</f>
        <v>-</v>
      </c>
      <c r="K24" s="428">
        <v>0</v>
      </c>
      <c r="M24" s="690"/>
      <c r="N24" s="691"/>
      <c r="O24" s="199" t="str">
        <f>Language!$E$21</f>
        <v>Pld</v>
      </c>
      <c r="P24" s="200" t="str">
        <f>Language!$E$22</f>
        <v>W</v>
      </c>
      <c r="Q24" s="200" t="str">
        <f>Language!$E$23</f>
        <v>D</v>
      </c>
      <c r="R24" s="272" t="str">
        <f>Language!$E$24</f>
        <v>L</v>
      </c>
      <c r="S24" s="687" t="str">
        <f>Language!$E$25</f>
        <v>Goals</v>
      </c>
      <c r="T24" s="688"/>
      <c r="U24" s="689"/>
      <c r="V24" s="200" t="str">
        <f>Language!$E$26</f>
        <v>GD</v>
      </c>
      <c r="W24" s="202" t="str">
        <f>Language!$E$27</f>
        <v>Pts</v>
      </c>
      <c r="X24" s="203" t="str">
        <f ca="1">N25</f>
        <v>Manchester City</v>
      </c>
      <c r="Y24" s="204" t="str">
        <f ca="1">N26</f>
        <v>AC Roma</v>
      </c>
      <c r="Z24" s="204" t="str">
        <f ca="1">N27</f>
        <v>Inter Mailand</v>
      </c>
      <c r="AA24" s="204" t="str">
        <f ca="1">N28</f>
        <v>Mainz 05</v>
      </c>
      <c r="AB24" s="204" t="str">
        <f ca="1">N29</f>
        <v>Borussia Heine</v>
      </c>
      <c r="AC24" s="546" t="str">
        <f ca="1">N30</f>
        <v>FC Grönlingen</v>
      </c>
      <c r="AD24" s="546" t="str">
        <f ca="1">N31</f>
        <v>VFL Ronsdorf</v>
      </c>
      <c r="AE24" s="546" t="str">
        <f ca="1">N32</f>
        <v>SSV Wildbach</v>
      </c>
      <c r="AF24" s="514" t="str">
        <f ca="1">N33</f>
        <v/>
      </c>
      <c r="AG24" s="198"/>
      <c r="AJ24" s="410" t="str">
        <f>Language!$E$9</f>
        <v>No.</v>
      </c>
      <c r="AK24" s="411" t="str">
        <f>Language!$E$10</f>
        <v>Participant or team</v>
      </c>
      <c r="AL24" s="412" t="str">
        <f>Language!$E$49</f>
        <v>bonus</v>
      </c>
    </row>
    <row r="25" spans="2:38" ht="24" customHeight="1" x14ac:dyDescent="0.2">
      <c r="B25" s="432">
        <f ca="1">Planning!$E19</f>
        <v>14</v>
      </c>
      <c r="C25" s="584">
        <f ca="1">Planning!$F19</f>
        <v>0.44791666666666669</v>
      </c>
      <c r="D25" s="585">
        <f ca="1">Planning!$G19</f>
        <v>2</v>
      </c>
      <c r="E25" s="585" t="str">
        <f ca="1">Planning!$H19</f>
        <v>B</v>
      </c>
      <c r="F25" s="438" t="str">
        <f ca="1">Planning!$L19</f>
        <v>Inter Mailand</v>
      </c>
      <c r="G25" s="218" t="s">
        <v>5</v>
      </c>
      <c r="H25" s="441" t="str">
        <f ca="1">Planning!$N19</f>
        <v>FC Grönlingen</v>
      </c>
      <c r="I25" s="435">
        <v>2</v>
      </c>
      <c r="J25" s="427" t="str">
        <f>Language!$E$80</f>
        <v>-</v>
      </c>
      <c r="K25" s="428">
        <v>0</v>
      </c>
      <c r="M25" s="371">
        <f ca="1">IF(Calc2!$K$13=0,"",1)</f>
        <v>1</v>
      </c>
      <c r="N25" s="372" t="str">
        <f ca="1">IF(Calc1!$F$14&lt;3,"",IF(Calc2!$K$13=0,Calc2!$Q64,VLOOKUP(Calc2!B4,Calc2!$C$4:$N$12,4,0)))</f>
        <v>Manchester City</v>
      </c>
      <c r="O25" s="205">
        <f ca="1">IF(Calc2!$K$13=0,"",VLOOKUP(Calc2!B4,Calc2!$C$4:$N$12,9,0))</f>
        <v>3</v>
      </c>
      <c r="P25" s="206">
        <f ca="1">IF(Calc2!$K$13=0,"",VLOOKUP(Calc2!B4,Calc2!$C$4:$N$12,10,0))</f>
        <v>3</v>
      </c>
      <c r="Q25" s="206">
        <f ca="1">IF(Calc2!$K$13=0,"",VLOOKUP(Calc2!B4,Calc2!$C$4:$N$12,11,0))</f>
        <v>0</v>
      </c>
      <c r="R25" s="207">
        <f ca="1">IF(Calc2!$K$13=0,"",VLOOKUP(Calc2!B4,Calc2!$C$4:$N$12,12,0))</f>
        <v>0</v>
      </c>
      <c r="S25" s="208">
        <f ca="1">IF(Calc2!$K$13=0,"",VLOOKUP(Calc2!B4,Calc2!$C$4:$N$12,5,0))</f>
        <v>16</v>
      </c>
      <c r="T25" s="209" t="str">
        <f>Language!$E$80</f>
        <v>-</v>
      </c>
      <c r="U25" s="210">
        <f ca="1">IF(Calc2!$K$13=0,"",VLOOKUP(Calc2!B4,Calc2!$C$4:$N$12,6,0))</f>
        <v>5</v>
      </c>
      <c r="V25" s="205">
        <f ca="1">IF(Calc2!$K$13=0,"",VLOOKUP(Calc2!B4,Calc2!$C$4:$N$12,7,0))</f>
        <v>11</v>
      </c>
      <c r="W25" s="211">
        <f ca="1">IF(Calc2!$K$13=0,"",VLOOKUP(Calc2!B4,Calc2!$C$4:$N$12,8,0))</f>
        <v>9</v>
      </c>
      <c r="X25" s="212"/>
      <c r="Y25" s="206" t="str">
        <f ca="1">IFERROR(VLOOKUP($N25&amp;Y$24,Calc2!$Z$64:$AB$207,3,0),"")</f>
        <v/>
      </c>
      <c r="Z25" s="206" t="str">
        <f ca="1">IFERROR(VLOOKUP($N25&amp;Z$24,Calc2!$Z$64:$AB$207,3,0),"")</f>
        <v/>
      </c>
      <c r="AA25" s="206" t="str">
        <f ca="1">IFERROR(VLOOKUP($N25&amp;AA$24,Calc2!$Z$64:$AB$207,3,0),"")</f>
        <v/>
      </c>
      <c r="AB25" s="206" t="str">
        <f ca="1">IFERROR(VLOOKUP($N25&amp;AB$24,Calc2!$Z$64:$AB$207,3,0),"")</f>
        <v>4-1</v>
      </c>
      <c r="AC25" s="207" t="str">
        <f ca="1">IFERROR(VLOOKUP($N25&amp;AC$24,Calc2!$Z$64:$AB$207,3,0),"")</f>
        <v>5-2</v>
      </c>
      <c r="AD25" s="207" t="str">
        <f ca="1">IFERROR(VLOOKUP($N25&amp;AD$24,Calc2!$Z$64:$AB$207,3,0),"")</f>
        <v/>
      </c>
      <c r="AE25" s="207" t="str">
        <f ca="1">IFERROR(VLOOKUP($N25&amp;AE$24,Calc2!$Z$64:$AB$207,3,0),"")</f>
        <v>7-2</v>
      </c>
      <c r="AF25" s="213" t="str">
        <f ca="1">IFERROR(VLOOKUP($N25&amp;AF$24,Calc2!$Z$64:$AB$207,3,0),"")</f>
        <v/>
      </c>
      <c r="AG25" s="214" t="str">
        <f t="shared" ref="AG25:AG29" ca="1" si="3">N25</f>
        <v>Manchester City</v>
      </c>
      <c r="AJ25" s="408" t="s">
        <v>209</v>
      </c>
      <c r="AK25" s="409" t="str">
        <f>IF(Planning!$C31="","",Planning!$C31)</f>
        <v>Mainz 05</v>
      </c>
      <c r="AL25" s="414"/>
    </row>
    <row r="26" spans="2:38" ht="24" customHeight="1" x14ac:dyDescent="0.2">
      <c r="B26" s="432">
        <f ca="1">Planning!$E20</f>
        <v>15</v>
      </c>
      <c r="C26" s="584">
        <f ca="1">Planning!$F20</f>
        <v>0.44791666666666669</v>
      </c>
      <c r="D26" s="585">
        <f ca="1">Planning!$G20</f>
        <v>3</v>
      </c>
      <c r="E26" s="585" t="str">
        <f ca="1">Planning!$H20</f>
        <v>A</v>
      </c>
      <c r="F26" s="438" t="str">
        <f ca="1">Planning!$L20</f>
        <v>Maibach 1822 eV</v>
      </c>
      <c r="G26" s="218" t="s">
        <v>5</v>
      </c>
      <c r="H26" s="441" t="str">
        <f ca="1">Planning!$N20</f>
        <v>Eintracht Frankfurt</v>
      </c>
      <c r="I26" s="435">
        <v>1</v>
      </c>
      <c r="J26" s="427" t="str">
        <f>Language!$E$80</f>
        <v>-</v>
      </c>
      <c r="K26" s="428">
        <v>3</v>
      </c>
      <c r="M26" s="373">
        <f ca="1">IF(Calc2!$K$13=0,"",IF(VLOOKUP(Calc2!B5,Calc2!$C$4:$E$12,3,0)=MAX(M$25:M25),VLOOKUP(Calc2!B5,Calc2!$C$4:$E$12,3,0),Calc2!B5))</f>
        <v>2</v>
      </c>
      <c r="N26" s="374" t="str">
        <f ca="1">IF(Calc1!$F$14&lt;3,"",IF(Calc2!$K$13=0,Calc2!$Q65,VLOOKUP(Calc2!B5,Calc2!$C$4:$N$12,4,0)))</f>
        <v>AC Roma</v>
      </c>
      <c r="O26" s="215">
        <f ca="1">IF(Calc2!$K$13=0,"",VLOOKUP(Calc2!B5,Calc2!$C$4:$N$12,9,0))</f>
        <v>3</v>
      </c>
      <c r="P26" s="196">
        <f ca="1">IF(Calc2!$K$13=0,"",VLOOKUP(Calc2!B5,Calc2!$C$4:$N$12,10,0))</f>
        <v>3</v>
      </c>
      <c r="Q26" s="196">
        <f ca="1">IF(Calc2!$K$13=0,"",VLOOKUP(Calc2!B5,Calc2!$C$4:$N$12,11,0))</f>
        <v>0</v>
      </c>
      <c r="R26" s="216">
        <f ca="1">IF(Calc2!$K$13=0,"",VLOOKUP(Calc2!B5,Calc2!$C$4:$N$12,12,0))</f>
        <v>0</v>
      </c>
      <c r="S26" s="217">
        <f ca="1">IF(Calc2!$K$13=0,"",VLOOKUP(Calc2!B5,Calc2!$C$4:$N$12,5,0))</f>
        <v>12</v>
      </c>
      <c r="T26" s="218" t="str">
        <f>Language!$E$80</f>
        <v>-</v>
      </c>
      <c r="U26" s="219">
        <f ca="1">IF(Calc2!$K$13=0,"",VLOOKUP(Calc2!B5,Calc2!$C$4:$N$12,6,0))</f>
        <v>2</v>
      </c>
      <c r="V26" s="215">
        <f ca="1">IF(Calc2!$K$13=0,"",VLOOKUP(Calc2!B5,Calc2!$C$4:$N$12,7,0))</f>
        <v>10</v>
      </c>
      <c r="W26" s="220">
        <f ca="1">IF(Calc2!$K$13=0,"",VLOOKUP(Calc2!B5,Calc2!$C$4:$N$12,8,0))</f>
        <v>9</v>
      </c>
      <c r="X26" s="221" t="str">
        <f ca="1">IFERROR(VLOOKUP($N26&amp;X$24,Calc2!$Z$64:$AB$207,3,0),"")</f>
        <v/>
      </c>
      <c r="Y26" s="222"/>
      <c r="Z26" s="196" t="str">
        <f ca="1">IFERROR(VLOOKUP($N26&amp;Z$24,Calc2!$Z$64:$AB$207,3,0),"")</f>
        <v/>
      </c>
      <c r="AA26" s="196" t="str">
        <f ca="1">IFERROR(VLOOKUP($N26&amp;AA$24,Calc2!$Z$64:$AB$207,3,0),"")</f>
        <v>5-1</v>
      </c>
      <c r="AB26" s="196" t="str">
        <f ca="1">IFERROR(VLOOKUP($N26&amp;AB$24,Calc2!$Z$64:$AB$207,3,0),"")</f>
        <v>2-1</v>
      </c>
      <c r="AC26" s="216" t="str">
        <f ca="1">IFERROR(VLOOKUP($N26&amp;AC$24,Calc2!$Z$64:$AB$207,3,0),"")</f>
        <v/>
      </c>
      <c r="AD26" s="216" t="str">
        <f ca="1">IFERROR(VLOOKUP($N26&amp;AD$24,Calc2!$Z$64:$AB$207,3,0),"")</f>
        <v/>
      </c>
      <c r="AE26" s="216" t="str">
        <f ca="1">IFERROR(VLOOKUP($N26&amp;AE$24,Calc2!$Z$64:$AB$207,3,0),"")</f>
        <v>5-0</v>
      </c>
      <c r="AF26" s="223" t="str">
        <f ca="1">IFERROR(VLOOKUP($N26&amp;AF$24,Calc2!$Z$64:$AB$207,3,0),"")</f>
        <v/>
      </c>
      <c r="AG26" s="224" t="str">
        <f t="shared" ca="1" si="3"/>
        <v>AC Roma</v>
      </c>
      <c r="AJ26" s="404" t="s">
        <v>211</v>
      </c>
      <c r="AK26" s="406" t="str">
        <f>IF(Planning!$C33="","",Planning!$C33)</f>
        <v>Inter Mailand</v>
      </c>
      <c r="AL26" s="415"/>
    </row>
    <row r="27" spans="2:38" ht="24" customHeight="1" x14ac:dyDescent="0.2">
      <c r="B27" s="432">
        <f ca="1">Planning!$E21</f>
        <v>16</v>
      </c>
      <c r="C27" s="584">
        <f ca="1">Planning!$F21</f>
        <v>0.44791666666666669</v>
      </c>
      <c r="D27" s="585">
        <f ca="1">Planning!$G21</f>
        <v>4</v>
      </c>
      <c r="E27" s="585" t="str">
        <f ca="1">Planning!$H21</f>
        <v>B</v>
      </c>
      <c r="F27" s="438" t="str">
        <f ca="1">Planning!$L21</f>
        <v>Manchester City</v>
      </c>
      <c r="G27" s="218" t="s">
        <v>5</v>
      </c>
      <c r="H27" s="441" t="str">
        <f ca="1">Planning!$N21</f>
        <v>SSV Wildbach</v>
      </c>
      <c r="I27" s="435">
        <v>7</v>
      </c>
      <c r="J27" s="427" t="str">
        <f>Language!$E$80</f>
        <v>-</v>
      </c>
      <c r="K27" s="428">
        <v>2</v>
      </c>
      <c r="M27" s="373">
        <f ca="1">IF(Calc2!$K$13=0,"",IF(VLOOKUP(Calc2!B6,Calc2!$C$4:$E$12,3,0)=MAX(M$25:M26),VLOOKUP(Calc2!B6,Calc2!$C$4:$E$12,3,0),Calc2!B6))</f>
        <v>3</v>
      </c>
      <c r="N27" s="374" t="str">
        <f ca="1">IF(Calc1!$F$14&lt;3,"",IF(Calc2!$K$13=0,Calc2!$Q66,VLOOKUP(Calc2!B6,Calc2!$C$4:$N$12,4,0)))</f>
        <v>Inter Mailand</v>
      </c>
      <c r="O27" s="215">
        <f ca="1">IF(Calc2!$K$13=0,"",VLOOKUP(Calc2!B6,Calc2!$C$4:$N$12,9,0))</f>
        <v>2</v>
      </c>
      <c r="P27" s="196">
        <f ca="1">IF(Calc2!$K$13=0,"",VLOOKUP(Calc2!B6,Calc2!$C$4:$N$12,10,0))</f>
        <v>2</v>
      </c>
      <c r="Q27" s="196">
        <f ca="1">IF(Calc2!$K$13=0,"",VLOOKUP(Calc2!B6,Calc2!$C$4:$N$12,11,0))</f>
        <v>0</v>
      </c>
      <c r="R27" s="216">
        <f ca="1">IF(Calc2!$K$13=0,"",VLOOKUP(Calc2!B6,Calc2!$C$4:$N$12,12,0))</f>
        <v>0</v>
      </c>
      <c r="S27" s="217">
        <f ca="1">IF(Calc2!$K$13=0,"",VLOOKUP(Calc2!B6,Calc2!$C$4:$N$12,5,0))</f>
        <v>7</v>
      </c>
      <c r="T27" s="218" t="str">
        <f>Language!$E$80</f>
        <v>-</v>
      </c>
      <c r="U27" s="219">
        <f ca="1">IF(Calc2!$K$13=0,"",VLOOKUP(Calc2!B6,Calc2!$C$4:$N$12,6,0))</f>
        <v>2</v>
      </c>
      <c r="V27" s="215">
        <f ca="1">IF(Calc2!$K$13=0,"",VLOOKUP(Calc2!B6,Calc2!$C$4:$N$12,7,0))</f>
        <v>5</v>
      </c>
      <c r="W27" s="220">
        <f ca="1">IF(Calc2!$K$13=0,"",VLOOKUP(Calc2!B6,Calc2!$C$4:$N$12,8,0))</f>
        <v>6</v>
      </c>
      <c r="X27" s="221" t="str">
        <f ca="1">IFERROR(VLOOKUP($N27&amp;X$24,Calc2!$Z$64:$AB$207,3,0),"")</f>
        <v/>
      </c>
      <c r="Y27" s="401" t="str">
        <f ca="1">IFERROR(VLOOKUP($N27&amp;Y$24,Calc2!$Z$64:$AB$207,3,0),"")</f>
        <v/>
      </c>
      <c r="Z27" s="222"/>
      <c r="AA27" s="196" t="str">
        <f ca="1">IFERROR(VLOOKUP($N27&amp;AA$24,Calc2!$Z$64:$AB$207,3,0),"")</f>
        <v/>
      </c>
      <c r="AB27" s="196" t="str">
        <f ca="1">IFERROR(VLOOKUP($N27&amp;AB$24,Calc2!$Z$64:$AB$207,3,0),"")</f>
        <v/>
      </c>
      <c r="AC27" s="216" t="str">
        <f ca="1">IFERROR(VLOOKUP($N27&amp;AC$24,Calc2!$Z$64:$AB$207,3,0),"")</f>
        <v>2-0</v>
      </c>
      <c r="AD27" s="216" t="str">
        <f ca="1">IFERROR(VLOOKUP($N27&amp;AD$24,Calc2!$Z$64:$AB$207,3,0),"")</f>
        <v>5-2</v>
      </c>
      <c r="AE27" s="216" t="str">
        <f ca="1">IFERROR(VLOOKUP($N27&amp;AE$24,Calc2!$Z$64:$AB$207,3,0),"")</f>
        <v/>
      </c>
      <c r="AF27" s="223" t="str">
        <f ca="1">IFERROR(VLOOKUP($N27&amp;AF$24,Calc2!$Z$64:$AB$207,3,0),"")</f>
        <v/>
      </c>
      <c r="AG27" s="224" t="str">
        <f t="shared" ca="1" si="3"/>
        <v>Inter Mailand</v>
      </c>
      <c r="AJ27" s="404" t="s">
        <v>207</v>
      </c>
      <c r="AK27" s="406" t="str">
        <f>IF(Planning!$C35="","",Planning!$C35)</f>
        <v>SSV Wildbach</v>
      </c>
      <c r="AL27" s="415"/>
    </row>
    <row r="28" spans="2:38" ht="24" customHeight="1" x14ac:dyDescent="0.2">
      <c r="B28" s="432">
        <f ca="1">Planning!$E22</f>
        <v>17</v>
      </c>
      <c r="C28" s="584">
        <f ca="1">Planning!$F22</f>
        <v>0.47222222222222221</v>
      </c>
      <c r="D28" s="585">
        <f ca="1">Planning!$G22</f>
        <v>1</v>
      </c>
      <c r="E28" s="585" t="str">
        <f ca="1">Planning!$H22</f>
        <v>A</v>
      </c>
      <c r="F28" s="438" t="str">
        <f ca="1">Planning!$L22</f>
        <v>1. FC Riedwald</v>
      </c>
      <c r="G28" s="218" t="s">
        <v>5</v>
      </c>
      <c r="H28" s="441" t="str">
        <f ca="1">Planning!$N22</f>
        <v>Fun Kickers Oes</v>
      </c>
      <c r="I28" s="435">
        <v>2</v>
      </c>
      <c r="J28" s="427" t="str">
        <f>Language!$E$80</f>
        <v>-</v>
      </c>
      <c r="K28" s="428">
        <v>4</v>
      </c>
      <c r="M28" s="373">
        <f ca="1">IF(Calc2!$K$13=0,"",IF(VLOOKUP(Calc2!B7,Calc2!$C$4:$E$12,3,0)=MAX(M$25:M27),VLOOKUP(Calc2!B7,Calc2!$C$4:$E$12,3,0),Calc2!B7))</f>
        <v>4</v>
      </c>
      <c r="N28" s="374" t="str">
        <f ca="1">IF(Calc1!$F$14&lt;3,"",IF(Calc2!$K$13=0,Calc2!$Q67,VLOOKUP(Calc2!B7,Calc2!$C$4:$N$12,4,0)))</f>
        <v>Mainz 05</v>
      </c>
      <c r="O28" s="215">
        <f ca="1">IF(Calc2!$K$13=0,"",VLOOKUP(Calc2!B7,Calc2!$C$4:$N$12,9,0))</f>
        <v>3</v>
      </c>
      <c r="P28" s="196">
        <f ca="1">IF(Calc2!$K$13=0,"",VLOOKUP(Calc2!B7,Calc2!$C$4:$N$12,10,0))</f>
        <v>1</v>
      </c>
      <c r="Q28" s="196">
        <f ca="1">IF(Calc2!$K$13=0,"",VLOOKUP(Calc2!B7,Calc2!$C$4:$N$12,11,0))</f>
        <v>0</v>
      </c>
      <c r="R28" s="216">
        <f ca="1">IF(Calc2!$K$13=0,"",VLOOKUP(Calc2!B7,Calc2!$C$4:$N$12,12,0))</f>
        <v>2</v>
      </c>
      <c r="S28" s="217">
        <f ca="1">IF(Calc2!$K$13=0,"",VLOOKUP(Calc2!B7,Calc2!$C$4:$N$12,5,0))</f>
        <v>9</v>
      </c>
      <c r="T28" s="218" t="str">
        <f>Language!$E$80</f>
        <v>-</v>
      </c>
      <c r="U28" s="219">
        <f ca="1">IF(Calc2!$K$13=0,"",VLOOKUP(Calc2!B7,Calc2!$C$4:$N$12,6,0))</f>
        <v>11</v>
      </c>
      <c r="V28" s="215">
        <f ca="1">IF(Calc2!$K$13=0,"",VLOOKUP(Calc2!B7,Calc2!$C$4:$N$12,7,0))</f>
        <v>-2</v>
      </c>
      <c r="W28" s="220">
        <f ca="1">IF(Calc2!$K$13=0,"",VLOOKUP(Calc2!B7,Calc2!$C$4:$N$12,8,0))</f>
        <v>3</v>
      </c>
      <c r="X28" s="221" t="str">
        <f ca="1">IFERROR(VLOOKUP($N28&amp;X$24,Calc2!$Z$64:$AB$207,3,0),"")</f>
        <v/>
      </c>
      <c r="Y28" s="401" t="str">
        <f ca="1">IFERROR(VLOOKUP($N28&amp;Y$24,Calc2!$Z$64:$AB$207,3,0),"")</f>
        <v>1-5</v>
      </c>
      <c r="Z28" s="196" t="str">
        <f ca="1">IFERROR(VLOOKUP($N28&amp;Z$24,Calc2!$Z$64:$AB$207,3,0),"")</f>
        <v/>
      </c>
      <c r="AA28" s="222"/>
      <c r="AB28" s="196" t="str">
        <f ca="1">IFERROR(VLOOKUP($N28&amp;AB$24,Calc2!$Z$64:$AB$207,3,0),"")</f>
        <v>2-4</v>
      </c>
      <c r="AC28" s="216" t="str">
        <f ca="1">IFERROR(VLOOKUP($N28&amp;AC$24,Calc2!$Z$64:$AB$207,3,0),"")</f>
        <v/>
      </c>
      <c r="AD28" s="216" t="str">
        <f ca="1">IFERROR(VLOOKUP($N28&amp;AD$24,Calc2!$Z$64:$AB$207,3,0),"")</f>
        <v>6-2</v>
      </c>
      <c r="AE28" s="216" t="str">
        <f ca="1">IFERROR(VLOOKUP($N28&amp;AE$24,Calc2!$Z$64:$AB$207,3,0),"")</f>
        <v/>
      </c>
      <c r="AF28" s="223" t="str">
        <f ca="1">IFERROR(VLOOKUP($N28&amp;AF$24,Calc2!$Z$64:$AB$207,3,0),"")</f>
        <v/>
      </c>
      <c r="AG28" s="224" t="str">
        <f t="shared" ca="1" si="3"/>
        <v>Mainz 05</v>
      </c>
      <c r="AJ28" s="404" t="s">
        <v>213</v>
      </c>
      <c r="AK28" s="406" t="str">
        <f>IF(Planning!$C37="","",Planning!$C37)</f>
        <v>Manchester City</v>
      </c>
      <c r="AL28" s="415"/>
    </row>
    <row r="29" spans="2:38" ht="24" customHeight="1" x14ac:dyDescent="0.2">
      <c r="B29" s="432">
        <f ca="1">Planning!$E23</f>
        <v>18</v>
      </c>
      <c r="C29" s="584">
        <f ca="1">Planning!$F23</f>
        <v>0.47222222222222221</v>
      </c>
      <c r="D29" s="585">
        <f ca="1">Planning!$G23</f>
        <v>2</v>
      </c>
      <c r="E29" s="585" t="str">
        <f ca="1">Planning!$H23</f>
        <v>B</v>
      </c>
      <c r="F29" s="438" t="str">
        <f ca="1">Planning!$L23</f>
        <v>Mainz 05</v>
      </c>
      <c r="G29" s="218" t="s">
        <v>5</v>
      </c>
      <c r="H29" s="441" t="str">
        <f ca="1">Planning!$N23</f>
        <v>AC Roma</v>
      </c>
      <c r="I29" s="435">
        <v>1</v>
      </c>
      <c r="J29" s="427" t="str">
        <f>Language!$E$80</f>
        <v>-</v>
      </c>
      <c r="K29" s="428">
        <v>5</v>
      </c>
      <c r="M29" s="373">
        <f ca="1">IF(Calc2!$K$13=0,"",IF(VLOOKUP(Calc2!B8,Calc2!$C$4:$E$12,3,0)=MAX(M$25:M28),VLOOKUP(Calc2!B8,Calc2!$C$4:$E$12,3,0),Calc2!B8))</f>
        <v>5</v>
      </c>
      <c r="N29" s="374" t="str">
        <f ca="1">IF(Calc1!$F$14&lt;3,"",IF(Calc2!$K$13=0,Calc2!$Q68,VLOOKUP(Calc2!B8,Calc2!$C$4:$N$12,4,0)))</f>
        <v>Borussia Heine</v>
      </c>
      <c r="O29" s="215">
        <f ca="1">IF(Calc2!$K$13=0,"",VLOOKUP(Calc2!B8,Calc2!$C$4:$N$12,9,0))</f>
        <v>3</v>
      </c>
      <c r="P29" s="196">
        <f ca="1">IF(Calc2!$K$13=0,"",VLOOKUP(Calc2!B8,Calc2!$C$4:$N$12,10,0))</f>
        <v>1</v>
      </c>
      <c r="Q29" s="196">
        <f ca="1">IF(Calc2!$K$13=0,"",VLOOKUP(Calc2!B8,Calc2!$C$4:$N$12,11,0))</f>
        <v>0</v>
      </c>
      <c r="R29" s="216">
        <f ca="1">IF(Calc2!$K$13=0,"",VLOOKUP(Calc2!B8,Calc2!$C$4:$N$12,12,0))</f>
        <v>2</v>
      </c>
      <c r="S29" s="217">
        <f ca="1">IF(Calc2!$K$13=0,"",VLOOKUP(Calc2!B8,Calc2!$C$4:$N$12,5,0))</f>
        <v>6</v>
      </c>
      <c r="T29" s="218" t="str">
        <f>Language!$E$80</f>
        <v>-</v>
      </c>
      <c r="U29" s="219">
        <f ca="1">IF(Calc2!$K$13=0,"",VLOOKUP(Calc2!B8,Calc2!$C$4:$N$12,6,0))</f>
        <v>8</v>
      </c>
      <c r="V29" s="215">
        <f ca="1">IF(Calc2!$K$13=0,"",VLOOKUP(Calc2!B8,Calc2!$C$4:$N$12,7,0))</f>
        <v>-2</v>
      </c>
      <c r="W29" s="220">
        <f ca="1">IF(Calc2!$K$13=0,"",VLOOKUP(Calc2!B8,Calc2!$C$4:$N$12,8,0))</f>
        <v>3</v>
      </c>
      <c r="X29" s="221" t="str">
        <f ca="1">IFERROR(VLOOKUP($N29&amp;X$24,Calc2!$Z$64:$AB$207,3,0),"")</f>
        <v>1-4</v>
      </c>
      <c r="Y29" s="401" t="str">
        <f ca="1">IFERROR(VLOOKUP($N29&amp;Y$24,Calc2!$Z$64:$AB$207,3,0),"")</f>
        <v>1-2</v>
      </c>
      <c r="Z29" s="196" t="str">
        <f ca="1">IFERROR(VLOOKUP($N29&amp;Z$24,Calc2!$Z$64:$AB$207,3,0),"")</f>
        <v/>
      </c>
      <c r="AA29" s="196" t="str">
        <f ca="1">IFERROR(VLOOKUP($N29&amp;AA$24,Calc2!$Z$64:$AB$207,3,0),"")</f>
        <v>4-2</v>
      </c>
      <c r="AB29" s="222"/>
      <c r="AC29" s="216" t="str">
        <f ca="1">IFERROR(VLOOKUP($N29&amp;AC$24,Calc2!$Z$64:$AB$207,3,0),"")</f>
        <v/>
      </c>
      <c r="AD29" s="216" t="str">
        <f ca="1">IFERROR(VLOOKUP($N29&amp;AD$24,Calc2!$Z$64:$AB$207,3,0),"")</f>
        <v/>
      </c>
      <c r="AE29" s="216" t="str">
        <f ca="1">IFERROR(VLOOKUP($N29&amp;AE$24,Calc2!$Z$64:$AB$207,3,0),"")</f>
        <v/>
      </c>
      <c r="AF29" s="223" t="str">
        <f ca="1">IFERROR(VLOOKUP($N29&amp;AF$24,Calc2!$Z$64:$AB$207,3,0),"")</f>
        <v/>
      </c>
      <c r="AG29" s="224" t="str">
        <f t="shared" ca="1" si="3"/>
        <v>Borussia Heine</v>
      </c>
      <c r="AJ29" s="404" t="s">
        <v>215</v>
      </c>
      <c r="AK29" s="406" t="str">
        <f>IF(Planning!$C39="","",Planning!$C39)</f>
        <v>FC Grönlingen</v>
      </c>
      <c r="AL29" s="415"/>
    </row>
    <row r="30" spans="2:38" ht="24" customHeight="1" x14ac:dyDescent="0.2">
      <c r="B30" s="432">
        <f ca="1">Planning!$E24</f>
        <v>19</v>
      </c>
      <c r="C30" s="584">
        <f ca="1">Planning!$F24</f>
        <v>0.47222222222222221</v>
      </c>
      <c r="D30" s="585">
        <f ca="1">Planning!$G24</f>
        <v>3</v>
      </c>
      <c r="E30" s="585" t="str">
        <f ca="1">Planning!$H24</f>
        <v>A</v>
      </c>
      <c r="F30" s="438" t="str">
        <f ca="1">Planning!$L24</f>
        <v>VFB Essenheim</v>
      </c>
      <c r="G30" s="218" t="s">
        <v>5</v>
      </c>
      <c r="H30" s="441" t="str">
        <f ca="1">Planning!$N24</f>
        <v>Raslo Winners</v>
      </c>
      <c r="I30" s="435">
        <v>0</v>
      </c>
      <c r="J30" s="427" t="str">
        <f>Language!$E$80</f>
        <v>-</v>
      </c>
      <c r="K30" s="428">
        <v>3</v>
      </c>
      <c r="M30" s="373">
        <f ca="1">IF(Calc2!$K$13=0,"",IF(VLOOKUP(Calc2!B9,Calc2!$C$4:$E$12,3,0)=MAX(M$25:M29),VLOOKUP(Calc2!B9,Calc2!$C$4:$E$12,3,0),Calc2!B9))</f>
        <v>6</v>
      </c>
      <c r="N30" s="374" t="str">
        <f ca="1">IF(Calc1!$F$14&lt;3,"",IF(Calc2!$K$13=0,Calc2!$Q69,VLOOKUP(Calc2!B9,Calc2!$C$4:$N$12,4,0)))</f>
        <v>FC Grönlingen</v>
      </c>
      <c r="O30" s="215">
        <f ca="1">IF(Calc2!$K$13=0,"",VLOOKUP(Calc2!B9,Calc2!$C$4:$N$12,9,0))</f>
        <v>3</v>
      </c>
      <c r="P30" s="196">
        <f ca="1">IF(Calc2!$K$13=0,"",VLOOKUP(Calc2!B9,Calc2!$C$4:$N$12,10,0))</f>
        <v>0</v>
      </c>
      <c r="Q30" s="196">
        <f ca="1">IF(Calc2!$K$13=0,"",VLOOKUP(Calc2!B9,Calc2!$C$4:$N$12,11,0))</f>
        <v>1</v>
      </c>
      <c r="R30" s="216">
        <f ca="1">IF(Calc2!$K$13=0,"",VLOOKUP(Calc2!B9,Calc2!$C$4:$N$12,12,0))</f>
        <v>2</v>
      </c>
      <c r="S30" s="217">
        <f ca="1">IF(Calc2!$K$13=0,"",VLOOKUP(Calc2!B9,Calc2!$C$4:$N$12,5,0))</f>
        <v>3</v>
      </c>
      <c r="T30" s="218" t="str">
        <f>Language!$E$80</f>
        <v>-</v>
      </c>
      <c r="U30" s="219">
        <f ca="1">IF(Calc2!$K$13=0,"",VLOOKUP(Calc2!B9,Calc2!$C$4:$N$12,6,0))</f>
        <v>8</v>
      </c>
      <c r="V30" s="215">
        <f ca="1">IF(Calc2!$K$13=0,"",VLOOKUP(Calc2!B9,Calc2!$C$4:$N$12,7,0))</f>
        <v>-5</v>
      </c>
      <c r="W30" s="220">
        <f ca="1">IF(Calc2!$K$13=0,"",VLOOKUP(Calc2!B9,Calc2!$C$4:$N$12,8,0))</f>
        <v>1</v>
      </c>
      <c r="X30" s="221" t="str">
        <f ca="1">IFERROR(VLOOKUP($N30&amp;X$24,Calc2!$Z$64:$AB$207,3,0),"")</f>
        <v>2-5</v>
      </c>
      <c r="Y30" s="401" t="str">
        <f ca="1">IFERROR(VLOOKUP($N30&amp;Y$24,Calc2!$Z$64:$AB$207,3,0),"")</f>
        <v/>
      </c>
      <c r="Z30" s="196" t="str">
        <f ca="1">IFERROR(VLOOKUP($N30&amp;Z$24,Calc2!$Z$64:$AB$207,3,0),"")</f>
        <v>0-2</v>
      </c>
      <c r="AA30" s="196" t="str">
        <f ca="1">IFERROR(VLOOKUP($N30&amp;AA$24,Calc2!$Z$64:$AB$207,3,0),"")</f>
        <v/>
      </c>
      <c r="AB30" s="216" t="str">
        <f ca="1">IFERROR(VLOOKUP($N30&amp;AB$24,Calc2!$Z$64:$AB$207,3,0),"")</f>
        <v/>
      </c>
      <c r="AC30" s="547"/>
      <c r="AD30" s="216" t="str">
        <f ca="1">IFERROR(VLOOKUP($N30&amp;AD$24,Calc2!$Z$64:$AB$207,3,0),"")</f>
        <v>1-1</v>
      </c>
      <c r="AE30" s="216" t="str">
        <f ca="1">IFERROR(VLOOKUP($N30&amp;AE$24,Calc2!$Z$64:$AB$207,3,0),"")</f>
        <v/>
      </c>
      <c r="AF30" s="223" t="str">
        <f ca="1">IFERROR(VLOOKUP($N30&amp;AF$24,Calc2!$Z$64:$AB$207,3,0),"")</f>
        <v/>
      </c>
      <c r="AG30" s="224" t="str">
        <f t="shared" ref="AG30:AG32" ca="1" si="4">N30</f>
        <v>FC Grönlingen</v>
      </c>
      <c r="AJ30" s="404" t="s">
        <v>217</v>
      </c>
      <c r="AK30" s="406" t="str">
        <f>IF(Planning!$C41="","",Planning!$C41)</f>
        <v>AC Roma</v>
      </c>
      <c r="AL30" s="415"/>
    </row>
    <row r="31" spans="2:38" ht="24" customHeight="1" x14ac:dyDescent="0.2">
      <c r="B31" s="432">
        <f ca="1">Planning!$E25</f>
        <v>20</v>
      </c>
      <c r="C31" s="584">
        <f ca="1">Planning!$F25</f>
        <v>0.47222222222222221</v>
      </c>
      <c r="D31" s="585">
        <f ca="1">Planning!$G25</f>
        <v>4</v>
      </c>
      <c r="E31" s="585" t="str">
        <f ca="1">Planning!$H25</f>
        <v>B</v>
      </c>
      <c r="F31" s="438" t="str">
        <f ca="1">Planning!$L25</f>
        <v>FC Grönlingen</v>
      </c>
      <c r="G31" s="218" t="s">
        <v>5</v>
      </c>
      <c r="H31" s="441" t="str">
        <f ca="1">Planning!$N25</f>
        <v>VFL Ronsdorf</v>
      </c>
      <c r="I31" s="435">
        <v>1</v>
      </c>
      <c r="J31" s="427" t="str">
        <f>Language!$E$80</f>
        <v>-</v>
      </c>
      <c r="K31" s="428">
        <v>1</v>
      </c>
      <c r="M31" s="373">
        <f ca="1">IF(Calc2!$K$13=0,"",IF(VLOOKUP(Calc2!B10,Calc2!$C$4:$E$12,3,0)=MAX(M$25:M30),VLOOKUP(Calc2!B10,Calc2!$C$4:$E$12,3,0),Calc2!B10))</f>
        <v>7</v>
      </c>
      <c r="N31" s="374" t="str">
        <f ca="1">IF(Calc1!$F$14&lt;3,"",IF(Calc2!$K$13=0,Calc2!$Q70,VLOOKUP(Calc2!B10,Calc2!$C$4:$N$12,4,0)))</f>
        <v>VFL Ronsdorf</v>
      </c>
      <c r="O31" s="215">
        <f ca="1">IF(Calc2!$K$13=0,"",VLOOKUP(Calc2!B10,Calc2!$C$4:$N$12,9,0))</f>
        <v>3</v>
      </c>
      <c r="P31" s="196">
        <f ca="1">IF(Calc2!$K$13=0,"",VLOOKUP(Calc2!B10,Calc2!$C$4:$N$12,10,0))</f>
        <v>0</v>
      </c>
      <c r="Q31" s="196">
        <f ca="1">IF(Calc2!$K$13=0,"",VLOOKUP(Calc2!B10,Calc2!$C$4:$N$12,11,0))</f>
        <v>1</v>
      </c>
      <c r="R31" s="216">
        <f ca="1">IF(Calc2!$K$13=0,"",VLOOKUP(Calc2!B10,Calc2!$C$4:$N$12,12,0))</f>
        <v>2</v>
      </c>
      <c r="S31" s="217">
        <f ca="1">IF(Calc2!$K$13=0,"",VLOOKUP(Calc2!B10,Calc2!$C$4:$N$12,5,0))</f>
        <v>5</v>
      </c>
      <c r="T31" s="218" t="str">
        <f>Language!$E$80</f>
        <v>-</v>
      </c>
      <c r="U31" s="219">
        <f ca="1">IF(Calc2!$K$13=0,"",VLOOKUP(Calc2!B10,Calc2!$C$4:$N$12,6,0))</f>
        <v>12</v>
      </c>
      <c r="V31" s="215">
        <f ca="1">IF(Calc2!$K$13=0,"",VLOOKUP(Calc2!B10,Calc2!$C$4:$N$12,7,0))</f>
        <v>-7</v>
      </c>
      <c r="W31" s="220">
        <f ca="1">IF(Calc2!$K$13=0,"",VLOOKUP(Calc2!B10,Calc2!$C$4:$N$12,8,0))</f>
        <v>1</v>
      </c>
      <c r="X31" s="221" t="str">
        <f ca="1">IFERROR(VLOOKUP($N31&amp;X$24,Calc2!$Z$64:$AB$207,3,0),"")</f>
        <v/>
      </c>
      <c r="Y31" s="401" t="str">
        <f ca="1">IFERROR(VLOOKUP($N31&amp;Y$24,Calc2!$Z$64:$AB$207,3,0),"")</f>
        <v/>
      </c>
      <c r="Z31" s="196" t="str">
        <f ca="1">IFERROR(VLOOKUP($N31&amp;Z$24,Calc2!$Z$64:$AB$207,3,0),"")</f>
        <v>2-5</v>
      </c>
      <c r="AA31" s="196" t="str">
        <f ca="1">IFERROR(VLOOKUP($N31&amp;AA$24,Calc2!$Z$64:$AB$207,3,0),"")</f>
        <v>2-6</v>
      </c>
      <c r="AB31" s="216" t="str">
        <f ca="1">IFERROR(VLOOKUP($N31&amp;AB$24,Calc2!$Z$64:$AB$207,3,0),"")</f>
        <v/>
      </c>
      <c r="AC31" s="216" t="str">
        <f ca="1">IFERROR(VLOOKUP($N31&amp;AC$24,Calc2!$Z$64:$AB$207,3,0),"")</f>
        <v>1-1</v>
      </c>
      <c r="AD31" s="547"/>
      <c r="AE31" s="216" t="str">
        <f ca="1">IFERROR(VLOOKUP($N31&amp;AE$24,Calc2!$Z$64:$AB$207,3,0),"")</f>
        <v/>
      </c>
      <c r="AF31" s="223" t="str">
        <f ca="1">IFERROR(VLOOKUP($N31&amp;AF$24,Calc2!$Z$64:$AB$207,3,0),"")</f>
        <v/>
      </c>
      <c r="AG31" s="224" t="str">
        <f t="shared" ca="1" si="4"/>
        <v>VFL Ronsdorf</v>
      </c>
      <c r="AJ31" s="404" t="s">
        <v>334</v>
      </c>
      <c r="AK31" s="406" t="str">
        <f>IF(Planning!$C43="","",Planning!$C43)</f>
        <v>VFL Ronsdorf</v>
      </c>
      <c r="AL31" s="415"/>
    </row>
    <row r="32" spans="2:38" ht="24" customHeight="1" x14ac:dyDescent="0.2">
      <c r="B32" s="432">
        <f ca="1">Planning!$E26</f>
        <v>21</v>
      </c>
      <c r="C32" s="584">
        <f ca="1">Planning!$F26</f>
        <v>0.49652777777777779</v>
      </c>
      <c r="D32" s="585">
        <f ca="1">Planning!$G26</f>
        <v>1</v>
      </c>
      <c r="E32" s="585" t="str">
        <f ca="1">Planning!$H26</f>
        <v>A</v>
      </c>
      <c r="F32" s="438" t="str">
        <f ca="1">Planning!$L26</f>
        <v>Knock Out Rangers</v>
      </c>
      <c r="G32" s="218" t="s">
        <v>5</v>
      </c>
      <c r="H32" s="441" t="str">
        <f ca="1">Planning!$N26</f>
        <v>Maibach 1822 eV</v>
      </c>
      <c r="I32" s="435">
        <v>1</v>
      </c>
      <c r="J32" s="427" t="str">
        <f>Language!$E$80</f>
        <v>-</v>
      </c>
      <c r="K32" s="428">
        <v>1</v>
      </c>
      <c r="M32" s="373">
        <f ca="1">IF(Calc2!$K$13=0,"",IF(VLOOKUP(Calc2!B11,Calc2!$C$4:$E$12,3,0)=MAX(M$25:M31),VLOOKUP(Calc2!B11,Calc2!$C$4:$E$12,3,0),Calc2!B11))</f>
        <v>8</v>
      </c>
      <c r="N32" s="374" t="str">
        <f ca="1">IF(Calc1!$F$14&lt;3,"",IF(Calc2!$K$13=0,Calc2!$Q71,VLOOKUP(Calc2!B11,Calc2!$C$4:$N$12,4,0)))</f>
        <v>SSV Wildbach</v>
      </c>
      <c r="O32" s="215">
        <f ca="1">IF(Calc2!$K$13=0,"",VLOOKUP(Calc2!B11,Calc2!$C$4:$N$12,9,0))</f>
        <v>2</v>
      </c>
      <c r="P32" s="196">
        <f ca="1">IF(Calc2!$K$13=0,"",VLOOKUP(Calc2!B11,Calc2!$C$4:$N$12,10,0))</f>
        <v>0</v>
      </c>
      <c r="Q32" s="196">
        <f ca="1">IF(Calc2!$K$13=0,"",VLOOKUP(Calc2!B11,Calc2!$C$4:$N$12,11,0))</f>
        <v>0</v>
      </c>
      <c r="R32" s="216">
        <f ca="1">IF(Calc2!$K$13=0,"",VLOOKUP(Calc2!B11,Calc2!$C$4:$N$12,12,0))</f>
        <v>2</v>
      </c>
      <c r="S32" s="217">
        <f ca="1">IF(Calc2!$K$13=0,"",VLOOKUP(Calc2!B11,Calc2!$C$4:$N$12,5,0))</f>
        <v>2</v>
      </c>
      <c r="T32" s="218" t="str">
        <f>Language!$E$80</f>
        <v>-</v>
      </c>
      <c r="U32" s="219">
        <f ca="1">IF(Calc2!$K$13=0,"",VLOOKUP(Calc2!B11,Calc2!$C$4:$N$12,6,0))</f>
        <v>12</v>
      </c>
      <c r="V32" s="215">
        <f ca="1">IF(Calc2!$K$13=0,"",VLOOKUP(Calc2!B11,Calc2!$C$4:$N$12,7,0))</f>
        <v>-10</v>
      </c>
      <c r="W32" s="220">
        <f ca="1">IF(Calc2!$K$13=0,"",VLOOKUP(Calc2!B11,Calc2!$C$4:$N$12,8,0))</f>
        <v>0</v>
      </c>
      <c r="X32" s="221" t="str">
        <f ca="1">IFERROR(VLOOKUP($N32&amp;X$24,Calc2!$Z$64:$AB$207,3,0),"")</f>
        <v>2-7</v>
      </c>
      <c r="Y32" s="401" t="str">
        <f ca="1">IFERROR(VLOOKUP($N32&amp;Y$24,Calc2!$Z$64:$AB$207,3,0),"")</f>
        <v>0-5</v>
      </c>
      <c r="Z32" s="196" t="str">
        <f ca="1">IFERROR(VLOOKUP($N32&amp;Z$24,Calc2!$Z$64:$AB$207,3,0),"")</f>
        <v/>
      </c>
      <c r="AA32" s="196" t="str">
        <f ca="1">IFERROR(VLOOKUP($N32&amp;AA$24,Calc2!$Z$64:$AB$207,3,0),"")</f>
        <v/>
      </c>
      <c r="AB32" s="216" t="str">
        <f ca="1">IFERROR(VLOOKUP($N32&amp;AB$24,Calc2!$Z$64:$AB$207,3,0),"")</f>
        <v/>
      </c>
      <c r="AC32" s="216" t="str">
        <f ca="1">IFERROR(VLOOKUP($N32&amp;AC$24,Calc2!$Z$64:$AB$207,3,0),"")</f>
        <v/>
      </c>
      <c r="AD32" s="216" t="str">
        <f ca="1">IFERROR(VLOOKUP($N32&amp;AD$24,Calc2!$Z$64:$AB$207,3,0),"")</f>
        <v/>
      </c>
      <c r="AE32" s="547"/>
      <c r="AF32" s="223" t="str">
        <f ca="1">IFERROR(VLOOKUP($N32&amp;AF$24,Calc2!$Z$64:$AB$207,3,0),"")</f>
        <v/>
      </c>
      <c r="AG32" s="224" t="str">
        <f t="shared" ca="1" si="4"/>
        <v>SSV Wildbach</v>
      </c>
      <c r="AJ32" s="404" t="s">
        <v>335</v>
      </c>
      <c r="AK32" s="406" t="str">
        <f>IF(Planning!$C45="","",Planning!$C45)</f>
        <v>Borussia Heine</v>
      </c>
      <c r="AL32" s="415"/>
    </row>
    <row r="33" spans="2:38" ht="24" customHeight="1" thickBot="1" x14ac:dyDescent="0.25">
      <c r="B33" s="432">
        <f ca="1">Planning!$E27</f>
        <v>22</v>
      </c>
      <c r="C33" s="584">
        <f ca="1">Planning!$F27</f>
        <v>0.49652777777777779</v>
      </c>
      <c r="D33" s="585">
        <f ca="1">Planning!$G27</f>
        <v>2</v>
      </c>
      <c r="E33" s="585" t="str">
        <f ca="1">Planning!$H27</f>
        <v>B</v>
      </c>
      <c r="F33" s="438" t="str">
        <f ca="1">Planning!$L27</f>
        <v>Borussia Heine</v>
      </c>
      <c r="G33" s="218" t="s">
        <v>5</v>
      </c>
      <c r="H33" s="441" t="str">
        <f ca="1">Planning!$N27</f>
        <v>Manchester City</v>
      </c>
      <c r="I33" s="435">
        <v>1</v>
      </c>
      <c r="J33" s="427" t="str">
        <f>Language!$E$80</f>
        <v>-</v>
      </c>
      <c r="K33" s="428">
        <v>4</v>
      </c>
      <c r="M33" s="375">
        <f ca="1">IF(Calc2!$K$13=0,"",IF(VLOOKUP(Calc2!B12,Calc2!$C$4:$E$12,3,0)=MAX(M$25:M32),VLOOKUP(Calc2!B12,Calc2!$C$4:$E$12,3,0),Calc2!B12))</f>
        <v>9</v>
      </c>
      <c r="N33" s="376" t="str">
        <f ca="1">IF(Calc1!$F$14&lt;3,"",IF(Calc2!$K$13=0,Calc2!$Q72,VLOOKUP(Calc2!B12,Calc2!$C$4:$N$12,4,0)))</f>
        <v/>
      </c>
      <c r="O33" s="225">
        <f ca="1">IF(Calc2!$K$13=0,"",VLOOKUP(Calc2!B12,Calc2!$C$4:$N$12,9,0))</f>
        <v>0</v>
      </c>
      <c r="P33" s="226">
        <f ca="1">IF(Calc2!$K$13=0,"",VLOOKUP(Calc2!B12,Calc2!$C$4:$N$12,10,0))</f>
        <v>0</v>
      </c>
      <c r="Q33" s="226">
        <f ca="1">IF(Calc2!$K$13=0,"",VLOOKUP(Calc2!B12,Calc2!$C$4:$N$12,11,0))</f>
        <v>0</v>
      </c>
      <c r="R33" s="227">
        <f ca="1">IF(Calc2!$K$13=0,"",VLOOKUP(Calc2!B12,Calc2!$C$4:$N$12,12,0))</f>
        <v>0</v>
      </c>
      <c r="S33" s="228">
        <f ca="1">IF(Calc2!$K$13=0,"",VLOOKUP(Calc2!B12,Calc2!$C$4:$N$12,5,0))</f>
        <v>0</v>
      </c>
      <c r="T33" s="229" t="str">
        <f>Language!$E$80</f>
        <v>-</v>
      </c>
      <c r="U33" s="230">
        <f ca="1">IF(Calc2!$K$13=0,"",VLOOKUP(Calc2!B12,Calc2!$C$4:$N$12,6,0))</f>
        <v>0</v>
      </c>
      <c r="V33" s="225">
        <f ca="1">IF(Calc2!$K$13=0,"",VLOOKUP(Calc2!B12,Calc2!$C$4:$N$12,7,0))</f>
        <v>0</v>
      </c>
      <c r="W33" s="231">
        <f ca="1">IF(Calc2!$K$13=0,"",VLOOKUP(Calc2!B12,Calc2!$C$4:$N$12,8,0))</f>
        <v>0</v>
      </c>
      <c r="X33" s="232" t="str">
        <f ca="1">IFERROR(VLOOKUP($N33&amp;X$24,Calc2!$Z$64:$AB$207,3,0),"")</f>
        <v/>
      </c>
      <c r="Y33" s="226" t="str">
        <f ca="1">IFERROR(VLOOKUP($N33&amp;Y$24,Calc2!$Z$64:$AB$207,3,0),"")</f>
        <v/>
      </c>
      <c r="Z33" s="226" t="str">
        <f ca="1">IFERROR(VLOOKUP($N33&amp;Z$24,Calc2!$Z$64:$AB$207,3,0),"")</f>
        <v/>
      </c>
      <c r="AA33" s="226" t="str">
        <f ca="1">IFERROR(VLOOKUP($N33&amp;AA$24,Calc2!$Z$64:$AB$207,3,0),"")</f>
        <v/>
      </c>
      <c r="AB33" s="226" t="str">
        <f ca="1">IFERROR(VLOOKUP($N33&amp;AB$24,Calc2!$Z$64:$AB$207,3,0),"")</f>
        <v/>
      </c>
      <c r="AC33" s="227" t="str">
        <f ca="1">IFERROR(VLOOKUP($N33&amp;AC$24,Calc2!$Z$64:$AB$207,3,0),"")</f>
        <v/>
      </c>
      <c r="AD33" s="227" t="str">
        <f ca="1">IFERROR(VLOOKUP($N33&amp;AD$24,Calc2!$Z$64:$AB$207,3,0),"")</f>
        <v/>
      </c>
      <c r="AE33" s="227" t="str">
        <f ca="1">IFERROR(VLOOKUP($N33&amp;AE$24,Calc2!$Z$64:$AB$207,3,0),"")</f>
        <v/>
      </c>
      <c r="AF33" s="233"/>
      <c r="AG33" s="296" t="str">
        <f t="shared" ref="AG33" ca="1" si="5">N33</f>
        <v/>
      </c>
      <c r="AJ33" s="405" t="s">
        <v>336</v>
      </c>
      <c r="AK33" s="407" t="str">
        <f>IF(Planning!$C47="","",Planning!$C47)</f>
        <v/>
      </c>
      <c r="AL33" s="416"/>
    </row>
    <row r="34" spans="2:38" ht="24" customHeight="1" thickTop="1" x14ac:dyDescent="0.2">
      <c r="B34" s="432">
        <f ca="1">Planning!$E28</f>
        <v>23</v>
      </c>
      <c r="C34" s="584">
        <f ca="1">Planning!$F28</f>
        <v>0.49652777777777779</v>
      </c>
      <c r="D34" s="585">
        <f ca="1">Planning!$G28</f>
        <v>3</v>
      </c>
      <c r="E34" s="585" t="str">
        <f ca="1">Planning!$H28</f>
        <v>A</v>
      </c>
      <c r="F34" s="438" t="str">
        <f ca="1">Planning!$L28</f>
        <v>Eintracht Frankfurt</v>
      </c>
      <c r="G34" s="218" t="s">
        <v>5</v>
      </c>
      <c r="H34" s="441" t="str">
        <f ca="1">Planning!$N28</f>
        <v>FC Barcelona</v>
      </c>
      <c r="I34" s="435"/>
      <c r="J34" s="427" t="str">
        <f>Language!$E$80</f>
        <v>-</v>
      </c>
      <c r="K34" s="428"/>
      <c r="M34" s="276"/>
      <c r="N34" s="276"/>
      <c r="O34" s="276"/>
      <c r="P34" s="276"/>
      <c r="Q34" s="276"/>
      <c r="R34" s="276"/>
      <c r="S34" s="276"/>
      <c r="T34" s="276"/>
      <c r="U34" s="276"/>
      <c r="V34" s="276"/>
      <c r="W34" s="276"/>
      <c r="X34" s="277"/>
      <c r="Y34" s="277"/>
      <c r="Z34" s="277"/>
      <c r="AA34" s="277"/>
      <c r="AB34" s="277"/>
      <c r="AC34" s="277"/>
      <c r="AD34" s="277"/>
      <c r="AE34" s="277"/>
      <c r="AF34" s="277"/>
      <c r="AG34" s="278"/>
    </row>
    <row r="35" spans="2:38" ht="24" customHeight="1" x14ac:dyDescent="0.2">
      <c r="B35" s="432">
        <f ca="1">Planning!$E29</f>
        <v>24</v>
      </c>
      <c r="C35" s="584">
        <f ca="1">Planning!$F29</f>
        <v>0.49652777777777779</v>
      </c>
      <c r="D35" s="585">
        <f ca="1">Planning!$G29</f>
        <v>4</v>
      </c>
      <c r="E35" s="585" t="str">
        <f ca="1">Planning!$H29</f>
        <v>B</v>
      </c>
      <c r="F35" s="438" t="str">
        <f ca="1">Planning!$L29</f>
        <v>SSV Wildbach</v>
      </c>
      <c r="G35" s="218" t="s">
        <v>5</v>
      </c>
      <c r="H35" s="441" t="str">
        <f ca="1">Planning!$N29</f>
        <v>Inter Mailand</v>
      </c>
      <c r="I35" s="435"/>
      <c r="J35" s="427" t="str">
        <f>Language!$E$80</f>
        <v>-</v>
      </c>
      <c r="K35" s="428"/>
      <c r="M35" s="300"/>
      <c r="N35" s="300"/>
      <c r="O35" s="279"/>
      <c r="P35" s="279"/>
      <c r="Q35" s="279"/>
      <c r="R35" s="279"/>
      <c r="S35" s="299"/>
      <c r="T35" s="299"/>
      <c r="U35" s="299"/>
      <c r="V35" s="279"/>
      <c r="W35" s="279"/>
      <c r="X35" s="280"/>
      <c r="Y35" s="280"/>
      <c r="Z35" s="280"/>
      <c r="AA35" s="280"/>
      <c r="AB35" s="280"/>
      <c r="AC35" s="280"/>
      <c r="AD35" s="280"/>
      <c r="AE35" s="280"/>
      <c r="AF35" s="280"/>
      <c r="AG35" s="278"/>
    </row>
    <row r="36" spans="2:38" ht="24" customHeight="1" x14ac:dyDescent="0.2">
      <c r="B36" s="432">
        <f ca="1">Planning!$E30</f>
        <v>25</v>
      </c>
      <c r="C36" s="584">
        <f ca="1">Planning!$F30</f>
        <v>0.52083333333333337</v>
      </c>
      <c r="D36" s="585">
        <f ca="1">Planning!$G30</f>
        <v>1</v>
      </c>
      <c r="E36" s="585" t="str">
        <f ca="1">Planning!$H30</f>
        <v>A</v>
      </c>
      <c r="F36" s="438" t="str">
        <f ca="1">Planning!$L30</f>
        <v>VFB Essenheim</v>
      </c>
      <c r="G36" s="218" t="s">
        <v>5</v>
      </c>
      <c r="H36" s="441" t="str">
        <f ca="1">Planning!$N30</f>
        <v>1. FC Riedwald</v>
      </c>
      <c r="I36" s="435"/>
      <c r="J36" s="427" t="str">
        <f>Language!$E$80</f>
        <v>-</v>
      </c>
      <c r="K36" s="428"/>
      <c r="M36" s="706" t="str">
        <f>Language!$E$40</f>
        <v>End of preliminary round:</v>
      </c>
      <c r="N36" s="706"/>
      <c r="O36" s="706"/>
      <c r="P36" s="706"/>
      <c r="Q36" s="706"/>
      <c r="R36" s="706"/>
      <c r="S36" s="706"/>
      <c r="T36" s="706"/>
      <c r="U36" s="706"/>
      <c r="V36" s="706"/>
      <c r="W36" s="705">
        <f ca="1">Planning!$R$13</f>
        <v>0.71180555555555558</v>
      </c>
      <c r="X36" s="705"/>
      <c r="Y36" s="705"/>
      <c r="Z36" s="705"/>
      <c r="AA36" s="705"/>
      <c r="AB36" s="705"/>
      <c r="AC36" s="705"/>
      <c r="AD36" s="705"/>
      <c r="AE36" s="705"/>
      <c r="AF36" s="705"/>
      <c r="AG36" s="705"/>
    </row>
    <row r="37" spans="2:38" ht="24" customHeight="1" x14ac:dyDescent="0.2">
      <c r="B37" s="432">
        <f ca="1">Planning!$E31</f>
        <v>26</v>
      </c>
      <c r="C37" s="584">
        <f ca="1">Planning!$F31</f>
        <v>0.52083333333333337</v>
      </c>
      <c r="D37" s="585">
        <f ca="1">Planning!$G31</f>
        <v>2</v>
      </c>
      <c r="E37" s="585" t="str">
        <f ca="1">Planning!$H31</f>
        <v>B</v>
      </c>
      <c r="F37" s="438" t="str">
        <f ca="1">Planning!$L31</f>
        <v>FC Grönlingen</v>
      </c>
      <c r="G37" s="218" t="s">
        <v>5</v>
      </c>
      <c r="H37" s="441" t="str">
        <f ca="1">Planning!$N31</f>
        <v>Mainz 05</v>
      </c>
      <c r="I37" s="435"/>
      <c r="J37" s="427" t="str">
        <f>Language!$E$80</f>
        <v>-</v>
      </c>
      <c r="K37" s="428"/>
      <c r="M37" s="276"/>
      <c r="N37" s="281"/>
      <c r="O37" s="282"/>
      <c r="P37" s="282"/>
      <c r="Q37" s="282"/>
      <c r="R37" s="282"/>
      <c r="S37" s="283"/>
      <c r="T37" s="282"/>
      <c r="U37" s="281"/>
      <c r="V37" s="282"/>
      <c r="W37" s="284"/>
      <c r="X37" s="282"/>
      <c r="Y37" s="282"/>
      <c r="Z37" s="282"/>
      <c r="AA37" s="282"/>
      <c r="AB37" s="282"/>
      <c r="AC37" s="282"/>
      <c r="AD37" s="282"/>
      <c r="AE37" s="282"/>
      <c r="AF37" s="282"/>
      <c r="AG37" s="281"/>
    </row>
    <row r="38" spans="2:38" ht="24" customHeight="1" x14ac:dyDescent="0.2">
      <c r="B38" s="432">
        <f ca="1">Planning!$E32</f>
        <v>27</v>
      </c>
      <c r="C38" s="584">
        <f ca="1">Planning!$F32</f>
        <v>0.52083333333333337</v>
      </c>
      <c r="D38" s="585">
        <f ca="1">Planning!$G32</f>
        <v>3</v>
      </c>
      <c r="E38" s="585" t="str">
        <f ca="1">Planning!$H32</f>
        <v>A</v>
      </c>
      <c r="F38" s="438" t="str">
        <f ca="1">Planning!$L32</f>
        <v>Maibach 1822 eV</v>
      </c>
      <c r="G38" s="218" t="s">
        <v>5</v>
      </c>
      <c r="H38" s="441" t="str">
        <f ca="1">Planning!$N32</f>
        <v>Fun Kickers Oes</v>
      </c>
      <c r="I38" s="435"/>
      <c r="J38" s="427" t="str">
        <f>Language!$E$80</f>
        <v>-</v>
      </c>
      <c r="K38" s="428"/>
      <c r="M38" s="276"/>
      <c r="N38" s="281"/>
      <c r="O38" s="282"/>
      <c r="P38" s="282"/>
      <c r="Q38" s="282"/>
      <c r="R38" s="282"/>
      <c r="S38" s="283"/>
      <c r="T38" s="282"/>
      <c r="U38" s="281"/>
      <c r="V38" s="282"/>
      <c r="W38" s="284"/>
      <c r="X38" s="282"/>
      <c r="Y38" s="282"/>
      <c r="Z38" s="282"/>
      <c r="AA38" s="282"/>
      <c r="AB38" s="282"/>
      <c r="AC38" s="282"/>
      <c r="AD38" s="282"/>
      <c r="AE38" s="282"/>
      <c r="AF38" s="282"/>
      <c r="AG38" s="281"/>
    </row>
    <row r="39" spans="2:38" ht="24" customHeight="1" x14ac:dyDescent="0.2">
      <c r="B39" s="432">
        <f ca="1">Planning!$E33</f>
        <v>28</v>
      </c>
      <c r="C39" s="584">
        <f ca="1">Planning!$F33</f>
        <v>0.52083333333333337</v>
      </c>
      <c r="D39" s="585">
        <f ca="1">Planning!$G33</f>
        <v>4</v>
      </c>
      <c r="E39" s="585" t="str">
        <f ca="1">Planning!$H33</f>
        <v>B</v>
      </c>
      <c r="F39" s="438" t="str">
        <f ca="1">Planning!$L33</f>
        <v>Manchester City</v>
      </c>
      <c r="G39" s="218" t="s">
        <v>5</v>
      </c>
      <c r="H39" s="441" t="str">
        <f ca="1">Planning!$N33</f>
        <v>AC Roma</v>
      </c>
      <c r="I39" s="435"/>
      <c r="J39" s="427" t="str">
        <f>Language!$E$80</f>
        <v>-</v>
      </c>
      <c r="K39" s="428"/>
      <c r="M39" s="276"/>
      <c r="N39" s="281"/>
      <c r="O39" s="282"/>
      <c r="P39" s="282"/>
      <c r="Q39" s="282"/>
      <c r="R39" s="282"/>
      <c r="S39" s="283"/>
      <c r="T39" s="282"/>
      <c r="U39" s="281"/>
      <c r="V39" s="282"/>
      <c r="W39" s="284"/>
      <c r="X39" s="282"/>
      <c r="Y39" s="282"/>
      <c r="Z39" s="282"/>
      <c r="AA39" s="282"/>
      <c r="AB39" s="282"/>
      <c r="AC39" s="282"/>
      <c r="AD39" s="282"/>
      <c r="AE39" s="282"/>
      <c r="AF39" s="282"/>
      <c r="AG39" s="281"/>
    </row>
    <row r="40" spans="2:38" ht="24" customHeight="1" x14ac:dyDescent="0.2">
      <c r="B40" s="432">
        <f ca="1">Planning!$E34</f>
        <v>29</v>
      </c>
      <c r="C40" s="584">
        <f ca="1">Planning!$F34</f>
        <v>0.54513888888888884</v>
      </c>
      <c r="D40" s="585">
        <f ca="1">Planning!$G34</f>
        <v>1</v>
      </c>
      <c r="E40" s="585" t="str">
        <f ca="1">Planning!$H34</f>
        <v>A</v>
      </c>
      <c r="F40" s="438" t="str">
        <f ca="1">Planning!$L34</f>
        <v>Raslo Winners</v>
      </c>
      <c r="G40" s="218" t="s">
        <v>5</v>
      </c>
      <c r="H40" s="441" t="str">
        <f ca="1">Planning!$N34</f>
        <v>Eintracht Frankfurt</v>
      </c>
      <c r="I40" s="435"/>
      <c r="J40" s="427" t="str">
        <f>Language!$E$80</f>
        <v>-</v>
      </c>
      <c r="K40" s="428"/>
      <c r="M40" s="276"/>
      <c r="N40" s="281"/>
      <c r="O40" s="282"/>
      <c r="P40" s="282"/>
      <c r="Q40" s="282"/>
      <c r="R40" s="282"/>
      <c r="S40" s="283"/>
      <c r="T40" s="282"/>
      <c r="U40" s="281"/>
      <c r="V40" s="282"/>
      <c r="W40" s="284"/>
      <c r="X40" s="282"/>
      <c r="Y40" s="282"/>
      <c r="Z40" s="282"/>
      <c r="AA40" s="282"/>
      <c r="AB40" s="282"/>
      <c r="AC40" s="282"/>
      <c r="AD40" s="282"/>
      <c r="AE40" s="282"/>
      <c r="AF40" s="282"/>
      <c r="AG40" s="281"/>
    </row>
    <row r="41" spans="2:38" ht="24" customHeight="1" x14ac:dyDescent="0.2">
      <c r="B41" s="432">
        <f ca="1">Planning!$E35</f>
        <v>30</v>
      </c>
      <c r="C41" s="584">
        <f ca="1">Planning!$F35</f>
        <v>0.54513888888888884</v>
      </c>
      <c r="D41" s="585">
        <f ca="1">Planning!$G35</f>
        <v>2</v>
      </c>
      <c r="E41" s="585" t="str">
        <f ca="1">Planning!$H35</f>
        <v>B</v>
      </c>
      <c r="F41" s="438" t="str">
        <f ca="1">Planning!$L35</f>
        <v>VFL Ronsdorf</v>
      </c>
      <c r="G41" s="218" t="s">
        <v>5</v>
      </c>
      <c r="H41" s="441" t="str">
        <f ca="1">Planning!$N35</f>
        <v>SSV Wildbach</v>
      </c>
      <c r="I41" s="435"/>
      <c r="J41" s="427" t="str">
        <f>Language!$E$80</f>
        <v>-</v>
      </c>
      <c r="K41" s="428"/>
      <c r="M41" s="276"/>
      <c r="N41" s="281"/>
      <c r="O41" s="282"/>
      <c r="P41" s="282"/>
      <c r="Q41" s="282"/>
      <c r="R41" s="282"/>
      <c r="S41" s="283"/>
      <c r="T41" s="282"/>
      <c r="U41" s="281"/>
      <c r="V41" s="282"/>
      <c r="W41" s="284"/>
      <c r="X41" s="282"/>
      <c r="Y41" s="282"/>
      <c r="Z41" s="282"/>
      <c r="AA41" s="282"/>
      <c r="AB41" s="282"/>
      <c r="AC41" s="282"/>
      <c r="AD41" s="282"/>
      <c r="AE41" s="282"/>
      <c r="AF41" s="282"/>
      <c r="AG41" s="281"/>
    </row>
    <row r="42" spans="2:38" ht="24" customHeight="1" x14ac:dyDescent="0.2">
      <c r="B42" s="432">
        <f ca="1">Planning!$E36</f>
        <v>31</v>
      </c>
      <c r="C42" s="584">
        <f ca="1">Planning!$F36</f>
        <v>0.54513888888888884</v>
      </c>
      <c r="D42" s="585">
        <f ca="1">Planning!$G36</f>
        <v>3</v>
      </c>
      <c r="E42" s="585" t="str">
        <f ca="1">Planning!$H36</f>
        <v>A</v>
      </c>
      <c r="F42" s="438" t="str">
        <f ca="1">Planning!$L36</f>
        <v>FC Barcelona</v>
      </c>
      <c r="G42" s="218" t="s">
        <v>5</v>
      </c>
      <c r="H42" s="441" t="str">
        <f ca="1">Planning!$N36</f>
        <v>Knock Out Rangers</v>
      </c>
      <c r="I42" s="435"/>
      <c r="J42" s="427" t="str">
        <f>Language!$E$80</f>
        <v>-</v>
      </c>
      <c r="K42" s="428"/>
      <c r="M42" s="276"/>
      <c r="N42" s="281"/>
      <c r="O42" s="282"/>
      <c r="P42" s="282"/>
      <c r="Q42" s="282"/>
      <c r="R42" s="282"/>
      <c r="S42" s="283"/>
      <c r="T42" s="282"/>
      <c r="U42" s="281"/>
      <c r="V42" s="282"/>
      <c r="W42" s="284"/>
      <c r="X42" s="282"/>
      <c r="Y42" s="282"/>
      <c r="Z42" s="282"/>
      <c r="AA42" s="282"/>
      <c r="AB42" s="282"/>
      <c r="AC42" s="282"/>
      <c r="AD42" s="282"/>
      <c r="AE42" s="282"/>
      <c r="AF42" s="282"/>
      <c r="AG42" s="281"/>
    </row>
    <row r="43" spans="2:38" ht="24" customHeight="1" x14ac:dyDescent="0.2">
      <c r="B43" s="432">
        <f ca="1">Planning!$E37</f>
        <v>32</v>
      </c>
      <c r="C43" s="584">
        <f ca="1">Planning!$F37</f>
        <v>0.54513888888888884</v>
      </c>
      <c r="D43" s="585">
        <f ca="1">Planning!$G37</f>
        <v>4</v>
      </c>
      <c r="E43" s="585" t="str">
        <f ca="1">Planning!$H37</f>
        <v>B</v>
      </c>
      <c r="F43" s="438" t="str">
        <f ca="1">Planning!$L37</f>
        <v>Inter Mailand</v>
      </c>
      <c r="G43" s="218" t="s">
        <v>5</v>
      </c>
      <c r="H43" s="441" t="str">
        <f ca="1">Planning!$N37</f>
        <v>Borussia Heine</v>
      </c>
      <c r="I43" s="435"/>
      <c r="J43" s="427" t="str">
        <f>Language!$E$80</f>
        <v>-</v>
      </c>
      <c r="K43" s="428"/>
    </row>
    <row r="44" spans="2:38" ht="24" customHeight="1" x14ac:dyDescent="0.2">
      <c r="B44" s="432">
        <f ca="1">Planning!$E38</f>
        <v>33</v>
      </c>
      <c r="C44" s="584">
        <f ca="1">Planning!$F38</f>
        <v>0.56944444444444442</v>
      </c>
      <c r="D44" s="585">
        <f ca="1">Planning!$G38</f>
        <v>1</v>
      </c>
      <c r="E44" s="585" t="str">
        <f ca="1">Planning!$H38</f>
        <v>A</v>
      </c>
      <c r="F44" s="438" t="str">
        <f ca="1">Planning!$L38</f>
        <v>1. FC Riedwald</v>
      </c>
      <c r="G44" s="218" t="s">
        <v>5</v>
      </c>
      <c r="H44" s="441" t="str">
        <f ca="1">Planning!$N38</f>
        <v>Maibach 1822 eV</v>
      </c>
      <c r="I44" s="435"/>
      <c r="J44" s="427" t="str">
        <f>Language!$E$80</f>
        <v>-</v>
      </c>
      <c r="K44" s="428"/>
    </row>
    <row r="45" spans="2:38" ht="24" customHeight="1" x14ac:dyDescent="0.2">
      <c r="B45" s="432">
        <f ca="1">Planning!$E39</f>
        <v>34</v>
      </c>
      <c r="C45" s="584">
        <f ca="1">Planning!$F39</f>
        <v>0.56944444444444442</v>
      </c>
      <c r="D45" s="585">
        <f ca="1">Planning!$G39</f>
        <v>2</v>
      </c>
      <c r="E45" s="585" t="str">
        <f ca="1">Planning!$H39</f>
        <v>B</v>
      </c>
      <c r="F45" s="438" t="str">
        <f ca="1">Planning!$L39</f>
        <v>Mainz 05</v>
      </c>
      <c r="G45" s="218" t="s">
        <v>5</v>
      </c>
      <c r="H45" s="441" t="str">
        <f ca="1">Planning!$N39</f>
        <v>Manchester City</v>
      </c>
      <c r="I45" s="435"/>
      <c r="J45" s="427" t="str">
        <f>Language!$E$80</f>
        <v>-</v>
      </c>
      <c r="K45" s="428"/>
    </row>
    <row r="46" spans="2:38" ht="24" customHeight="1" x14ac:dyDescent="0.2">
      <c r="B46" s="432">
        <f ca="1">Planning!$E40</f>
        <v>35</v>
      </c>
      <c r="C46" s="584">
        <f ca="1">Planning!$F40</f>
        <v>0.56944444444444442</v>
      </c>
      <c r="D46" s="585">
        <f ca="1">Planning!$G40</f>
        <v>3</v>
      </c>
      <c r="E46" s="585" t="str">
        <f ca="1">Planning!$H40</f>
        <v>A</v>
      </c>
      <c r="F46" s="438" t="str">
        <f ca="1">Planning!$L40</f>
        <v>Eintracht Frankfurt</v>
      </c>
      <c r="G46" s="218" t="s">
        <v>5</v>
      </c>
      <c r="H46" s="441" t="str">
        <f ca="1">Planning!$N40</f>
        <v>VFB Essenheim</v>
      </c>
      <c r="I46" s="435"/>
      <c r="J46" s="427" t="str">
        <f>Language!$E$80</f>
        <v>-</v>
      </c>
      <c r="K46" s="428"/>
    </row>
    <row r="47" spans="2:38" ht="24" customHeight="1" x14ac:dyDescent="0.2">
      <c r="B47" s="432">
        <f ca="1">Planning!$E41</f>
        <v>36</v>
      </c>
      <c r="C47" s="584">
        <f ca="1">Planning!$F41</f>
        <v>0.56944444444444442</v>
      </c>
      <c r="D47" s="585">
        <f ca="1">Planning!$G41</f>
        <v>4</v>
      </c>
      <c r="E47" s="585" t="str">
        <f ca="1">Planning!$H41</f>
        <v>B</v>
      </c>
      <c r="F47" s="438" t="str">
        <f ca="1">Planning!$L41</f>
        <v>SSV Wildbach</v>
      </c>
      <c r="G47" s="218" t="s">
        <v>5</v>
      </c>
      <c r="H47" s="441" t="str">
        <f ca="1">Planning!$N41</f>
        <v>FC Grönlingen</v>
      </c>
      <c r="I47" s="435"/>
      <c r="J47" s="427" t="str">
        <f>Language!$E$80</f>
        <v>-</v>
      </c>
      <c r="K47" s="428"/>
    </row>
    <row r="48" spans="2:38" ht="24" customHeight="1" x14ac:dyDescent="0.2">
      <c r="B48" s="432">
        <f ca="1">Planning!$E42</f>
        <v>37</v>
      </c>
      <c r="C48" s="584">
        <f ca="1">Planning!$F42</f>
        <v>0.59375</v>
      </c>
      <c r="D48" s="585">
        <f ca="1">Planning!$G42</f>
        <v>1</v>
      </c>
      <c r="E48" s="585" t="str">
        <f ca="1">Planning!$H42</f>
        <v>A</v>
      </c>
      <c r="F48" s="438" t="str">
        <f ca="1">Planning!$L42</f>
        <v>Fun Kickers Oes</v>
      </c>
      <c r="G48" s="218" t="s">
        <v>5</v>
      </c>
      <c r="H48" s="441" t="str">
        <f ca="1">Planning!$N42</f>
        <v>FC Barcelona</v>
      </c>
      <c r="I48" s="435"/>
      <c r="J48" s="427" t="str">
        <f>Language!$E$80</f>
        <v>-</v>
      </c>
      <c r="K48" s="428"/>
    </row>
    <row r="49" spans="2:11" ht="24" customHeight="1" x14ac:dyDescent="0.2">
      <c r="B49" s="432">
        <f ca="1">Planning!$E43</f>
        <v>38</v>
      </c>
      <c r="C49" s="584">
        <f ca="1">Planning!$F43</f>
        <v>0.59375</v>
      </c>
      <c r="D49" s="585">
        <f ca="1">Planning!$G43</f>
        <v>2</v>
      </c>
      <c r="E49" s="585" t="str">
        <f ca="1">Planning!$H43</f>
        <v>B</v>
      </c>
      <c r="F49" s="438" t="str">
        <f ca="1">Planning!$L43</f>
        <v>AC Roma</v>
      </c>
      <c r="G49" s="218" t="s">
        <v>5</v>
      </c>
      <c r="H49" s="441" t="str">
        <f ca="1">Planning!$N43</f>
        <v>Inter Mailand</v>
      </c>
      <c r="I49" s="435"/>
      <c r="J49" s="427" t="str">
        <f>Language!$E$80</f>
        <v>-</v>
      </c>
      <c r="K49" s="428"/>
    </row>
    <row r="50" spans="2:11" ht="24" customHeight="1" x14ac:dyDescent="0.2">
      <c r="B50" s="432">
        <f ca="1">Planning!$E44</f>
        <v>39</v>
      </c>
      <c r="C50" s="584">
        <f ca="1">Planning!$F44</f>
        <v>0.59375</v>
      </c>
      <c r="D50" s="585">
        <f ca="1">Planning!$G44</f>
        <v>3</v>
      </c>
      <c r="E50" s="585" t="str">
        <f ca="1">Planning!$H44</f>
        <v>A</v>
      </c>
      <c r="F50" s="438" t="str">
        <f ca="1">Planning!$L44</f>
        <v>Knock Out Rangers</v>
      </c>
      <c r="G50" s="218" t="s">
        <v>5</v>
      </c>
      <c r="H50" s="441" t="str">
        <f ca="1">Planning!$N44</f>
        <v>Raslo Winners</v>
      </c>
      <c r="I50" s="435"/>
      <c r="J50" s="427" t="str">
        <f>Language!$E$80</f>
        <v>-</v>
      </c>
      <c r="K50" s="428"/>
    </row>
    <row r="51" spans="2:11" ht="24" customHeight="1" x14ac:dyDescent="0.2">
      <c r="B51" s="432">
        <f ca="1">Planning!$E45</f>
        <v>40</v>
      </c>
      <c r="C51" s="584">
        <f ca="1">Planning!$F45</f>
        <v>0.59375</v>
      </c>
      <c r="D51" s="585">
        <f ca="1">Planning!$G45</f>
        <v>4</v>
      </c>
      <c r="E51" s="585" t="str">
        <f ca="1">Planning!$H45</f>
        <v>B</v>
      </c>
      <c r="F51" s="438" t="str">
        <f ca="1">Planning!$L45</f>
        <v>Borussia Heine</v>
      </c>
      <c r="G51" s="218" t="s">
        <v>5</v>
      </c>
      <c r="H51" s="441" t="str">
        <f ca="1">Planning!$N45</f>
        <v>VFL Ronsdorf</v>
      </c>
      <c r="I51" s="435"/>
      <c r="J51" s="427" t="str">
        <f>Language!$E$80</f>
        <v>-</v>
      </c>
      <c r="K51" s="428"/>
    </row>
    <row r="52" spans="2:11" ht="24" customHeight="1" x14ac:dyDescent="0.2">
      <c r="B52" s="432">
        <f ca="1">Planning!$E46</f>
        <v>41</v>
      </c>
      <c r="C52" s="584">
        <f ca="1">Planning!$F46</f>
        <v>0.61805555555555558</v>
      </c>
      <c r="D52" s="585">
        <f ca="1">Planning!$G46</f>
        <v>1</v>
      </c>
      <c r="E52" s="585" t="str">
        <f ca="1">Planning!$H46</f>
        <v>A</v>
      </c>
      <c r="F52" s="438" t="str">
        <f ca="1">Planning!$L46</f>
        <v>Eintracht Frankfurt</v>
      </c>
      <c r="G52" s="218" t="s">
        <v>5</v>
      </c>
      <c r="H52" s="441" t="str">
        <f ca="1">Planning!$N46</f>
        <v>1. FC Riedwald</v>
      </c>
      <c r="I52" s="435"/>
      <c r="J52" s="427" t="str">
        <f>Language!$E$80</f>
        <v>-</v>
      </c>
      <c r="K52" s="428"/>
    </row>
    <row r="53" spans="2:11" ht="24" customHeight="1" x14ac:dyDescent="0.2">
      <c r="B53" s="432">
        <f ca="1">Planning!$E47</f>
        <v>42</v>
      </c>
      <c r="C53" s="584">
        <f ca="1">Planning!$F47</f>
        <v>0.61805555555555558</v>
      </c>
      <c r="D53" s="585">
        <f ca="1">Planning!$G47</f>
        <v>2</v>
      </c>
      <c r="E53" s="585" t="str">
        <f ca="1">Planning!$H47</f>
        <v>B</v>
      </c>
      <c r="F53" s="438" t="str">
        <f ca="1">Planning!$L47</f>
        <v>SSV Wildbach</v>
      </c>
      <c r="G53" s="218" t="s">
        <v>5</v>
      </c>
      <c r="H53" s="441" t="str">
        <f ca="1">Planning!$N47</f>
        <v>Mainz 05</v>
      </c>
      <c r="I53" s="435"/>
      <c r="J53" s="427" t="str">
        <f>Language!$E$80</f>
        <v>-</v>
      </c>
      <c r="K53" s="428"/>
    </row>
    <row r="54" spans="2:11" ht="24" customHeight="1" x14ac:dyDescent="0.2">
      <c r="B54" s="432">
        <f ca="1">Planning!$E48</f>
        <v>43</v>
      </c>
      <c r="C54" s="584">
        <f ca="1">Planning!$F48</f>
        <v>0.61805555555555558</v>
      </c>
      <c r="D54" s="585">
        <f ca="1">Planning!$G48</f>
        <v>3</v>
      </c>
      <c r="E54" s="585" t="str">
        <f ca="1">Planning!$H48</f>
        <v>A</v>
      </c>
      <c r="F54" s="438" t="str">
        <f ca="1">Planning!$L48</f>
        <v>FC Barcelona</v>
      </c>
      <c r="G54" s="218" t="s">
        <v>5</v>
      </c>
      <c r="H54" s="441" t="str">
        <f ca="1">Planning!$N48</f>
        <v>Maibach 1822 eV</v>
      </c>
      <c r="I54" s="435"/>
      <c r="J54" s="427" t="str">
        <f>Language!$E$80</f>
        <v>-</v>
      </c>
      <c r="K54" s="428"/>
    </row>
    <row r="55" spans="2:11" ht="24" customHeight="1" x14ac:dyDescent="0.2">
      <c r="B55" s="432">
        <f ca="1">Planning!$E49</f>
        <v>44</v>
      </c>
      <c r="C55" s="584">
        <f ca="1">Planning!$F49</f>
        <v>0.61805555555555558</v>
      </c>
      <c r="D55" s="585">
        <f ca="1">Planning!$G49</f>
        <v>4</v>
      </c>
      <c r="E55" s="585" t="str">
        <f ca="1">Planning!$H49</f>
        <v>B</v>
      </c>
      <c r="F55" s="438" t="str">
        <f ca="1">Planning!$L49</f>
        <v>Inter Mailand</v>
      </c>
      <c r="G55" s="218" t="s">
        <v>5</v>
      </c>
      <c r="H55" s="441" t="str">
        <f ca="1">Planning!$N49</f>
        <v>Manchester City</v>
      </c>
      <c r="I55" s="435"/>
      <c r="J55" s="427" t="str">
        <f>Language!$E$80</f>
        <v>-</v>
      </c>
      <c r="K55" s="428"/>
    </row>
    <row r="56" spans="2:11" ht="24" customHeight="1" x14ac:dyDescent="0.2">
      <c r="B56" s="432">
        <f ca="1">Planning!$E50</f>
        <v>45</v>
      </c>
      <c r="C56" s="584">
        <f ca="1">Planning!$F50</f>
        <v>0.64236111111111116</v>
      </c>
      <c r="D56" s="585">
        <f ca="1">Planning!$G50</f>
        <v>1</v>
      </c>
      <c r="E56" s="585" t="str">
        <f ca="1">Planning!$H50</f>
        <v>A</v>
      </c>
      <c r="F56" s="438" t="str">
        <f ca="1">Planning!$L50</f>
        <v>VFB Essenheim</v>
      </c>
      <c r="G56" s="218" t="s">
        <v>5</v>
      </c>
      <c r="H56" s="441" t="str">
        <f ca="1">Planning!$N50</f>
        <v>Knock Out Rangers</v>
      </c>
      <c r="I56" s="435"/>
      <c r="J56" s="427" t="str">
        <f>Language!$E$80</f>
        <v>-</v>
      </c>
      <c r="K56" s="428"/>
    </row>
    <row r="57" spans="2:11" ht="24" customHeight="1" x14ac:dyDescent="0.2">
      <c r="B57" s="432">
        <f ca="1">Planning!$E51</f>
        <v>46</v>
      </c>
      <c r="C57" s="584">
        <f ca="1">Planning!$F51</f>
        <v>0.64236111111111116</v>
      </c>
      <c r="D57" s="585">
        <f ca="1">Planning!$G51</f>
        <v>2</v>
      </c>
      <c r="E57" s="585" t="str">
        <f ca="1">Planning!$H51</f>
        <v>B</v>
      </c>
      <c r="F57" s="438" t="str">
        <f ca="1">Planning!$L51</f>
        <v>FC Grönlingen</v>
      </c>
      <c r="G57" s="218" t="s">
        <v>5</v>
      </c>
      <c r="H57" s="441" t="str">
        <f ca="1">Planning!$N51</f>
        <v>Borussia Heine</v>
      </c>
      <c r="I57" s="435"/>
      <c r="J57" s="427" t="str">
        <f>Language!$E$80</f>
        <v>-</v>
      </c>
      <c r="K57" s="428"/>
    </row>
    <row r="58" spans="2:11" ht="24" customHeight="1" x14ac:dyDescent="0.2">
      <c r="B58" s="432">
        <f ca="1">Planning!$E52</f>
        <v>47</v>
      </c>
      <c r="C58" s="584">
        <f ca="1">Planning!$F52</f>
        <v>0.64236111111111116</v>
      </c>
      <c r="D58" s="585">
        <f ca="1">Planning!$G52</f>
        <v>3</v>
      </c>
      <c r="E58" s="585" t="str">
        <f ca="1">Planning!$H52</f>
        <v>A</v>
      </c>
      <c r="F58" s="438" t="str">
        <f ca="1">Planning!$L52</f>
        <v>Raslo Winners</v>
      </c>
      <c r="G58" s="218" t="s">
        <v>5</v>
      </c>
      <c r="H58" s="441" t="str">
        <f ca="1">Planning!$N52</f>
        <v>Fun Kickers Oes</v>
      </c>
      <c r="I58" s="435"/>
      <c r="J58" s="427" t="str">
        <f>Language!$E$80</f>
        <v>-</v>
      </c>
      <c r="K58" s="428"/>
    </row>
    <row r="59" spans="2:11" ht="24" customHeight="1" x14ac:dyDescent="0.2">
      <c r="B59" s="432">
        <f ca="1">Planning!$E53</f>
        <v>48</v>
      </c>
      <c r="C59" s="584">
        <f ca="1">Planning!$F53</f>
        <v>0.64236111111111116</v>
      </c>
      <c r="D59" s="585">
        <f ca="1">Planning!$G53</f>
        <v>4</v>
      </c>
      <c r="E59" s="585" t="str">
        <f ca="1">Planning!$H53</f>
        <v>B</v>
      </c>
      <c r="F59" s="438" t="str">
        <f ca="1">Planning!$L53</f>
        <v>VFL Ronsdorf</v>
      </c>
      <c r="G59" s="218" t="s">
        <v>5</v>
      </c>
      <c r="H59" s="441" t="str">
        <f ca="1">Planning!$N53</f>
        <v>AC Roma</v>
      </c>
      <c r="I59" s="435"/>
      <c r="J59" s="427" t="str">
        <f>Language!$E$80</f>
        <v>-</v>
      </c>
      <c r="K59" s="428"/>
    </row>
    <row r="60" spans="2:11" ht="24" customHeight="1" x14ac:dyDescent="0.2">
      <c r="B60" s="432">
        <f ca="1">Planning!$E54</f>
        <v>49</v>
      </c>
      <c r="C60" s="584">
        <f ca="1">Planning!$F54</f>
        <v>0.66666666666666674</v>
      </c>
      <c r="D60" s="585">
        <f ca="1">Planning!$G54</f>
        <v>1</v>
      </c>
      <c r="E60" s="585" t="str">
        <f ca="1">Planning!$H54</f>
        <v>A</v>
      </c>
      <c r="F60" s="438" t="str">
        <f ca="1">Planning!$L54</f>
        <v>1. FC Riedwald</v>
      </c>
      <c r="G60" s="218" t="s">
        <v>5</v>
      </c>
      <c r="H60" s="441" t="str">
        <f ca="1">Planning!$N54</f>
        <v>FC Barcelona</v>
      </c>
      <c r="I60" s="435"/>
      <c r="J60" s="427" t="str">
        <f>Language!$E$80</f>
        <v>-</v>
      </c>
      <c r="K60" s="428"/>
    </row>
    <row r="61" spans="2:11" ht="24" customHeight="1" x14ac:dyDescent="0.2">
      <c r="B61" s="432">
        <f ca="1">Planning!$E55</f>
        <v>50</v>
      </c>
      <c r="C61" s="584">
        <f ca="1">Planning!$F55</f>
        <v>0.66666666666666674</v>
      </c>
      <c r="D61" s="585">
        <f ca="1">Planning!$G55</f>
        <v>2</v>
      </c>
      <c r="E61" s="585" t="str">
        <f ca="1">Planning!$H55</f>
        <v>B</v>
      </c>
      <c r="F61" s="438" t="str">
        <f ca="1">Planning!$L55</f>
        <v>Mainz 05</v>
      </c>
      <c r="G61" s="218" t="s">
        <v>5</v>
      </c>
      <c r="H61" s="441" t="str">
        <f ca="1">Planning!$N55</f>
        <v>Inter Mailand</v>
      </c>
      <c r="I61" s="435"/>
      <c r="J61" s="427" t="str">
        <f>Language!$E$80</f>
        <v>-</v>
      </c>
      <c r="K61" s="428"/>
    </row>
    <row r="62" spans="2:11" ht="24" customHeight="1" x14ac:dyDescent="0.2">
      <c r="B62" s="432">
        <f ca="1">Planning!$E56</f>
        <v>51</v>
      </c>
      <c r="C62" s="584">
        <f ca="1">Planning!$F56</f>
        <v>0.66666666666666674</v>
      </c>
      <c r="D62" s="585">
        <f ca="1">Planning!$G56</f>
        <v>3</v>
      </c>
      <c r="E62" s="585" t="str">
        <f ca="1">Planning!$H56</f>
        <v>A</v>
      </c>
      <c r="F62" s="438" t="str">
        <f ca="1">Planning!$L56</f>
        <v>Knock Out Rangers</v>
      </c>
      <c r="G62" s="218" t="s">
        <v>5</v>
      </c>
      <c r="H62" s="441" t="str">
        <f ca="1">Planning!$N56</f>
        <v>Eintracht Frankfurt</v>
      </c>
      <c r="I62" s="435"/>
      <c r="J62" s="427" t="str">
        <f>Language!$E$80</f>
        <v>-</v>
      </c>
      <c r="K62" s="428"/>
    </row>
    <row r="63" spans="2:11" ht="24" customHeight="1" x14ac:dyDescent="0.2">
      <c r="B63" s="432">
        <f ca="1">Planning!$E57</f>
        <v>52</v>
      </c>
      <c r="C63" s="584">
        <f ca="1">Planning!$F57</f>
        <v>0.66666666666666674</v>
      </c>
      <c r="D63" s="585">
        <f ca="1">Planning!$G57</f>
        <v>4</v>
      </c>
      <c r="E63" s="585" t="str">
        <f ca="1">Planning!$H57</f>
        <v>B</v>
      </c>
      <c r="F63" s="438" t="str">
        <f ca="1">Planning!$L57</f>
        <v>Borussia Heine</v>
      </c>
      <c r="G63" s="218" t="s">
        <v>5</v>
      </c>
      <c r="H63" s="441" t="str">
        <f ca="1">Planning!$N57</f>
        <v>SSV Wildbach</v>
      </c>
      <c r="I63" s="435"/>
      <c r="J63" s="427" t="str">
        <f>Language!$E$80</f>
        <v>-</v>
      </c>
      <c r="K63" s="428"/>
    </row>
    <row r="64" spans="2:11" ht="24" customHeight="1" x14ac:dyDescent="0.2">
      <c r="B64" s="432">
        <f ca="1">Planning!$E58</f>
        <v>53</v>
      </c>
      <c r="C64" s="584">
        <f ca="1">Planning!$F58</f>
        <v>0.69097222222222221</v>
      </c>
      <c r="D64" s="585">
        <f ca="1">Planning!$G58</f>
        <v>1</v>
      </c>
      <c r="E64" s="585" t="str">
        <f ca="1">Planning!$H58</f>
        <v>A</v>
      </c>
      <c r="F64" s="438" t="str">
        <f ca="1">Planning!$L58</f>
        <v>Maibach 1822 eV</v>
      </c>
      <c r="G64" s="218" t="s">
        <v>5</v>
      </c>
      <c r="H64" s="441" t="str">
        <f ca="1">Planning!$N58</f>
        <v>Raslo Winners</v>
      </c>
      <c r="I64" s="435"/>
      <c r="J64" s="427" t="str">
        <f>Language!$E$80</f>
        <v>-</v>
      </c>
      <c r="K64" s="428"/>
    </row>
    <row r="65" spans="2:11" ht="24" customHeight="1" x14ac:dyDescent="0.2">
      <c r="B65" s="432">
        <f ca="1">Planning!$E59</f>
        <v>54</v>
      </c>
      <c r="C65" s="584">
        <f ca="1">Planning!$F59</f>
        <v>0.69097222222222221</v>
      </c>
      <c r="D65" s="585">
        <f ca="1">Planning!$G59</f>
        <v>2</v>
      </c>
      <c r="E65" s="585" t="str">
        <f ca="1">Planning!$H59</f>
        <v>B</v>
      </c>
      <c r="F65" s="438" t="str">
        <f ca="1">Planning!$L59</f>
        <v>Manchester City</v>
      </c>
      <c r="G65" s="218" t="s">
        <v>5</v>
      </c>
      <c r="H65" s="441" t="str">
        <f ca="1">Planning!$N59</f>
        <v>VFL Ronsdorf</v>
      </c>
      <c r="I65" s="435"/>
      <c r="J65" s="427" t="str">
        <f>Language!$E$80</f>
        <v>-</v>
      </c>
      <c r="K65" s="428"/>
    </row>
    <row r="66" spans="2:11" ht="24" customHeight="1" x14ac:dyDescent="0.2">
      <c r="B66" s="432">
        <f ca="1">Planning!$E60</f>
        <v>55</v>
      </c>
      <c r="C66" s="584">
        <f ca="1">Planning!$F60</f>
        <v>0.69097222222222221</v>
      </c>
      <c r="D66" s="585">
        <f ca="1">Planning!$G60</f>
        <v>3</v>
      </c>
      <c r="E66" s="585" t="str">
        <f ca="1">Planning!$H60</f>
        <v>A</v>
      </c>
      <c r="F66" s="438" t="str">
        <f ca="1">Planning!$L60</f>
        <v>Fun Kickers Oes</v>
      </c>
      <c r="G66" s="218" t="s">
        <v>5</v>
      </c>
      <c r="H66" s="441" t="str">
        <f ca="1">Planning!$N60</f>
        <v>VFB Essenheim</v>
      </c>
      <c r="I66" s="435"/>
      <c r="J66" s="427" t="str">
        <f>Language!$E$80</f>
        <v>-</v>
      </c>
      <c r="K66" s="428"/>
    </row>
    <row r="67" spans="2:11" ht="24" customHeight="1" x14ac:dyDescent="0.2">
      <c r="B67" s="432">
        <f ca="1">Planning!$E61</f>
        <v>56</v>
      </c>
      <c r="C67" s="584">
        <f ca="1">Planning!$F61</f>
        <v>0.69097222222222221</v>
      </c>
      <c r="D67" s="585">
        <f ca="1">Planning!$G61</f>
        <v>4</v>
      </c>
      <c r="E67" s="585" t="str">
        <f ca="1">Planning!$H61</f>
        <v>B</v>
      </c>
      <c r="F67" s="438" t="str">
        <f ca="1">Planning!$L61</f>
        <v>AC Roma</v>
      </c>
      <c r="G67" s="218" t="s">
        <v>5</v>
      </c>
      <c r="H67" s="441" t="str">
        <f ca="1">Planning!$N61</f>
        <v>FC Grönlingen</v>
      </c>
      <c r="I67" s="435"/>
      <c r="J67" s="427" t="str">
        <f>Language!$E$80</f>
        <v>-</v>
      </c>
      <c r="K67" s="428"/>
    </row>
    <row r="68" spans="2:11" ht="24" customHeight="1" x14ac:dyDescent="0.2">
      <c r="B68" s="432" t="str">
        <f>Planning!$E62</f>
        <v/>
      </c>
      <c r="C68" s="584" t="str">
        <f>Planning!$F62</f>
        <v/>
      </c>
      <c r="D68" s="585" t="str">
        <f>Planning!$G62</f>
        <v/>
      </c>
      <c r="E68" s="585" t="str">
        <f ca="1">Planning!$H62</f>
        <v/>
      </c>
      <c r="F68" s="438" t="str">
        <f ca="1">Planning!$L62</f>
        <v/>
      </c>
      <c r="G68" s="218" t="s">
        <v>5</v>
      </c>
      <c r="H68" s="441" t="str">
        <f ca="1">Planning!$N62</f>
        <v/>
      </c>
      <c r="I68" s="435"/>
      <c r="J68" s="427" t="str">
        <f>Language!$E$80</f>
        <v>-</v>
      </c>
      <c r="K68" s="428"/>
    </row>
    <row r="69" spans="2:11" ht="24" customHeight="1" x14ac:dyDescent="0.2">
      <c r="B69" s="432" t="str">
        <f>Planning!$E63</f>
        <v/>
      </c>
      <c r="C69" s="584" t="str">
        <f>Planning!$F63</f>
        <v/>
      </c>
      <c r="D69" s="585" t="str">
        <f>Planning!$G63</f>
        <v/>
      </c>
      <c r="E69" s="585" t="str">
        <f ca="1">Planning!$H63</f>
        <v/>
      </c>
      <c r="F69" s="438" t="str">
        <f ca="1">Planning!$L63</f>
        <v/>
      </c>
      <c r="G69" s="218" t="s">
        <v>5</v>
      </c>
      <c r="H69" s="441" t="str">
        <f ca="1">Planning!$N63</f>
        <v/>
      </c>
      <c r="I69" s="435"/>
      <c r="J69" s="427" t="str">
        <f>Language!$E$80</f>
        <v>-</v>
      </c>
      <c r="K69" s="428"/>
    </row>
    <row r="70" spans="2:11" ht="24" customHeight="1" x14ac:dyDescent="0.2">
      <c r="B70" s="432" t="str">
        <f>Planning!$E64</f>
        <v/>
      </c>
      <c r="C70" s="584" t="str">
        <f>Planning!$F64</f>
        <v/>
      </c>
      <c r="D70" s="585" t="str">
        <f>Planning!$G64</f>
        <v/>
      </c>
      <c r="E70" s="585" t="str">
        <f ca="1">Planning!$H64</f>
        <v/>
      </c>
      <c r="F70" s="438" t="str">
        <f ca="1">Planning!$L64</f>
        <v/>
      </c>
      <c r="G70" s="218" t="s">
        <v>5</v>
      </c>
      <c r="H70" s="441" t="str">
        <f ca="1">Planning!$N64</f>
        <v/>
      </c>
      <c r="I70" s="435"/>
      <c r="J70" s="427" t="str">
        <f>Language!$E$80</f>
        <v>-</v>
      </c>
      <c r="K70" s="428"/>
    </row>
    <row r="71" spans="2:11" ht="24" customHeight="1" x14ac:dyDescent="0.2">
      <c r="B71" s="432" t="str">
        <f>Planning!$E65</f>
        <v/>
      </c>
      <c r="C71" s="584" t="str">
        <f>Planning!$F65</f>
        <v/>
      </c>
      <c r="D71" s="585" t="str">
        <f>Planning!$G65</f>
        <v/>
      </c>
      <c r="E71" s="585" t="str">
        <f ca="1">Planning!$H65</f>
        <v/>
      </c>
      <c r="F71" s="438" t="str">
        <f ca="1">Planning!$L65</f>
        <v/>
      </c>
      <c r="G71" s="218" t="s">
        <v>5</v>
      </c>
      <c r="H71" s="441" t="str">
        <f ca="1">Planning!$N65</f>
        <v/>
      </c>
      <c r="I71" s="435"/>
      <c r="J71" s="427" t="str">
        <f>Language!$E$80</f>
        <v>-</v>
      </c>
      <c r="K71" s="428"/>
    </row>
    <row r="72" spans="2:11" ht="24" customHeight="1" x14ac:dyDescent="0.2">
      <c r="B72" s="432" t="str">
        <f>Planning!$E66</f>
        <v/>
      </c>
      <c r="C72" s="584" t="str">
        <f>Planning!$F66</f>
        <v/>
      </c>
      <c r="D72" s="585" t="str">
        <f>Planning!$G66</f>
        <v/>
      </c>
      <c r="E72" s="585" t="str">
        <f ca="1">Planning!$H66</f>
        <v/>
      </c>
      <c r="F72" s="438" t="str">
        <f ca="1">Planning!$L66</f>
        <v/>
      </c>
      <c r="G72" s="218" t="s">
        <v>5</v>
      </c>
      <c r="H72" s="441" t="str">
        <f ca="1">Planning!$N66</f>
        <v/>
      </c>
      <c r="I72" s="435"/>
      <c r="J72" s="427" t="str">
        <f>Language!$E$80</f>
        <v>-</v>
      </c>
      <c r="K72" s="428"/>
    </row>
    <row r="73" spans="2:11" ht="24" customHeight="1" x14ac:dyDescent="0.2">
      <c r="B73" s="432" t="str">
        <f>Planning!$E67</f>
        <v/>
      </c>
      <c r="C73" s="584" t="str">
        <f>Planning!$F67</f>
        <v/>
      </c>
      <c r="D73" s="585" t="str">
        <f>Planning!$G67</f>
        <v/>
      </c>
      <c r="E73" s="585" t="str">
        <f ca="1">Planning!$H67</f>
        <v/>
      </c>
      <c r="F73" s="438" t="str">
        <f ca="1">Planning!$L67</f>
        <v/>
      </c>
      <c r="G73" s="218" t="s">
        <v>5</v>
      </c>
      <c r="H73" s="441" t="str">
        <f ca="1">Planning!$N67</f>
        <v/>
      </c>
      <c r="I73" s="435"/>
      <c r="J73" s="427" t="str">
        <f>Language!$E$80</f>
        <v>-</v>
      </c>
      <c r="K73" s="428"/>
    </row>
    <row r="74" spans="2:11" ht="24" customHeight="1" x14ac:dyDescent="0.2">
      <c r="B74" s="432" t="str">
        <f>Planning!$E68</f>
        <v/>
      </c>
      <c r="C74" s="584" t="str">
        <f>Planning!$F68</f>
        <v/>
      </c>
      <c r="D74" s="585" t="str">
        <f>Planning!$G68</f>
        <v/>
      </c>
      <c r="E74" s="585" t="str">
        <f ca="1">Planning!$H68</f>
        <v/>
      </c>
      <c r="F74" s="438" t="str">
        <f ca="1">Planning!$L68</f>
        <v/>
      </c>
      <c r="G74" s="218" t="s">
        <v>5</v>
      </c>
      <c r="H74" s="441" t="str">
        <f ca="1">Planning!$N68</f>
        <v/>
      </c>
      <c r="I74" s="435"/>
      <c r="J74" s="427" t="str">
        <f>Language!$E$80</f>
        <v>-</v>
      </c>
      <c r="K74" s="428"/>
    </row>
    <row r="75" spans="2:11" ht="24" customHeight="1" x14ac:dyDescent="0.2">
      <c r="B75" s="432" t="str">
        <f>Planning!$E69</f>
        <v/>
      </c>
      <c r="C75" s="584" t="str">
        <f>Planning!$F69</f>
        <v/>
      </c>
      <c r="D75" s="585" t="str">
        <f>Planning!$G69</f>
        <v/>
      </c>
      <c r="E75" s="585" t="str">
        <f ca="1">Planning!$H69</f>
        <v/>
      </c>
      <c r="F75" s="438" t="str">
        <f ca="1">Planning!$L69</f>
        <v/>
      </c>
      <c r="G75" s="218" t="s">
        <v>5</v>
      </c>
      <c r="H75" s="441" t="str">
        <f ca="1">Planning!$N69</f>
        <v/>
      </c>
      <c r="I75" s="435"/>
      <c r="J75" s="427" t="str">
        <f>Language!$E$80</f>
        <v>-</v>
      </c>
      <c r="K75" s="428"/>
    </row>
    <row r="76" spans="2:11" ht="24" customHeight="1" x14ac:dyDescent="0.2">
      <c r="B76" s="432" t="str">
        <f>Planning!$E70</f>
        <v/>
      </c>
      <c r="C76" s="584" t="str">
        <f>Planning!$F70</f>
        <v/>
      </c>
      <c r="D76" s="585" t="str">
        <f>Planning!$G70</f>
        <v/>
      </c>
      <c r="E76" s="585" t="str">
        <f ca="1">Planning!$H70</f>
        <v/>
      </c>
      <c r="F76" s="438" t="str">
        <f ca="1">Planning!$L70</f>
        <v/>
      </c>
      <c r="G76" s="218" t="s">
        <v>5</v>
      </c>
      <c r="H76" s="441" t="str">
        <f ca="1">Planning!$N70</f>
        <v/>
      </c>
      <c r="I76" s="435"/>
      <c r="J76" s="427" t="str">
        <f>Language!$E$80</f>
        <v>-</v>
      </c>
      <c r="K76" s="428"/>
    </row>
    <row r="77" spans="2:11" ht="24" customHeight="1" x14ac:dyDescent="0.2">
      <c r="B77" s="432" t="str">
        <f>Planning!$E71</f>
        <v/>
      </c>
      <c r="C77" s="584" t="str">
        <f>Planning!$F71</f>
        <v/>
      </c>
      <c r="D77" s="585" t="str">
        <f>Planning!$G71</f>
        <v/>
      </c>
      <c r="E77" s="585" t="str">
        <f ca="1">Planning!$H71</f>
        <v/>
      </c>
      <c r="F77" s="438" t="str">
        <f ca="1">Planning!$L71</f>
        <v/>
      </c>
      <c r="G77" s="218" t="s">
        <v>5</v>
      </c>
      <c r="H77" s="441" t="str">
        <f ca="1">Planning!$N71</f>
        <v/>
      </c>
      <c r="I77" s="435"/>
      <c r="J77" s="427" t="str">
        <f>Language!$E$80</f>
        <v>-</v>
      </c>
      <c r="K77" s="428"/>
    </row>
    <row r="78" spans="2:11" ht="24" customHeight="1" x14ac:dyDescent="0.2">
      <c r="B78" s="432" t="str">
        <f>Planning!$E72</f>
        <v/>
      </c>
      <c r="C78" s="584" t="str">
        <f>Planning!$F72</f>
        <v/>
      </c>
      <c r="D78" s="585" t="str">
        <f>Planning!$G72</f>
        <v/>
      </c>
      <c r="E78" s="585" t="str">
        <f ca="1">Planning!$H72</f>
        <v/>
      </c>
      <c r="F78" s="438" t="str">
        <f ca="1">Planning!$L72</f>
        <v/>
      </c>
      <c r="G78" s="218" t="s">
        <v>5</v>
      </c>
      <c r="H78" s="441" t="str">
        <f ca="1">Planning!$N72</f>
        <v/>
      </c>
      <c r="I78" s="435"/>
      <c r="J78" s="427" t="str">
        <f>Language!$E$80</f>
        <v>-</v>
      </c>
      <c r="K78" s="428"/>
    </row>
    <row r="79" spans="2:11" ht="24" customHeight="1" x14ac:dyDescent="0.2">
      <c r="B79" s="432" t="str">
        <f>Planning!$E73</f>
        <v/>
      </c>
      <c r="C79" s="584" t="str">
        <f>Planning!$F73</f>
        <v/>
      </c>
      <c r="D79" s="585" t="str">
        <f>Planning!$G73</f>
        <v/>
      </c>
      <c r="E79" s="585" t="str">
        <f ca="1">Planning!$H73</f>
        <v/>
      </c>
      <c r="F79" s="438" t="str">
        <f ca="1">Planning!$L73</f>
        <v/>
      </c>
      <c r="G79" s="218" t="s">
        <v>5</v>
      </c>
      <c r="H79" s="441" t="str">
        <f ca="1">Planning!$N73</f>
        <v/>
      </c>
      <c r="I79" s="435"/>
      <c r="J79" s="427" t="str">
        <f>Language!$E$80</f>
        <v>-</v>
      </c>
      <c r="K79" s="428"/>
    </row>
    <row r="80" spans="2:11" ht="24" customHeight="1" x14ac:dyDescent="0.2">
      <c r="B80" s="432" t="str">
        <f>Planning!$E74</f>
        <v/>
      </c>
      <c r="C80" s="584" t="str">
        <f>Planning!$F74</f>
        <v/>
      </c>
      <c r="D80" s="585" t="str">
        <f>Planning!$G74</f>
        <v/>
      </c>
      <c r="E80" s="585" t="str">
        <f ca="1">Planning!$H74</f>
        <v/>
      </c>
      <c r="F80" s="438" t="str">
        <f ca="1">Planning!$L74</f>
        <v/>
      </c>
      <c r="G80" s="218" t="s">
        <v>5</v>
      </c>
      <c r="H80" s="441" t="str">
        <f ca="1">Planning!$N74</f>
        <v/>
      </c>
      <c r="I80" s="435"/>
      <c r="J80" s="427" t="str">
        <f>Language!$E$80</f>
        <v>-</v>
      </c>
      <c r="K80" s="428"/>
    </row>
    <row r="81" spans="2:11" ht="24" customHeight="1" x14ac:dyDescent="0.2">
      <c r="B81" s="432" t="str">
        <f>Planning!$E75</f>
        <v/>
      </c>
      <c r="C81" s="584" t="str">
        <f>Planning!$F75</f>
        <v/>
      </c>
      <c r="D81" s="585" t="str">
        <f>Planning!$G75</f>
        <v/>
      </c>
      <c r="E81" s="585" t="str">
        <f ca="1">Planning!$H75</f>
        <v/>
      </c>
      <c r="F81" s="438" t="str">
        <f ca="1">Planning!$L75</f>
        <v/>
      </c>
      <c r="G81" s="218" t="s">
        <v>5</v>
      </c>
      <c r="H81" s="441" t="str">
        <f ca="1">Planning!$N75</f>
        <v/>
      </c>
      <c r="I81" s="435"/>
      <c r="J81" s="427" t="str">
        <f>Language!$E$80</f>
        <v>-</v>
      </c>
      <c r="K81" s="428"/>
    </row>
    <row r="82" spans="2:11" ht="24" customHeight="1" x14ac:dyDescent="0.2">
      <c r="B82" s="432" t="str">
        <f>Planning!$E76</f>
        <v/>
      </c>
      <c r="C82" s="584" t="str">
        <f>Planning!$F76</f>
        <v/>
      </c>
      <c r="D82" s="585" t="str">
        <f>Planning!$G76</f>
        <v/>
      </c>
      <c r="E82" s="585" t="str">
        <f ca="1">Planning!$H76</f>
        <v/>
      </c>
      <c r="F82" s="438" t="str">
        <f ca="1">Planning!$L76</f>
        <v/>
      </c>
      <c r="G82" s="218" t="s">
        <v>5</v>
      </c>
      <c r="H82" s="441" t="str">
        <f ca="1">Planning!$N76</f>
        <v/>
      </c>
      <c r="I82" s="435"/>
      <c r="J82" s="427" t="str">
        <f>Language!$E$80</f>
        <v>-</v>
      </c>
      <c r="K82" s="428"/>
    </row>
    <row r="83" spans="2:11" ht="24" customHeight="1" thickBot="1" x14ac:dyDescent="0.25">
      <c r="B83" s="433" t="str">
        <f>Planning!$E77</f>
        <v/>
      </c>
      <c r="C83" s="586" t="str">
        <f>Planning!$F77</f>
        <v/>
      </c>
      <c r="D83" s="587" t="str">
        <f>Planning!$G77</f>
        <v/>
      </c>
      <c r="E83" s="587" t="str">
        <f ca="1">Planning!$H77</f>
        <v/>
      </c>
      <c r="F83" s="439" t="str">
        <f ca="1">Planning!$L77</f>
        <v/>
      </c>
      <c r="G83" s="229" t="s">
        <v>5</v>
      </c>
      <c r="H83" s="442" t="str">
        <f ca="1">Planning!$N77</f>
        <v/>
      </c>
      <c r="I83" s="436"/>
      <c r="J83" s="429" t="str">
        <f>Language!$E$80</f>
        <v>-</v>
      </c>
      <c r="K83" s="430"/>
    </row>
    <row r="84" spans="2:11" ht="24" customHeight="1" thickTop="1" x14ac:dyDescent="0.2"/>
    <row r="85" spans="2:11" x14ac:dyDescent="0.2"/>
    <row r="86" spans="2:11" x14ac:dyDescent="0.2"/>
    <row r="87" spans="2:11" x14ac:dyDescent="0.2"/>
  </sheetData>
  <sheetProtection sheet="1" selectLockedCells="1"/>
  <mergeCells count="19">
    <mergeCell ref="W36:AG36"/>
    <mergeCell ref="M36:V36"/>
    <mergeCell ref="AJ10:AK10"/>
    <mergeCell ref="AJ23:AK23"/>
    <mergeCell ref="AJ7:AL8"/>
    <mergeCell ref="M24:N24"/>
    <mergeCell ref="S24:U24"/>
    <mergeCell ref="M23:N23"/>
    <mergeCell ref="L7:V8"/>
    <mergeCell ref="M1:N1"/>
    <mergeCell ref="F11:H11"/>
    <mergeCell ref="I11:K11"/>
    <mergeCell ref="S11:U11"/>
    <mergeCell ref="M11:N11"/>
    <mergeCell ref="M10:N10"/>
    <mergeCell ref="G2:AA2"/>
    <mergeCell ref="G3:AA3"/>
    <mergeCell ref="G4:AA4"/>
    <mergeCell ref="G5:AA5"/>
  </mergeCells>
  <conditionalFormatting sqref="B12:K83">
    <cfRule type="expression" dxfId="52" priority="18">
      <formula>OR($F12="",$H12="")</formula>
    </cfRule>
  </conditionalFormatting>
  <conditionalFormatting sqref="M12:AG20 M25:AG33">
    <cfRule type="expression" dxfId="51" priority="17">
      <formula>$N12=""</formula>
    </cfRule>
  </conditionalFormatting>
  <conditionalFormatting sqref="M12:W20 AG12:AG20 M25:W33 AG25:AG33">
    <cfRule type="expression" dxfId="50" priority="16">
      <formula>OR(AND($M12=$M11,$N11&lt;&gt;""),AND($M12=$M13,$N13&lt;&gt;""))</formula>
    </cfRule>
  </conditionalFormatting>
  <conditionalFormatting sqref="M20:AG20">
    <cfRule type="expression" dxfId="49" priority="15">
      <formula>$N20=""</formula>
    </cfRule>
  </conditionalFormatting>
  <conditionalFormatting sqref="M20:W20 AG20">
    <cfRule type="expression" dxfId="48" priority="14">
      <formula>OR(AND($M20=$M19,$N19&lt;&gt;""),AND($M20=$M21,$N21&lt;&gt;""))</formula>
    </cfRule>
  </conditionalFormatting>
  <conditionalFormatting sqref="AE19:AG19 AD18 M17:AA19 AC17 AF17:AG18">
    <cfRule type="expression" dxfId="47" priority="13">
      <formula>$N17=""</formula>
    </cfRule>
  </conditionalFormatting>
  <conditionalFormatting sqref="M17:W19 AG17:AG19">
    <cfRule type="expression" dxfId="46" priority="12">
      <formula>OR(AND($M17=$M16,$N16&lt;&gt;""),AND($M17=$M18,$N18&lt;&gt;""))</formula>
    </cfRule>
  </conditionalFormatting>
  <conditionalFormatting sqref="M33:AG33">
    <cfRule type="expression" dxfId="45" priority="10">
      <formula>$N33=""</formula>
    </cfRule>
  </conditionalFormatting>
  <conditionalFormatting sqref="M33:W33 AG33">
    <cfRule type="expression" dxfId="44" priority="11">
      <formula>OR(AND($M33=$M32,$N32&lt;&gt;""),AND($M33=#REF!,#REF!&lt;&gt;""))</formula>
    </cfRule>
  </conditionalFormatting>
  <conditionalFormatting sqref="AF30:AG31 AE32:AG32 AD31 M30:AA32 AC30">
    <cfRule type="expression" dxfId="43" priority="9">
      <formula>$N30=""</formula>
    </cfRule>
  </conditionalFormatting>
  <conditionalFormatting sqref="M30:W32 AG30:AG32">
    <cfRule type="expression" dxfId="42" priority="8">
      <formula>OR(AND($M30=$M29,$N29&lt;&gt;""),AND($M30=$M31,$N31&lt;&gt;""))</formula>
    </cfRule>
  </conditionalFormatting>
  <conditionalFormatting sqref="AC18 AC19:AD19 AD17:AE17">
    <cfRule type="expression" dxfId="41" priority="7">
      <formula>$N17=""</formula>
    </cfRule>
  </conditionalFormatting>
  <conditionalFormatting sqref="AE18">
    <cfRule type="expression" dxfId="40" priority="5">
      <formula>$N18=""</formula>
    </cfRule>
  </conditionalFormatting>
  <conditionalFormatting sqref="AB30 AB31:AC31 AB32:AD32 AD30 AE30:AE31">
    <cfRule type="expression" dxfId="39" priority="4">
      <formula>$N30=""</formula>
    </cfRule>
  </conditionalFormatting>
  <conditionalFormatting sqref="AB17">
    <cfRule type="expression" dxfId="38" priority="3">
      <formula>$N17=""</formula>
    </cfRule>
  </conditionalFormatting>
  <conditionalFormatting sqref="AB18">
    <cfRule type="expression" dxfId="37" priority="2">
      <formula>$N18=""</formula>
    </cfRule>
  </conditionalFormatting>
  <conditionalFormatting sqref="AB19">
    <cfRule type="expression" dxfId="36" priority="1">
      <formula>$N19=""</formula>
    </cfRule>
  </conditionalFormatting>
  <dataValidations count="2">
    <dataValidation type="whole" allowBlank="1" showErrorMessage="1" errorTitle="Error" error="Maximal 999 !" sqref="K12:K83 I12:I83" xr:uid="{D9E07FCF-67B7-4BAF-9BC8-AE233331B860}">
      <formula1>0</formula1>
      <formula2>999</formula2>
    </dataValidation>
    <dataValidation type="whole" allowBlank="1" showInputMessage="1" showErrorMessage="1" sqref="AL12:AL20 AL25:AL33" xr:uid="{F8B159EB-3E39-407B-B2B3-70A1B1FF45BA}">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V4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85546875" style="49" hidden="1" customWidth="1"/>
    <col min="20" max="20" width="20.85546875" style="49" hidden="1" customWidth="1"/>
    <col min="21" max="21" width="20.28515625" style="49" hidden="1" customWidth="1"/>
    <col min="22" max="22" width="9.7109375" style="49" hidden="1" customWidth="1"/>
    <col min="23" max="16384" width="11.42578125" style="49" hidden="1"/>
  </cols>
  <sheetData>
    <row r="1" spans="2:22" ht="13.5" thickBot="1" x14ac:dyDescent="0.25"/>
    <row r="2" spans="2:22" ht="36" customHeight="1" thickTop="1" x14ac:dyDescent="0.2">
      <c r="E2" s="711" t="str">
        <f>PreliminaryRound!$G$2</f>
        <v>International tournament U10 on Jun. 6th, 2025</v>
      </c>
      <c r="F2" s="712"/>
      <c r="G2" s="712"/>
      <c r="H2" s="712"/>
      <c r="I2" s="712"/>
      <c r="J2" s="712"/>
      <c r="K2" s="712"/>
      <c r="L2" s="712"/>
      <c r="M2" s="712"/>
      <c r="N2" s="712"/>
      <c r="O2" s="712"/>
      <c r="P2" s="713"/>
    </row>
    <row r="3" spans="2:22" ht="30" customHeight="1" x14ac:dyDescent="0.2">
      <c r="E3" s="714" t="str">
        <f>PreliminaryRound!$G$3</f>
        <v>Organizer:  1. FC Riedwald</v>
      </c>
      <c r="F3" s="715"/>
      <c r="G3" s="715"/>
      <c r="H3" s="715"/>
      <c r="I3" s="715"/>
      <c r="J3" s="715"/>
      <c r="K3" s="715"/>
      <c r="L3" s="715"/>
      <c r="M3" s="715"/>
      <c r="N3" s="715"/>
      <c r="O3" s="715"/>
      <c r="P3" s="716"/>
    </row>
    <row r="4" spans="2:22" ht="30" customHeight="1" x14ac:dyDescent="0.2">
      <c r="E4" s="717" t="str">
        <f>PreliminaryRound!$G$4</f>
        <v>Sports hall Wiesengrund, Wendiger Str. 51, 65432 Riedwald</v>
      </c>
      <c r="F4" s="718"/>
      <c r="G4" s="718"/>
      <c r="H4" s="718"/>
      <c r="I4" s="718"/>
      <c r="J4" s="718"/>
      <c r="K4" s="718"/>
      <c r="L4" s="718"/>
      <c r="M4" s="718"/>
      <c r="N4" s="718"/>
      <c r="O4" s="718"/>
      <c r="P4" s="719"/>
    </row>
    <row r="5" spans="2:22" ht="30" customHeight="1" thickBot="1" x14ac:dyDescent="0.25">
      <c r="E5" s="720" t="str">
        <f>PreliminaryRound!$G$5</f>
        <v>Start:  9:00 Uhr</v>
      </c>
      <c r="F5" s="721"/>
      <c r="G5" s="721"/>
      <c r="H5" s="721"/>
      <c r="I5" s="721"/>
      <c r="J5" s="721"/>
      <c r="K5" s="721"/>
      <c r="L5" s="721"/>
      <c r="M5" s="721"/>
      <c r="N5" s="721"/>
      <c r="O5" s="721"/>
      <c r="P5" s="722"/>
    </row>
    <row r="6" spans="2:22" ht="18" customHeight="1" thickTop="1" thickBot="1" x14ac:dyDescent="0.25"/>
    <row r="7" spans="2:22" ht="30" customHeight="1" thickTop="1" x14ac:dyDescent="0.2">
      <c r="G7" s="733" t="str">
        <f>Language!$E$19</f>
        <v>Final round</v>
      </c>
      <c r="H7" s="734"/>
      <c r="I7" s="735"/>
    </row>
    <row r="8" spans="2:22" ht="30" customHeight="1" thickBot="1" x14ac:dyDescent="0.25">
      <c r="G8" s="736"/>
      <c r="H8" s="737"/>
      <c r="I8" s="738"/>
    </row>
    <row r="9" spans="2:22" ht="12.6" customHeight="1" thickTop="1" x14ac:dyDescent="0.2">
      <c r="P9" s="659" t="str">
        <f>Language!$E$20</f>
        <v>Addit. Pause (min)</v>
      </c>
    </row>
    <row r="10" spans="2:22" ht="27.95" customHeight="1" thickBot="1" x14ac:dyDescent="0.35">
      <c r="C10" s="710" t="str">
        <f>Language!$E$62&amp;IF(MIN(Calc1!$F$13,Calc2!$F$13)*2&lt;2,""," 1 - "&amp;MIN(Calc1!$F$13,Calc2!$F$13)*2)</f>
        <v>Games for places  1 - 16</v>
      </c>
      <c r="D10" s="710"/>
      <c r="E10" s="710"/>
      <c r="F10" s="710"/>
      <c r="P10" s="659"/>
    </row>
    <row r="11" spans="2:22" ht="24" customHeight="1" thickTop="1" thickBot="1" x14ac:dyDescent="0.25">
      <c r="B11" s="348"/>
      <c r="C11" s="386" t="str">
        <f>Language!$E$9</f>
        <v>No.</v>
      </c>
      <c r="D11" s="344" t="str">
        <f>Language!$E$39</f>
        <v>Start</v>
      </c>
      <c r="E11" s="333" t="str">
        <f>Language!$E$48</f>
        <v>Field</v>
      </c>
      <c r="F11" s="333"/>
      <c r="G11" s="679" t="str">
        <f>Language!$E$14</f>
        <v>Match pairing</v>
      </c>
      <c r="H11" s="679"/>
      <c r="I11" s="679"/>
      <c r="J11" s="679" t="str">
        <f>Language!$E$15</f>
        <v>Result</v>
      </c>
      <c r="K11" s="679"/>
      <c r="L11" s="679"/>
      <c r="M11" s="679" t="str">
        <f>Language!$E$70</f>
        <v>Penalty</v>
      </c>
      <c r="N11" s="679"/>
      <c r="O11" s="680"/>
      <c r="P11" s="660"/>
      <c r="S11" s="600" t="s">
        <v>16</v>
      </c>
      <c r="T11" s="601" t="s">
        <v>365</v>
      </c>
      <c r="U11" s="601" t="s">
        <v>367</v>
      </c>
      <c r="V11" s="600" t="s">
        <v>366</v>
      </c>
    </row>
    <row r="12" spans="2:22" s="317" customFormat="1" ht="24" customHeight="1" x14ac:dyDescent="0.2">
      <c r="B12" s="377"/>
      <c r="C12" s="592">
        <f t="array" aca="1" ref="C12" ca="1">73-SUM(((Planning!$L$6:$L$77="")+(Planning!$N$6:$N$77="")&gt;0)*1)</f>
        <v>57</v>
      </c>
      <c r="D12" s="593">
        <f ca="1">IF(Planning!$U$16,"",Planning!$R$13+(Planning!$R$9+Planning!$P$77)/1440)</f>
        <v>0.71527777777777779</v>
      </c>
      <c r="E12" s="594">
        <f>IF(Planning!$U$16,"",1)</f>
        <v>1</v>
      </c>
      <c r="F12" s="595" t="s">
        <v>343</v>
      </c>
      <c r="G12" s="596" t="str">
        <f ca="1">PreliminaryRound!$N$20</f>
        <v/>
      </c>
      <c r="H12" s="331" t="s">
        <v>5</v>
      </c>
      <c r="I12" s="332" t="str">
        <f ca="1">PreliminaryRound!$N$33</f>
        <v/>
      </c>
      <c r="J12" s="334"/>
      <c r="K12" s="338" t="str">
        <f>Language!$E$80</f>
        <v>-</v>
      </c>
      <c r="L12" s="588"/>
      <c r="M12" s="589"/>
      <c r="N12" s="338" t="str">
        <f>Language!$E$80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79">
        <f t="array" aca="1" ref="C13" ca="1">ROW($A74)-SUM(((Planning!$L$6:$L$77="")+(Planning!$N$6:$N$77="")&gt;0)*1)-SUM((($G$12:$G12="")+($I$12:$I12="")&gt;0)*1)</f>
        <v>57</v>
      </c>
      <c r="D13" s="597">
        <f t="array" aca="1" ref="D13" ca="1">IF(Planning!$U$16,"",$D$12+QUOTIENT(($C13-$C$12),Planning!$U$18)*(Planning!$R$7+Planning!$R$9)/1440+SUM($P$12:$P12)/1440)</f>
        <v>0.71527777777777779</v>
      </c>
      <c r="E13" s="503">
        <f ca="1">IF(Planning!$U$16,"",MOD($C13-$C$12,Planning!$U$18)+1)</f>
        <v>1</v>
      </c>
      <c r="F13" s="327" t="s">
        <v>344</v>
      </c>
      <c r="G13" s="323" t="str">
        <f ca="1">PreliminaryRound!$N$19</f>
        <v>1. FC Riedwald</v>
      </c>
      <c r="H13" s="152" t="s">
        <v>5</v>
      </c>
      <c r="I13" s="325" t="str">
        <f ca="1">PreliminaryRound!$N$32</f>
        <v>SSV Wildbach</v>
      </c>
      <c r="J13" s="336">
        <v>2</v>
      </c>
      <c r="K13" s="339" t="str">
        <f>Language!$E$80</f>
        <v>-</v>
      </c>
      <c r="L13" s="590">
        <v>0</v>
      </c>
      <c r="M13" s="336"/>
      <c r="N13" s="339" t="str">
        <f>Language!$E$80</f>
        <v>-</v>
      </c>
      <c r="O13" s="321"/>
      <c r="P13" s="342"/>
      <c r="S13" s="317" t="b">
        <f t="shared" ref="S13:S20" ca="1" si="0">AND($G13&lt;&gt;"",$I13&lt;&gt;"",$J13&lt;&gt;"",$L13&lt;&gt;"")</f>
        <v>1</v>
      </c>
      <c r="T13" s="317" t="str">
        <f t="shared" ref="T13:T17" ca="1" si="1">IF(NOT(S13),"",IF($J13&gt;$L13,$G13,IF($J13&lt;$L13,$I13,IF(OR($M13="",$O13="",$M13=$O13),"",IF($M13&gt;$O13,$G13,$I13)))))</f>
        <v>1. FC Riedwald</v>
      </c>
      <c r="U13" s="317" t="str">
        <f t="shared" ref="U13:U17" ca="1" si="2">IF(NOT(S13),"",IF($J13&lt;$L13,$G13,IF($J13&gt;$L13,$I13,IF(OR($M13="",$O13="",$M13=$O13),"",IF($M13&lt;$O13,$G13,$I13)))))</f>
        <v>SSV Wildbach</v>
      </c>
      <c r="V13" s="317" t="b">
        <f t="shared" ref="V13:V17" ca="1" si="3">AND(S13,$J13=$L13)</f>
        <v>0</v>
      </c>
    </row>
    <row r="14" spans="2:22" s="317" customFormat="1" ht="24" customHeight="1" x14ac:dyDescent="0.2">
      <c r="B14" s="377"/>
      <c r="C14" s="379">
        <f t="array" aca="1" ref="C14" ca="1">ROW($A75)-SUM(((Planning!$L$6:$L$77="")+(Planning!$N$6:$N$77="")&gt;0)*1)-SUM((($G$12:$G13="")+($I$12:$I13="")&gt;0)*1)</f>
        <v>58</v>
      </c>
      <c r="D14" s="597">
        <f t="array" aca="1" ref="D14" ca="1">IF(Planning!$U$16,"",$D$12+QUOTIENT(($C14-$C$12),Planning!$U$18)*(Planning!$R$7+Planning!$R$9)/1440+SUM($P$12:$P13)/1440)</f>
        <v>0.71527777777777779</v>
      </c>
      <c r="E14" s="503">
        <f ca="1">IF(Planning!$U$16,"",MOD($C14-$C$12,Planning!$U$18)+1)</f>
        <v>2</v>
      </c>
      <c r="F14" s="327" t="s">
        <v>345</v>
      </c>
      <c r="G14" s="323" t="str">
        <f ca="1">PreliminaryRound!$N$18</f>
        <v>VFB Essenheim</v>
      </c>
      <c r="H14" s="152" t="s">
        <v>5</v>
      </c>
      <c r="I14" s="325" t="str">
        <f ca="1">PreliminaryRound!$N$31</f>
        <v>VFL Ronsdorf</v>
      </c>
      <c r="J14" s="336">
        <v>2</v>
      </c>
      <c r="K14" s="339" t="str">
        <f>Language!$E$80</f>
        <v>-</v>
      </c>
      <c r="L14" s="590">
        <v>4</v>
      </c>
      <c r="M14" s="336"/>
      <c r="N14" s="339" t="str">
        <f>Language!$E$80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79">
        <f t="array" aca="1" ref="C15" ca="1">ROW($A76)-SUM(((Planning!$L$6:$L$77="")+(Planning!$N$6:$N$77="")&gt;0)*1)-SUM((($G$12:$G14="")+($I$12:$I14="")&gt;0)*1)</f>
        <v>59</v>
      </c>
      <c r="D15" s="597">
        <f t="array" aca="1" ref="D15" ca="1">IF(Planning!$U$16,"",$D$12+QUOTIENT(($C15-$C$12),Planning!$U$18)*(Planning!$R$7+Planning!$R$9)/1440+SUM($P$12:$P14)/1440)</f>
        <v>0.71527777777777779</v>
      </c>
      <c r="E15" s="503">
        <f ca="1">IF(Planning!$U$16,"",MOD($C15-$C$12,Planning!$U$18)+1)</f>
        <v>3</v>
      </c>
      <c r="F15" s="327" t="s">
        <v>227</v>
      </c>
      <c r="G15" s="323" t="str">
        <f ca="1">PreliminaryRound!$N$17</f>
        <v>Maibach 1822 eV</v>
      </c>
      <c r="H15" s="152" t="s">
        <v>5</v>
      </c>
      <c r="I15" s="325" t="str">
        <f ca="1">PreliminaryRound!$N$30</f>
        <v>FC Grönlingen</v>
      </c>
      <c r="J15" s="336">
        <v>1</v>
      </c>
      <c r="K15" s="339" t="str">
        <f>Language!$E$80</f>
        <v>-</v>
      </c>
      <c r="L15" s="590">
        <v>2</v>
      </c>
      <c r="M15" s="336"/>
      <c r="N15" s="339" t="str">
        <f>Language!$E$80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x14ac:dyDescent="0.2">
      <c r="B16" s="377"/>
      <c r="C16" s="379">
        <f t="array" aca="1" ref="C16" ca="1">ROW($A77)-SUM(((Planning!$L$6:$L$77="")+(Planning!$N$6:$N$77="")&gt;0)*1)-SUM((($G$12:$G15="")+($I$12:$I15="")&gt;0)*1)</f>
        <v>60</v>
      </c>
      <c r="D16" s="597">
        <f t="array" aca="1" ref="D16" ca="1">IF(Planning!$U$16,"",$D$12+QUOTIENT(($C16-$C$12),Planning!$U$18)*(Planning!$R$7+Planning!$R$9)/1440+SUM($P$12:$P15)/1440)</f>
        <v>0.71527777777777779</v>
      </c>
      <c r="E16" s="503">
        <f ca="1">IF(Planning!$U$16,"",MOD($C16-$C$12,Planning!$U$18)+1)</f>
        <v>4</v>
      </c>
      <c r="F16" s="327" t="s">
        <v>228</v>
      </c>
      <c r="G16" s="323" t="str">
        <f ca="1">PreliminaryRound!$N$16</f>
        <v>Knock Out Rangers</v>
      </c>
      <c r="H16" s="152" t="s">
        <v>5</v>
      </c>
      <c r="I16" s="325" t="str">
        <f ca="1">PreliminaryRound!$N$29</f>
        <v>Borussia Heine</v>
      </c>
      <c r="J16" s="336">
        <v>3</v>
      </c>
      <c r="K16" s="339" t="str">
        <f>Language!$E$80</f>
        <v>-</v>
      </c>
      <c r="L16" s="590">
        <v>2</v>
      </c>
      <c r="M16" s="336"/>
      <c r="N16" s="339" t="str">
        <f>Language!$E$80</f>
        <v>-</v>
      </c>
      <c r="O16" s="321"/>
      <c r="P16" s="342"/>
      <c r="S16" s="317" t="b">
        <f t="shared" ca="1" si="0"/>
        <v>1</v>
      </c>
      <c r="T16" s="317" t="str">
        <f t="shared" ca="1" si="1"/>
        <v>Knock Out Rangers</v>
      </c>
      <c r="U16" s="317" t="str">
        <f t="shared" ca="1" si="2"/>
        <v>Borussia Heine</v>
      </c>
      <c r="V16" s="317" t="b">
        <f t="shared" ca="1" si="3"/>
        <v>0</v>
      </c>
    </row>
    <row r="17" spans="2:22" s="317" customFormat="1" ht="24" customHeight="1" x14ac:dyDescent="0.2">
      <c r="B17" s="377"/>
      <c r="C17" s="379">
        <f t="array" aca="1" ref="C17" ca="1">ROW($A78)-SUM(((Planning!$L$6:$L$77="")+(Planning!$N$6:$N$77="")&gt;0)*1)-SUM((($G$12:$G16="")+($I$12:$I16="")&gt;0)*1)</f>
        <v>61</v>
      </c>
      <c r="D17" s="597">
        <f t="array" aca="1" ref="D17" ca="1">IF(Planning!$U$16,"",$D$12+QUOTIENT(($C17-$C$12),Planning!$U$18)*(Planning!$R$7+Planning!$R$9)/1440+SUM($P$12:$P16)/1440)</f>
        <v>0.73958333333333337</v>
      </c>
      <c r="E17" s="503">
        <f ca="1">IF(Planning!$U$16,"",MOD($C17-$C$12,Planning!$U$18)+1)</f>
        <v>1</v>
      </c>
      <c r="F17" s="327" t="s">
        <v>229</v>
      </c>
      <c r="G17" s="323" t="str">
        <f ca="1">PreliminaryRound!$N$15</f>
        <v>Fun Kickers Oes</v>
      </c>
      <c r="H17" s="152" t="s">
        <v>5</v>
      </c>
      <c r="I17" s="325" t="str">
        <f ca="1">PreliminaryRound!$N$28</f>
        <v>Mainz 05</v>
      </c>
      <c r="J17" s="336">
        <v>4</v>
      </c>
      <c r="K17" s="339" t="str">
        <f>Language!$E$80</f>
        <v>-</v>
      </c>
      <c r="L17" s="590">
        <v>3</v>
      </c>
      <c r="M17" s="336"/>
      <c r="N17" s="339" t="str">
        <f>Language!$E$80</f>
        <v>-</v>
      </c>
      <c r="O17" s="321"/>
      <c r="P17" s="342"/>
      <c r="S17" s="317" t="b">
        <f t="shared" ca="1" si="0"/>
        <v>1</v>
      </c>
      <c r="T17" s="317" t="str">
        <f t="shared" ca="1" si="1"/>
        <v>Fun Kickers Oes</v>
      </c>
      <c r="U17" s="317" t="str">
        <f t="shared" ca="1" si="2"/>
        <v>Mainz 05</v>
      </c>
      <c r="V17" s="317" t="b">
        <f t="shared" ca="1" si="3"/>
        <v>0</v>
      </c>
    </row>
    <row r="18" spans="2:22" s="317" customFormat="1" ht="24" customHeight="1" x14ac:dyDescent="0.2">
      <c r="B18" s="378"/>
      <c r="C18" s="379">
        <f t="array" aca="1" ref="C18" ca="1">ROW($A79)-SUM(((Planning!$L$6:$L$77="")+(Planning!$N$6:$N$77="")&gt;0)*1)-SUM((($G$12:$G17="")+($I$12:$I17="")&gt;0)*1)</f>
        <v>62</v>
      </c>
      <c r="D18" s="597">
        <f t="array" aca="1" ref="D18" ca="1">IF(Planning!$U$16,"",$D$12+QUOTIENT(($C18-$C$12),Planning!$U$18)*(Planning!$R$7+Planning!$R$9)/1440+SUM($P$12:$P17)/1440)</f>
        <v>0.73958333333333337</v>
      </c>
      <c r="E18" s="503">
        <f ca="1">IF(Planning!$U$16,"",MOD($C18-$C$12,Planning!$U$18)+1)</f>
        <v>2</v>
      </c>
      <c r="F18" s="327" t="s">
        <v>230</v>
      </c>
      <c r="G18" s="323" t="str">
        <f ca="1">PreliminaryRound!$N$14</f>
        <v>Raslo Winners</v>
      </c>
      <c r="H18" s="152" t="s">
        <v>5</v>
      </c>
      <c r="I18" s="325" t="str">
        <f ca="1">PreliminaryRound!$N$27</f>
        <v>Inter Mailand</v>
      </c>
      <c r="J18" s="336">
        <v>5</v>
      </c>
      <c r="K18" s="339" t="str">
        <f>Language!$E$80</f>
        <v>-</v>
      </c>
      <c r="L18" s="590">
        <v>4</v>
      </c>
      <c r="M18" s="336"/>
      <c r="N18" s="339" t="str">
        <f>Language!$E$80</f>
        <v>-</v>
      </c>
      <c r="O18" s="321"/>
      <c r="P18" s="342"/>
      <c r="S18" s="317" t="b">
        <f t="shared" ca="1" si="0"/>
        <v>1</v>
      </c>
      <c r="T18" s="317" t="str">
        <f t="shared" ref="T18:T20" ca="1" si="4">IF(NOT(S18),"",IF($J18&gt;$L18,$G18,IF($J18&lt;$L18,$I18,IF(OR($M18="",$O18="",$M18=$O18),"",IF($M18&gt;$O18,$G18,$I18)))))</f>
        <v>Raslo Winners</v>
      </c>
      <c r="U18" s="317" t="str">
        <f t="shared" ref="U18:U20" ca="1" si="5">IF(NOT(S18),"",IF($J18&lt;$L18,$G18,IF($J18&gt;$L18,$I18,IF(OR($M18="",$O18="",$M18=$O18),"",IF($M18&lt;$O18,$G18,$I18)))))</f>
        <v>Inter Mailand</v>
      </c>
      <c r="V18" s="317" t="b">
        <f t="shared" ref="V18:V20" ca="1" si="6">AND(S18,$J18=$L18)</f>
        <v>0</v>
      </c>
    </row>
    <row r="19" spans="2:22" s="317" customFormat="1" ht="24" customHeight="1" x14ac:dyDescent="0.2">
      <c r="B19" s="378"/>
      <c r="C19" s="379">
        <f t="array" aca="1" ref="C19" ca="1">ROW($A80)-SUM(((Planning!$L$6:$L$77="")+(Planning!$N$6:$N$77="")&gt;0)*1)-SUM((($G$12:$G18="")+($I$12:$I18="")&gt;0)*1)</f>
        <v>63</v>
      </c>
      <c r="D19" s="597">
        <f t="array" aca="1" ref="D19" ca="1">IF(Planning!$U$16,"",$D$12+QUOTIENT(($C19-$C$12),Planning!$U$18)*(Planning!$R$7+Planning!$R$9)/1440+SUM($P$12:$P18)/1440)</f>
        <v>0.73958333333333337</v>
      </c>
      <c r="E19" s="503">
        <f ca="1">IF(Planning!$U$16,"",MOD($C19-$C$12,Planning!$U$18)+1)</f>
        <v>3</v>
      </c>
      <c r="F19" s="327" t="s">
        <v>231</v>
      </c>
      <c r="G19" s="323" t="str">
        <f ca="1">PreliminaryRound!$N$13</f>
        <v>Eintracht Frankfurt</v>
      </c>
      <c r="H19" s="152" t="s">
        <v>5</v>
      </c>
      <c r="I19" s="325" t="str">
        <f ca="1">PreliminaryRound!$N$26</f>
        <v>AC Roma</v>
      </c>
      <c r="J19" s="336">
        <v>1</v>
      </c>
      <c r="K19" s="339" t="str">
        <f>Language!$E$80</f>
        <v>-</v>
      </c>
      <c r="L19" s="590">
        <v>1</v>
      </c>
      <c r="M19" s="336">
        <v>6</v>
      </c>
      <c r="N19" s="339" t="str">
        <f>Language!$E$80</f>
        <v>-</v>
      </c>
      <c r="O19" s="321">
        <v>5</v>
      </c>
      <c r="P19" s="342"/>
      <c r="S19" s="317" t="b">
        <f t="shared" ca="1" si="0"/>
        <v>1</v>
      </c>
      <c r="T19" s="317" t="str">
        <f t="shared" ca="1" si="4"/>
        <v>Eintracht Frankfurt</v>
      </c>
      <c r="U19" s="317" t="str">
        <f t="shared" ca="1" si="5"/>
        <v>AC Roma</v>
      </c>
      <c r="V19" s="317" t="b">
        <f t="shared" ca="1" si="6"/>
        <v>1</v>
      </c>
    </row>
    <row r="20" spans="2:22" s="317" customFormat="1" ht="24" customHeight="1" thickBot="1" x14ac:dyDescent="0.25">
      <c r="B20" s="378"/>
      <c r="C20" s="380">
        <f t="array" aca="1" ref="C20" ca="1">ROW($A81)-SUM(((Planning!$L$6:$L$77="")+(Planning!$N$6:$N$77="")&gt;0)*1)-SUM((($G$12:$G19="")+($I$12:$I19="")&gt;0)*1)</f>
        <v>64</v>
      </c>
      <c r="D20" s="382">
        <f t="array" aca="1" ref="D20" ca="1">IF(Planning!$U$16,"",$D$12+QUOTIENT(($C20-$C$12),Planning!$U$18)*(Planning!$R$7+Planning!$R$9)/1440+SUM($P$12:$P19)/1440)</f>
        <v>0.73958333333333337</v>
      </c>
      <c r="E20" s="368">
        <f ca="1">IF(Planning!$U$16,"",MOD($C20-$C$12,Planning!$U$18)+1)</f>
        <v>4</v>
      </c>
      <c r="F20" s="328" t="s">
        <v>232</v>
      </c>
      <c r="G20" s="324" t="str">
        <f ca="1">PreliminaryRound!$N$12</f>
        <v>FC Barcelona</v>
      </c>
      <c r="H20" s="153" t="s">
        <v>5</v>
      </c>
      <c r="I20" s="326" t="str">
        <f ca="1">PreliminaryRound!$N$25</f>
        <v>Manchester City</v>
      </c>
      <c r="J20" s="337">
        <v>4</v>
      </c>
      <c r="K20" s="369" t="s">
        <v>233</v>
      </c>
      <c r="L20" s="591">
        <v>1</v>
      </c>
      <c r="M20" s="337"/>
      <c r="N20" s="369" t="str">
        <f>Language!$E$80</f>
        <v>-</v>
      </c>
      <c r="O20" s="322"/>
      <c r="P20" s="355"/>
      <c r="S20" s="317" t="b">
        <f t="shared" ca="1" si="0"/>
        <v>1</v>
      </c>
      <c r="T20" s="317" t="str">
        <f t="shared" ca="1" si="4"/>
        <v>FC Barcelona</v>
      </c>
      <c r="U20" s="317" t="str">
        <f t="shared" ca="1" si="5"/>
        <v>Manchester City</v>
      </c>
      <c r="V20" s="317" t="b">
        <f t="shared" ca="1" si="6"/>
        <v>0</v>
      </c>
    </row>
    <row r="21" spans="2:22" ht="13.5" thickTop="1" x14ac:dyDescent="0.2"/>
    <row r="22" spans="2:22" ht="24" customHeight="1" x14ac:dyDescent="0.2">
      <c r="C22" s="351"/>
      <c r="D22" s="351"/>
      <c r="E22" s="351"/>
      <c r="F22" s="351"/>
      <c r="G22" s="739" t="str">
        <f>Language!$E$29</f>
        <v>Tournament end:</v>
      </c>
      <c r="H22" s="739"/>
      <c r="I22" s="352">
        <f ca="1">IF(Planning!$R$13="","",$D$20+Planning!$R$7/1440)</f>
        <v>0.76041666666666674</v>
      </c>
      <c r="J22" s="353"/>
      <c r="K22" s="353"/>
      <c r="L22" s="353"/>
      <c r="M22" s="353"/>
      <c r="N22" s="353"/>
      <c r="O22" s="353"/>
      <c r="P22" s="353"/>
    </row>
    <row r="23" spans="2:22" x14ac:dyDescent="0.2">
      <c r="D23" s="349"/>
    </row>
    <row r="24" spans="2:22" ht="13.5" thickBot="1" x14ac:dyDescent="0.25">
      <c r="D24" s="349"/>
    </row>
    <row r="25" spans="2:22" ht="22.5" customHeight="1" thickBot="1" x14ac:dyDescent="0.25">
      <c r="F25" s="444" t="str">
        <f>Language!$E$88</f>
        <v>Rank</v>
      </c>
      <c r="G25" s="731" t="str">
        <f>"  "&amp;Language!$E$10</f>
        <v xml:space="preserve">  Participant or team</v>
      </c>
      <c r="H25" s="731"/>
      <c r="I25" s="732"/>
    </row>
    <row r="26" spans="2:22" ht="22.5" customHeight="1" thickTop="1" x14ac:dyDescent="0.2">
      <c r="F26" s="387">
        <v>1</v>
      </c>
      <c r="G26" s="723" t="str">
        <f ca="1">$T20</f>
        <v>FC Barcelona</v>
      </c>
      <c r="H26" s="723"/>
      <c r="I26" s="724"/>
    </row>
    <row r="27" spans="2:22" ht="22.5" customHeight="1" x14ac:dyDescent="0.2">
      <c r="F27" s="388">
        <v>2</v>
      </c>
      <c r="G27" s="725" t="str">
        <f ca="1">$U20</f>
        <v>Manchester City</v>
      </c>
      <c r="H27" s="725"/>
      <c r="I27" s="726"/>
    </row>
    <row r="28" spans="2:22" ht="22.5" customHeight="1" x14ac:dyDescent="0.2">
      <c r="F28" s="389">
        <v>3</v>
      </c>
      <c r="G28" s="727" t="str">
        <f ca="1">$T19</f>
        <v>Eintracht Frankfurt</v>
      </c>
      <c r="H28" s="727"/>
      <c r="I28" s="728"/>
    </row>
    <row r="29" spans="2:22" ht="22.5" customHeight="1" x14ac:dyDescent="0.2">
      <c r="F29" s="390">
        <v>4</v>
      </c>
      <c r="G29" s="708" t="str">
        <f ca="1">$U19</f>
        <v>AC Roma</v>
      </c>
      <c r="H29" s="708"/>
      <c r="I29" s="709"/>
    </row>
    <row r="30" spans="2:22" ht="22.5" customHeight="1" x14ac:dyDescent="0.2">
      <c r="F30" s="390">
        <v>5</v>
      </c>
      <c r="G30" s="708" t="str">
        <f ca="1">IF(AND($G18&lt;&gt;"",$I18=""),$G18,IF(AND($G18="",$I18&lt;&gt;""),$I18,$T18))</f>
        <v>Raslo Winners</v>
      </c>
      <c r="H30" s="708"/>
      <c r="I30" s="709"/>
    </row>
    <row r="31" spans="2:22" ht="22.5" customHeight="1" x14ac:dyDescent="0.2">
      <c r="F31" s="390">
        <v>6</v>
      </c>
      <c r="G31" s="708" t="str">
        <f ca="1">$U18</f>
        <v>Inter Mailand</v>
      </c>
      <c r="H31" s="708"/>
      <c r="I31" s="709"/>
    </row>
    <row r="32" spans="2:22" ht="24" customHeight="1" x14ac:dyDescent="0.2">
      <c r="E32" s="350">
        <v>1</v>
      </c>
      <c r="F32" s="390">
        <v>7</v>
      </c>
      <c r="G32" s="708" t="str">
        <f ca="1">IF(AND($G17&lt;&gt;"",$I17=""),$G17,IF(AND($G17="",$I17&lt;&gt;""),$I17,$T17))</f>
        <v>Fun Kickers Oes</v>
      </c>
      <c r="H32" s="708"/>
      <c r="I32" s="709"/>
    </row>
    <row r="33" spans="5:9" ht="24" customHeight="1" x14ac:dyDescent="0.2">
      <c r="E33" s="350">
        <v>2</v>
      </c>
      <c r="F33" s="390">
        <v>8</v>
      </c>
      <c r="G33" s="708" t="str">
        <f ca="1">$U17</f>
        <v>Mainz 05</v>
      </c>
      <c r="H33" s="708"/>
      <c r="I33" s="709"/>
    </row>
    <row r="34" spans="5:9" ht="24" customHeight="1" x14ac:dyDescent="0.2">
      <c r="E34" s="350">
        <v>3</v>
      </c>
      <c r="F34" s="390">
        <v>9</v>
      </c>
      <c r="G34" s="708" t="str">
        <f ca="1">IF(AND($G16&lt;&gt;"",$I16=""),$G16,IF(AND($G16="",$I16&lt;&gt;""),$I16,$T16))</f>
        <v>Knock Out Rangers</v>
      </c>
      <c r="H34" s="708"/>
      <c r="I34" s="709"/>
    </row>
    <row r="35" spans="5:9" ht="24" customHeight="1" x14ac:dyDescent="0.2">
      <c r="E35" s="350">
        <v>4</v>
      </c>
      <c r="F35" s="390">
        <v>10</v>
      </c>
      <c r="G35" s="708" t="str">
        <f ca="1">$U16</f>
        <v>Borussia Heine</v>
      </c>
      <c r="H35" s="708"/>
      <c r="I35" s="709"/>
    </row>
    <row r="36" spans="5:9" ht="24" customHeight="1" x14ac:dyDescent="0.2">
      <c r="E36" s="350">
        <v>5</v>
      </c>
      <c r="F36" s="390">
        <v>11</v>
      </c>
      <c r="G36" s="708" t="str">
        <f ca="1">IF(AND($G15&lt;&gt;"",$I15=""),$G15,IF(AND($G15="",$I15&lt;&gt;""),$I15,$T15))</f>
        <v>FC Grönlingen</v>
      </c>
      <c r="H36" s="708"/>
      <c r="I36" s="709"/>
    </row>
    <row r="37" spans="5:9" ht="24" customHeight="1" x14ac:dyDescent="0.2">
      <c r="E37" s="350">
        <v>6</v>
      </c>
      <c r="F37" s="390">
        <v>12</v>
      </c>
      <c r="G37" s="708" t="str">
        <f ca="1">$U15</f>
        <v>Maibach 1822 eV</v>
      </c>
      <c r="H37" s="708"/>
      <c r="I37" s="709"/>
    </row>
    <row r="38" spans="5:9" ht="24" customHeight="1" x14ac:dyDescent="0.2">
      <c r="E38" s="350">
        <v>7</v>
      </c>
      <c r="F38" s="390">
        <v>13</v>
      </c>
      <c r="G38" s="708" t="str">
        <f ca="1">IF(AND($G14&lt;&gt;"",$I14=""),$G14,IF(AND($G14="",$I14&lt;&gt;""),$I14,$T14))</f>
        <v>VFL Ronsdorf</v>
      </c>
      <c r="H38" s="708"/>
      <c r="I38" s="709"/>
    </row>
    <row r="39" spans="5:9" ht="24" customHeight="1" x14ac:dyDescent="0.2">
      <c r="E39" s="350">
        <v>8</v>
      </c>
      <c r="F39" s="390">
        <v>14</v>
      </c>
      <c r="G39" s="708" t="str">
        <f ca="1">$U14</f>
        <v>VFB Essenheim</v>
      </c>
      <c r="H39" s="708"/>
      <c r="I39" s="709"/>
    </row>
    <row r="40" spans="5:9" ht="24" customHeight="1" x14ac:dyDescent="0.2">
      <c r="E40" s="350">
        <v>9</v>
      </c>
      <c r="F40" s="390">
        <v>15</v>
      </c>
      <c r="G40" s="708" t="str">
        <f ca="1">IF(AND($G13&lt;&gt;"",$I13=""),$G13,IF(AND($G13="",$I13&lt;&gt;""),$I13,$T13))</f>
        <v>1. FC Riedwald</v>
      </c>
      <c r="H40" s="708"/>
      <c r="I40" s="709"/>
    </row>
    <row r="41" spans="5:9" ht="24" customHeight="1" x14ac:dyDescent="0.2">
      <c r="E41" s="350">
        <v>10</v>
      </c>
      <c r="F41" s="390">
        <v>16</v>
      </c>
      <c r="G41" s="708" t="str">
        <f ca="1">$U13</f>
        <v>SSV Wildbach</v>
      </c>
      <c r="H41" s="708"/>
      <c r="I41" s="709"/>
    </row>
    <row r="42" spans="5:9" ht="24" customHeight="1" x14ac:dyDescent="0.2">
      <c r="E42" s="350">
        <v>11</v>
      </c>
      <c r="F42" s="390">
        <v>17</v>
      </c>
      <c r="G42" s="708" t="str">
        <f ca="1">IF(AND($G12&lt;&gt;"",$I12=""),$G12,IF(AND($G12="",$I12&lt;&gt;""),$I12,$T12))</f>
        <v/>
      </c>
      <c r="H42" s="708"/>
      <c r="I42" s="709"/>
    </row>
    <row r="43" spans="5:9" ht="24" customHeight="1" thickBot="1" x14ac:dyDescent="0.25">
      <c r="E43" s="350">
        <v>12</v>
      </c>
      <c r="F43" s="391">
        <v>18</v>
      </c>
      <c r="G43" s="729" t="str">
        <f ca="1">$U12</f>
        <v/>
      </c>
      <c r="H43" s="729"/>
      <c r="I43" s="730"/>
    </row>
    <row r="44" spans="5:9" ht="13.5" thickTop="1" x14ac:dyDescent="0.2"/>
    <row r="45" spans="5:9" x14ac:dyDescent="0.2"/>
    <row r="46" spans="5:9" x14ac:dyDescent="0.2"/>
    <row r="47" spans="5:9" x14ac:dyDescent="0.2"/>
  </sheetData>
  <sheetProtection sheet="1" selectLockedCells="1"/>
  <mergeCells count="30">
    <mergeCell ref="G43:I43"/>
    <mergeCell ref="G25:I25"/>
    <mergeCell ref="G7:I8"/>
    <mergeCell ref="G37:I37"/>
    <mergeCell ref="G38:I38"/>
    <mergeCell ref="G39:I39"/>
    <mergeCell ref="G40:I40"/>
    <mergeCell ref="G41:I41"/>
    <mergeCell ref="G42:I42"/>
    <mergeCell ref="G32:I32"/>
    <mergeCell ref="G33:I33"/>
    <mergeCell ref="G34:I34"/>
    <mergeCell ref="G35:I35"/>
    <mergeCell ref="G36:I36"/>
    <mergeCell ref="G11:I11"/>
    <mergeCell ref="G22:H22"/>
    <mergeCell ref="G31:I31"/>
    <mergeCell ref="J11:L11"/>
    <mergeCell ref="C10:F10"/>
    <mergeCell ref="E2:P2"/>
    <mergeCell ref="E3:P3"/>
    <mergeCell ref="E4:P4"/>
    <mergeCell ref="E5:P5"/>
    <mergeCell ref="P9:P11"/>
    <mergeCell ref="M11:O11"/>
    <mergeCell ref="G26:I26"/>
    <mergeCell ref="G27:I27"/>
    <mergeCell ref="G28:I28"/>
    <mergeCell ref="G29:I29"/>
    <mergeCell ref="G30:I30"/>
  </mergeCells>
  <conditionalFormatting sqref="C12:O12 D13:O13 E14:O14 D14:D20 E15:F20 G20:I20 F15:O19 N20 C13:C20">
    <cfRule type="expression" dxfId="35" priority="9">
      <formula>OR($G12="",$I12="")</formula>
    </cfRule>
  </conditionalFormatting>
  <conditionalFormatting sqref="F20 J20:M20 O20">
    <cfRule type="expression" dxfId="34" priority="8">
      <formula>OR($G20="",$I20="")</formula>
    </cfRule>
  </conditionalFormatting>
  <conditionalFormatting sqref="M12:O20">
    <cfRule type="expression" dxfId="33" priority="1">
      <formula>NOT($V12)</formula>
    </cfRule>
    <cfRule type="expression" dxfId="32"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62103FBE-9245-4C16-947C-5C0A4CBCE1DE}">
            <xm:f>$F43&gt;2*Calc1!$F$14-MOD((Calc1!$F$13+Calc2!$F$13),2)</xm:f>
            <x14:dxf>
              <numFmt numFmtId="165" formatCode=";;;"/>
            </x14:dxf>
          </x14:cfRule>
          <xm:sqref>F43</xm:sqref>
        </x14:conditionalFormatting>
        <x14:conditionalFormatting xmlns:xm="http://schemas.microsoft.com/office/excel/2006/main">
          <x14:cfRule type="expression" priority="5" id="{68247348-F0A9-4092-B76B-1E541E29B355}">
            <xm:f>$F29&gt;2*Calc1!$F$14-MOD((Calc1!$F$13+Calc2!$F$13),2)</xm:f>
            <x14:dxf>
              <numFmt numFmtId="165" formatCode=";;;"/>
            </x14:dxf>
          </x14:cfRule>
          <xm:sqref>F29 F31 F33 F35 F37 F39 F41</xm:sqref>
        </x14:conditionalFormatting>
        <x14:conditionalFormatting xmlns:xm="http://schemas.microsoft.com/office/excel/2006/main">
          <x14:cfRule type="expression" priority="4" id="{FE848D01-E50E-49D2-A24B-0F5A73FAA467}">
            <xm:f>$F30&gt;2*Calc1!$F$14-MOD((Calc1!$F$13+Calc2!$F$13),2)</xm:f>
            <x14:dxf>
              <numFmt numFmtId="165" formatCode=";;;"/>
            </x14:dxf>
          </x14:cfRule>
          <xm:sqref>F30 F32 F34 F36 F38 F40 F42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39E1-57E8-42AF-9E1E-127DFFA04595}">
  <dimension ref="A1:V52"/>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28515625" style="49" hidden="1" customWidth="1"/>
    <col min="20" max="20" width="21" style="49" hidden="1" customWidth="1"/>
    <col min="21" max="21" width="21.85546875" style="49" hidden="1" customWidth="1"/>
    <col min="22" max="22" width="9.5703125" style="49" hidden="1" customWidth="1"/>
    <col min="23" max="16384" width="11.42578125" style="49" hidden="1"/>
  </cols>
  <sheetData>
    <row r="1" spans="2:22" ht="13.5" thickBot="1" x14ac:dyDescent="0.25"/>
    <row r="2" spans="2:22" ht="36" customHeight="1" thickTop="1" x14ac:dyDescent="0.2">
      <c r="E2" s="711" t="str">
        <f>PreliminaryRound!$G$2</f>
        <v>International tournament U10 on Jun. 6th, 2025</v>
      </c>
      <c r="F2" s="712"/>
      <c r="G2" s="712"/>
      <c r="H2" s="712"/>
      <c r="I2" s="712"/>
      <c r="J2" s="712"/>
      <c r="K2" s="712"/>
      <c r="L2" s="712"/>
      <c r="M2" s="712"/>
      <c r="N2" s="712"/>
      <c r="O2" s="712"/>
      <c r="P2" s="713"/>
    </row>
    <row r="3" spans="2:22" ht="30" customHeight="1" x14ac:dyDescent="0.2">
      <c r="E3" s="714" t="str">
        <f>PreliminaryRound!$G$3</f>
        <v>Organizer:  1. FC Riedwald</v>
      </c>
      <c r="F3" s="715"/>
      <c r="G3" s="715"/>
      <c r="H3" s="715"/>
      <c r="I3" s="715"/>
      <c r="J3" s="715"/>
      <c r="K3" s="715"/>
      <c r="L3" s="715"/>
      <c r="M3" s="715"/>
      <c r="N3" s="715"/>
      <c r="O3" s="715"/>
      <c r="P3" s="716"/>
    </row>
    <row r="4" spans="2:22" ht="30" customHeight="1" x14ac:dyDescent="0.2">
      <c r="E4" s="717" t="str">
        <f>PreliminaryRound!$G$4</f>
        <v>Sports hall Wiesengrund, Wendiger Str. 51, 65432 Riedwald</v>
      </c>
      <c r="F4" s="718"/>
      <c r="G4" s="718"/>
      <c r="H4" s="718"/>
      <c r="I4" s="718"/>
      <c r="J4" s="718"/>
      <c r="K4" s="718"/>
      <c r="L4" s="718"/>
      <c r="M4" s="718"/>
      <c r="N4" s="718"/>
      <c r="O4" s="718"/>
      <c r="P4" s="719"/>
    </row>
    <row r="5" spans="2:22" ht="30" customHeight="1" thickBot="1" x14ac:dyDescent="0.25">
      <c r="E5" s="720" t="str">
        <f>PreliminaryRound!$G$5</f>
        <v>Start:  9:00 Uhr</v>
      </c>
      <c r="F5" s="721"/>
      <c r="G5" s="721"/>
      <c r="H5" s="721"/>
      <c r="I5" s="721"/>
      <c r="J5" s="721"/>
      <c r="K5" s="721"/>
      <c r="L5" s="721"/>
      <c r="M5" s="721"/>
      <c r="N5" s="721"/>
      <c r="O5" s="721"/>
      <c r="P5" s="722"/>
    </row>
    <row r="6" spans="2:22" ht="18" customHeight="1" thickTop="1" thickBot="1" x14ac:dyDescent="0.25"/>
    <row r="7" spans="2:22" ht="30" customHeight="1" thickTop="1" x14ac:dyDescent="0.2">
      <c r="G7" s="733" t="str">
        <f>Language!$E$19</f>
        <v>Final round</v>
      </c>
      <c r="H7" s="734"/>
      <c r="I7" s="735"/>
    </row>
    <row r="8" spans="2:22" ht="30" customHeight="1" thickBot="1" x14ac:dyDescent="0.25">
      <c r="G8" s="736"/>
      <c r="H8" s="737"/>
      <c r="I8" s="738"/>
    </row>
    <row r="9" spans="2:22" ht="12.6" customHeight="1" thickTop="1" x14ac:dyDescent="0.2">
      <c r="P9" s="659" t="str">
        <f>Language!$E$20</f>
        <v>Addit. Pause (min)</v>
      </c>
    </row>
    <row r="10" spans="2:22" ht="27.95" customHeight="1" thickBot="1" x14ac:dyDescent="0.35">
      <c r="C10" s="710" t="str">
        <f>Language!$E$62&amp;IF(MIN(Calc1!$F$13,Calc2!$F$13)*2&lt;6,""," 5 - "&amp;MIN(Calc1!$F$13,Calc2!$F$13)*2)</f>
        <v>Games for places  5 - 16</v>
      </c>
      <c r="D10" s="710"/>
      <c r="E10" s="710"/>
      <c r="F10" s="710"/>
      <c r="P10" s="659"/>
    </row>
    <row r="11" spans="2:22" ht="24" customHeight="1" thickTop="1" thickBot="1" x14ac:dyDescent="0.25">
      <c r="B11" s="348"/>
      <c r="C11" s="386" t="str">
        <f>Language!$E$9</f>
        <v>No.</v>
      </c>
      <c r="D11" s="344" t="str">
        <f>Language!$E$39</f>
        <v>Start</v>
      </c>
      <c r="E11" s="333" t="str">
        <f>Language!$E$48</f>
        <v>Field</v>
      </c>
      <c r="F11" s="333"/>
      <c r="G11" s="679" t="str">
        <f>Language!$E$14</f>
        <v>Match pairing</v>
      </c>
      <c r="H11" s="679"/>
      <c r="I11" s="679"/>
      <c r="J11" s="679" t="str">
        <f>Language!$E$15</f>
        <v>Result</v>
      </c>
      <c r="K11" s="679"/>
      <c r="L11" s="679"/>
      <c r="M11" s="679" t="str">
        <f>Language!$E$70</f>
        <v>Penalty</v>
      </c>
      <c r="N11" s="679"/>
      <c r="O11" s="680"/>
      <c r="P11" s="660"/>
      <c r="S11" s="600" t="s">
        <v>16</v>
      </c>
      <c r="T11" s="601" t="s">
        <v>365</v>
      </c>
      <c r="U11" s="601" t="s">
        <v>367</v>
      </c>
      <c r="V11" s="600" t="s">
        <v>366</v>
      </c>
    </row>
    <row r="12" spans="2:22" s="317" customFormat="1" ht="24" customHeight="1" x14ac:dyDescent="0.2">
      <c r="B12" s="377"/>
      <c r="C12" s="385">
        <f t="array" aca="1" ref="C12" ca="1">73-SUM(((Planning!$L$6:$L$77="")+(Planning!$N$6:$N$77="")&gt;0)*1)</f>
        <v>57</v>
      </c>
      <c r="D12" s="345">
        <f ca="1">IF(Planning!$U$16,"",Planning!$R$13+(Planning!$R$9+Planning!$P$77)/1440)</f>
        <v>0.71527777777777779</v>
      </c>
      <c r="E12" s="594">
        <f>IF(Planning!$U$16,"",1)</f>
        <v>1</v>
      </c>
      <c r="F12" s="595" t="s">
        <v>343</v>
      </c>
      <c r="G12" s="330" t="str">
        <f ca="1">PreliminaryRound!$N$20</f>
        <v/>
      </c>
      <c r="H12" s="331" t="s">
        <v>5</v>
      </c>
      <c r="I12" s="332" t="str">
        <f ca="1">PreliminaryRound!$N$33</f>
        <v/>
      </c>
      <c r="J12" s="334"/>
      <c r="K12" s="338" t="str">
        <f>Language!$E$80</f>
        <v>-</v>
      </c>
      <c r="L12" s="598"/>
      <c r="M12" s="334"/>
      <c r="N12" s="338" t="str">
        <f>Language!$E$80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85">
        <f t="array" aca="1" ref="C13" ca="1">ROW($A74)-SUM(((Planning!$L$6:$L$77="")+(Planning!$N$6:$N$77="")&gt;0)*1)-SUM((($G$12:$G12="")+($I$12:$I12="")&gt;0)*1)</f>
        <v>57</v>
      </c>
      <c r="D13" s="346">
        <f t="array" aca="1" ref="D13" ca="1">IF(Planning!$U$16,"",$D$12+QUOTIENT(($C13-$C$12),Planning!$U$18)*(Planning!$R$7+Planning!$R$9)/1440+SUM($P$12:$P12)/1440)</f>
        <v>0.71527777777777779</v>
      </c>
      <c r="E13" s="340">
        <f ca="1">IF(Planning!$U$16,"",MOD($C13-$C$12,Planning!$U$18)+1)</f>
        <v>1</v>
      </c>
      <c r="F13" s="327" t="s">
        <v>344</v>
      </c>
      <c r="G13" s="323" t="str">
        <f ca="1">PreliminaryRound!$N$19</f>
        <v>1. FC Riedwald</v>
      </c>
      <c r="H13" s="152" t="s">
        <v>5</v>
      </c>
      <c r="I13" s="325" t="str">
        <f ca="1">PreliminaryRound!$N$32</f>
        <v>SSV Wildbach</v>
      </c>
      <c r="J13" s="336">
        <v>2</v>
      </c>
      <c r="K13" s="338" t="str">
        <f>Language!$E$80</f>
        <v>-</v>
      </c>
      <c r="L13" s="590">
        <v>0</v>
      </c>
      <c r="M13" s="336"/>
      <c r="N13" s="338" t="str">
        <f>Language!$E$80</f>
        <v>-</v>
      </c>
      <c r="O13" s="321"/>
      <c r="P13" s="342"/>
      <c r="S13" s="317" t="b">
        <f t="shared" ref="S13:S24" ca="1" si="0">AND($G13&lt;&gt;"",$I13&lt;&gt;"",$J13&lt;&gt;"",$L13&lt;&gt;"")</f>
        <v>1</v>
      </c>
      <c r="T13" s="317" t="str">
        <f t="shared" ref="T13:T18" ca="1" si="1">IF(NOT(S13),"",IF($J13&gt;$L13,$G13,IF($J13&lt;$L13,$I13,IF(OR($M13="",$O13="",$M13=$O13),"",IF($M13&gt;$O13,$G13,$I13)))))</f>
        <v>1. FC Riedwald</v>
      </c>
      <c r="U13" s="317" t="str">
        <f t="shared" ref="U13:U18" ca="1" si="2">IF(NOT(S13),"",IF($J13&lt;$L13,$G13,IF($J13&gt;$L13,$I13,IF(OR($M13="",$O13="",$M13=$O13),"",IF($M13&lt;$O13,$G13,$I13)))))</f>
        <v>SSV Wildbach</v>
      </c>
      <c r="V13" s="317" t="b">
        <f t="shared" ref="V13:V18" ca="1" si="3">AND(S13,$J13=$L13)</f>
        <v>0</v>
      </c>
    </row>
    <row r="14" spans="2:22" s="317" customFormat="1" ht="24" customHeight="1" x14ac:dyDescent="0.2">
      <c r="B14" s="377"/>
      <c r="C14" s="385">
        <f t="array" aca="1" ref="C14" ca="1">ROW($A75)-SUM(((Planning!$L$6:$L$77="")+(Planning!$N$6:$N$77="")&gt;0)*1)-SUM((($G$12:$G13="")+($I$12:$I13="")&gt;0)*1)</f>
        <v>58</v>
      </c>
      <c r="D14" s="346">
        <f t="array" aca="1" ref="D14" ca="1">IF(Planning!$U$16,"",$D$12+QUOTIENT(($C14-$C$12),Planning!$U$18)*(Planning!$R$7+Planning!$R$9)/1440+SUM($P$12:$P13)/1440)</f>
        <v>0.71527777777777779</v>
      </c>
      <c r="E14" s="340">
        <f ca="1">IF(Planning!$U$16,"",MOD($C14-$C$12,Planning!$U$18)+1)</f>
        <v>2</v>
      </c>
      <c r="F14" s="327" t="s">
        <v>345</v>
      </c>
      <c r="G14" s="323" t="str">
        <f ca="1">PreliminaryRound!$N$18</f>
        <v>VFB Essenheim</v>
      </c>
      <c r="H14" s="152" t="s">
        <v>5</v>
      </c>
      <c r="I14" s="325" t="str">
        <f ca="1">PreliminaryRound!$N$31</f>
        <v>VFL Ronsdorf</v>
      </c>
      <c r="J14" s="336">
        <v>2</v>
      </c>
      <c r="K14" s="338" t="str">
        <f>Language!$E$80</f>
        <v>-</v>
      </c>
      <c r="L14" s="590">
        <v>4</v>
      </c>
      <c r="M14" s="336"/>
      <c r="N14" s="338" t="str">
        <f>Language!$E$80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85">
        <f t="array" aca="1" ref="C15" ca="1">ROW($A76)-SUM(((Planning!$L$6:$L$77="")+(Planning!$N$6:$N$77="")&gt;0)*1)-SUM((($G$12:$G14="")+($I$12:$I14="")&gt;0)*1)</f>
        <v>59</v>
      </c>
      <c r="D15" s="346">
        <f t="array" aca="1" ref="D15" ca="1">IF(Planning!$U$16,"",$D$12+QUOTIENT(($C15-$C$12),Planning!$U$18)*(Planning!$R$7+Planning!$R$9)/1440+SUM($P$12:$P14)/1440)</f>
        <v>0.71527777777777779</v>
      </c>
      <c r="E15" s="340">
        <f ca="1">IF(Planning!$U$16,"",MOD($C15-$C$12,Planning!$U$18)+1)</f>
        <v>3</v>
      </c>
      <c r="F15" s="329" t="s">
        <v>227</v>
      </c>
      <c r="G15" s="323" t="str">
        <f ca="1">PreliminaryRound!$N$17</f>
        <v>Maibach 1822 eV</v>
      </c>
      <c r="H15" s="152" t="s">
        <v>5</v>
      </c>
      <c r="I15" s="325" t="str">
        <f ca="1">PreliminaryRound!$N$30</f>
        <v>FC Grönlingen</v>
      </c>
      <c r="J15" s="336">
        <v>1</v>
      </c>
      <c r="K15" s="339" t="str">
        <f>Language!$E$80</f>
        <v>-</v>
      </c>
      <c r="L15" s="590">
        <v>2</v>
      </c>
      <c r="M15" s="336"/>
      <c r="N15" s="339" t="str">
        <f>Language!$E$80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x14ac:dyDescent="0.2">
      <c r="B16" s="377"/>
      <c r="C16" s="385">
        <f t="array" aca="1" ref="C16" ca="1">ROW($A77)-SUM(((Planning!$L$6:$L$77="")+(Planning!$N$6:$N$77="")&gt;0)*1)-SUM((($G$12:$G15="")+($I$12:$I15="")&gt;0)*1)</f>
        <v>60</v>
      </c>
      <c r="D16" s="346">
        <f t="array" aca="1" ref="D16" ca="1">IF(Planning!$U$16,"",$D$12+QUOTIENT(($C16-$C$12),Planning!$U$18)*(Planning!$R$7+Planning!$R$9)/1440+SUM($P$12:$P15)/1440)</f>
        <v>0.71527777777777779</v>
      </c>
      <c r="E16" s="340">
        <f ca="1">IF(Planning!$U$16,"",MOD($C16-$C$12,Planning!$U$18)+1)</f>
        <v>4</v>
      </c>
      <c r="F16" s="327" t="s">
        <v>228</v>
      </c>
      <c r="G16" s="323" t="str">
        <f ca="1">PreliminaryRound!$N$16</f>
        <v>Knock Out Rangers</v>
      </c>
      <c r="H16" s="152" t="s">
        <v>5</v>
      </c>
      <c r="I16" s="325" t="str">
        <f ca="1">PreliminaryRound!$N$29</f>
        <v>Borussia Heine</v>
      </c>
      <c r="J16" s="336">
        <v>3</v>
      </c>
      <c r="K16" s="339" t="str">
        <f>Language!$E$80</f>
        <v>-</v>
      </c>
      <c r="L16" s="590">
        <v>2</v>
      </c>
      <c r="M16" s="336"/>
      <c r="N16" s="339" t="str">
        <f>Language!$E$80</f>
        <v>-</v>
      </c>
      <c r="O16" s="321"/>
      <c r="P16" s="354"/>
      <c r="S16" s="317" t="b">
        <f t="shared" ca="1" si="0"/>
        <v>1</v>
      </c>
      <c r="T16" s="317" t="str">
        <f t="shared" ca="1" si="1"/>
        <v>Knock Out Rangers</v>
      </c>
      <c r="U16" s="317" t="str">
        <f t="shared" ca="1" si="2"/>
        <v>Borussia Heine</v>
      </c>
      <c r="V16" s="317" t="b">
        <f t="shared" ca="1" si="3"/>
        <v>0</v>
      </c>
    </row>
    <row r="17" spans="2:22" s="317" customFormat="1" ht="24" customHeight="1" x14ac:dyDescent="0.2">
      <c r="B17" s="377"/>
      <c r="C17" s="385">
        <f t="array" aca="1" ref="C17" ca="1">ROW($A78)-SUM(((Planning!$L$6:$L$77="")+(Planning!$N$6:$N$77="")&gt;0)*1)-SUM((($G$12:$G16="")+($I$12:$I16="")&gt;0)*1)</f>
        <v>61</v>
      </c>
      <c r="D17" s="346">
        <f t="array" aca="1" ref="D17" ca="1">IF(Planning!$U$16,"",$D$12+QUOTIENT(($C17-$C$12),Planning!$U$18)*(Planning!$R$7+Planning!$R$9)/1440+SUM($P$12:$P16)/1440)</f>
        <v>0.73958333333333337</v>
      </c>
      <c r="E17" s="340">
        <f ca="1">IF(Planning!$U$16,"",MOD($C17-$C$12,Planning!$U$18)+1)</f>
        <v>1</v>
      </c>
      <c r="F17" s="327" t="s">
        <v>229</v>
      </c>
      <c r="G17" s="323" t="str">
        <f ca="1">PreliminaryRound!$N$15</f>
        <v>Fun Kickers Oes</v>
      </c>
      <c r="H17" s="152" t="s">
        <v>5</v>
      </c>
      <c r="I17" s="325" t="str">
        <f ca="1">PreliminaryRound!$N$28</f>
        <v>Mainz 05</v>
      </c>
      <c r="J17" s="336">
        <v>4</v>
      </c>
      <c r="K17" s="339" t="str">
        <f>Language!$E$80</f>
        <v>-</v>
      </c>
      <c r="L17" s="590">
        <v>3</v>
      </c>
      <c r="M17" s="336"/>
      <c r="N17" s="339" t="str">
        <f>Language!$E$80</f>
        <v>-</v>
      </c>
      <c r="O17" s="321"/>
      <c r="P17" s="354"/>
      <c r="S17" s="317" t="b">
        <f t="shared" ca="1" si="0"/>
        <v>1</v>
      </c>
      <c r="T17" s="317" t="str">
        <f t="shared" ca="1" si="1"/>
        <v>Fun Kickers Oes</v>
      </c>
      <c r="U17" s="317" t="str">
        <f t="shared" ca="1" si="2"/>
        <v>Mainz 05</v>
      </c>
      <c r="V17" s="317" t="b">
        <f t="shared" ca="1" si="3"/>
        <v>0</v>
      </c>
    </row>
    <row r="18" spans="2:22" s="317" customFormat="1" ht="24" customHeight="1" thickBot="1" x14ac:dyDescent="0.25">
      <c r="B18" s="378"/>
      <c r="C18" s="562">
        <f t="array" aca="1" ref="C18" ca="1">ROW($A79)-SUM(((Planning!$L$6:$L$77="")+(Planning!$N$6:$N$77="")&gt;0)*1)-SUM((($G$12:$G17="")+($I$12:$I17="")&gt;0)*1)</f>
        <v>62</v>
      </c>
      <c r="D18" s="347">
        <f t="array" aca="1" ref="D18" ca="1">IF(Planning!$U$16,"",$D$12+QUOTIENT(($C18-$C$12),Planning!$U$18)*(Planning!$R$7+Planning!$R$9)/1440+SUM($P$12:$P17)/1440)</f>
        <v>0.73958333333333337</v>
      </c>
      <c r="E18" s="343">
        <f ca="1">IF(Planning!$U$16,"",MOD($C18-$C$12,Planning!$U$18)+1)</f>
        <v>2</v>
      </c>
      <c r="F18" s="328" t="s">
        <v>230</v>
      </c>
      <c r="G18" s="324" t="str">
        <f ca="1">PreliminaryRound!$N$14</f>
        <v>Raslo Winners</v>
      </c>
      <c r="H18" s="153" t="s">
        <v>5</v>
      </c>
      <c r="I18" s="326" t="str">
        <f ca="1">PreliminaryRound!$N$27</f>
        <v>Inter Mailand</v>
      </c>
      <c r="J18" s="337">
        <v>5</v>
      </c>
      <c r="K18" s="369" t="str">
        <f>Language!$E$80</f>
        <v>-</v>
      </c>
      <c r="L18" s="591">
        <v>4</v>
      </c>
      <c r="M18" s="337"/>
      <c r="N18" s="369" t="str">
        <f>Language!$E$80</f>
        <v>-</v>
      </c>
      <c r="O18" s="322"/>
      <c r="P18" s="370"/>
      <c r="S18" s="317" t="b">
        <f t="shared" ca="1" si="0"/>
        <v>1</v>
      </c>
      <c r="T18" s="317" t="str">
        <f t="shared" ca="1" si="1"/>
        <v>Raslo Winners</v>
      </c>
      <c r="U18" s="317" t="str">
        <f t="shared" ca="1" si="2"/>
        <v>Inter Mailand</v>
      </c>
      <c r="V18" s="317" t="b">
        <f t="shared" ca="1" si="3"/>
        <v>0</v>
      </c>
    </row>
    <row r="19" spans="2:22" s="317" customFormat="1" ht="24" customHeight="1" thickTop="1" thickBot="1" x14ac:dyDescent="0.35">
      <c r="B19" s="378"/>
      <c r="C19" s="740" t="str">
        <f>Language!$E$60</f>
        <v>Semi-finals</v>
      </c>
      <c r="D19" s="740"/>
      <c r="E19" s="740"/>
      <c r="F19" s="740"/>
      <c r="G19" s="396" t="s">
        <v>274</v>
      </c>
      <c r="H19" s="123"/>
      <c r="I19" s="396" t="s">
        <v>274</v>
      </c>
      <c r="J19" s="357"/>
      <c r="K19" s="357"/>
      <c r="L19" s="357"/>
      <c r="M19" s="357"/>
      <c r="N19" s="357"/>
      <c r="O19" s="357"/>
      <c r="P19" s="359"/>
    </row>
    <row r="20" spans="2:22" s="317" customFormat="1" ht="24" customHeight="1" thickTop="1" x14ac:dyDescent="0.2">
      <c r="B20" s="378"/>
      <c r="C20" s="564">
        <f t="array" aca="1" ref="C20" ca="1">ROW($A80)-SUM(((Planning!$L$6:$L$77="")+(Planning!$N$6:$N$77="")&gt;0)*1)-SUM((($G$12:$G19="")+($I$12:$I19="")&gt;0)*1)</f>
        <v>63</v>
      </c>
      <c r="D20" s="565">
        <f t="array" aca="1" ref="D20" ca="1">IF(Planning!$U$16,"",$D$12+QUOTIENT(($C20-$C$12),Planning!$U$18)*(Planning!$R$7+Planning!$R$9)/1440+SUM($P$12:$P19)/1440)</f>
        <v>0.73958333333333337</v>
      </c>
      <c r="E20" s="360">
        <f ca="1">IF(Planning!$U$16,"",MOD($C20-$C$12,Planning!$U$18)+1)</f>
        <v>3</v>
      </c>
      <c r="F20" s="361" t="s">
        <v>251</v>
      </c>
      <c r="G20" s="362" t="str">
        <f ca="1">PreliminaryRound!$N$12</f>
        <v>FC Barcelona</v>
      </c>
      <c r="H20" s="363" t="s">
        <v>5</v>
      </c>
      <c r="I20" s="364" t="str">
        <f ca="1">PreliminaryRound!$N$26</f>
        <v>AC Roma</v>
      </c>
      <c r="J20" s="365">
        <v>3</v>
      </c>
      <c r="K20" s="366" t="str">
        <f>Language!$E$80</f>
        <v>-</v>
      </c>
      <c r="L20" s="599">
        <v>2</v>
      </c>
      <c r="M20" s="365"/>
      <c r="N20" s="366" t="s">
        <v>233</v>
      </c>
      <c r="O20" s="367"/>
      <c r="P20" s="563"/>
      <c r="S20" s="317" t="b">
        <f t="shared" ca="1" si="0"/>
        <v>1</v>
      </c>
      <c r="T20" s="317" t="str">
        <f t="shared" ref="T20:T21" ca="1" si="4">IF(NOT(S20),"",IF($J20&gt;$L20,$G20,IF($J20&lt;$L20,$I20,IF(OR($M20="",$O20="",$M20=$O20),"",IF($M20&gt;$O20,$G20,$I20)))))</f>
        <v>FC Barcelona</v>
      </c>
      <c r="U20" s="317" t="str">
        <f t="shared" ref="U20:U21" ca="1" si="5">IF(NOT(S20),"",IF($J20&lt;$L20,$G20,IF($J20&gt;$L20,$I20,IF(OR($M20="",$O20="",$M20=$O20),"",IF($M20&lt;$O20,$G20,$I20)))))</f>
        <v>AC Roma</v>
      </c>
      <c r="V20" s="317" t="b">
        <f t="shared" ref="V20:V21" ca="1" si="6">AND(S20,$J20=$L20)</f>
        <v>0</v>
      </c>
    </row>
    <row r="21" spans="2:22" s="317" customFormat="1" ht="24" customHeight="1" thickBot="1" x14ac:dyDescent="0.25">
      <c r="B21" s="378"/>
      <c r="C21" s="562">
        <f ca="1">$C$20+1</f>
        <v>64</v>
      </c>
      <c r="D21" s="347">
        <f t="array" aca="1" ref="D21" ca="1">IF(Planning!$U$16,"",$D$12+QUOTIENT(($C21-$C$12),Planning!$U$18)*(Planning!$R$7+Planning!$R$9)/1440+SUM($P$12:$P20)/1440)</f>
        <v>0.73958333333333337</v>
      </c>
      <c r="E21" s="343">
        <f ca="1">IF(Planning!$U$16,"",MOD($C21-$C$12,Planning!$U$18)+1)</f>
        <v>4</v>
      </c>
      <c r="F21" s="328" t="s">
        <v>252</v>
      </c>
      <c r="G21" s="324" t="str">
        <f ca="1">PreliminaryRound!$N$25</f>
        <v>Manchester City</v>
      </c>
      <c r="H21" s="153" t="s">
        <v>5</v>
      </c>
      <c r="I21" s="326" t="str">
        <f ca="1">PreliminaryRound!$N$13</f>
        <v>Eintracht Frankfurt</v>
      </c>
      <c r="J21" s="337">
        <v>4</v>
      </c>
      <c r="K21" s="369" t="str">
        <f>Language!$E$80</f>
        <v>-</v>
      </c>
      <c r="L21" s="591">
        <v>1</v>
      </c>
      <c r="M21" s="337"/>
      <c r="N21" s="369" t="s">
        <v>233</v>
      </c>
      <c r="O21" s="322"/>
      <c r="P21" s="370"/>
      <c r="S21" s="317" t="b">
        <f t="shared" ca="1" si="0"/>
        <v>1</v>
      </c>
      <c r="T21" s="317" t="str">
        <f t="shared" ca="1" si="4"/>
        <v>Manchester City</v>
      </c>
      <c r="U21" s="317" t="str">
        <f t="shared" ca="1" si="5"/>
        <v>Eintracht Frankfurt</v>
      </c>
      <c r="V21" s="317" t="b">
        <f t="shared" ca="1" si="6"/>
        <v>0</v>
      </c>
    </row>
    <row r="22" spans="2:22" s="317" customFormat="1" ht="24" customHeight="1" thickTop="1" thickBot="1" x14ac:dyDescent="0.35">
      <c r="B22" s="378"/>
      <c r="C22" s="740" t="str">
        <f>Language!$E$61</f>
        <v>Finals</v>
      </c>
      <c r="D22" s="740"/>
      <c r="E22" s="740"/>
      <c r="F22" s="740"/>
      <c r="G22" s="443"/>
      <c r="H22" s="123"/>
      <c r="I22" s="443"/>
      <c r="J22" s="357"/>
      <c r="K22" s="357"/>
      <c r="L22" s="357"/>
      <c r="M22" s="357"/>
      <c r="N22" s="357"/>
      <c r="O22" s="357"/>
      <c r="P22" s="359"/>
    </row>
    <row r="23" spans="2:22" s="317" customFormat="1" ht="24" customHeight="1" thickTop="1" x14ac:dyDescent="0.2">
      <c r="B23" s="378"/>
      <c r="C23" s="564">
        <f ca="1">$C$20+2</f>
        <v>65</v>
      </c>
      <c r="D23" s="565">
        <f ca="1">IF(Planning!$U$16,"",$D$21+($P$21+Planning!$R$9+Planning!$R$7)/1440)</f>
        <v>0.76388888888888895</v>
      </c>
      <c r="E23" s="360">
        <f>IF(Planning!$U$16,"",1)</f>
        <v>1</v>
      </c>
      <c r="F23" s="361" t="str">
        <f>Language!$E$89</f>
        <v>3rd place</v>
      </c>
      <c r="G23" s="362" t="str">
        <f ca="1">$U20</f>
        <v>AC Roma</v>
      </c>
      <c r="H23" s="363" t="s">
        <v>5</v>
      </c>
      <c r="I23" s="364" t="str">
        <f ca="1">$U21</f>
        <v>Eintracht Frankfurt</v>
      </c>
      <c r="J23" s="365">
        <v>5</v>
      </c>
      <c r="K23" s="366" t="str">
        <f>Language!$E$80</f>
        <v>-</v>
      </c>
      <c r="L23" s="599">
        <v>2</v>
      </c>
      <c r="M23" s="365"/>
      <c r="N23" s="366" t="str">
        <f>Language!$E$80</f>
        <v>-</v>
      </c>
      <c r="O23" s="367"/>
      <c r="P23" s="341"/>
      <c r="S23" s="317" t="b">
        <f t="shared" ca="1" si="0"/>
        <v>1</v>
      </c>
      <c r="T23" s="317" t="str">
        <f t="shared" ref="T23:T24" ca="1" si="7">IF(NOT(S23),"",IF($J23&gt;$L23,$G23,IF($J23&lt;$L23,$I23,IF(OR($M23="",$O23="",$M23=$O23),"",IF($M23&gt;$O23,$G23,$I23)))))</f>
        <v>AC Roma</v>
      </c>
      <c r="U23" s="317" t="str">
        <f t="shared" ref="U23:U24" ca="1" si="8">IF(NOT(S23),"",IF($J23&lt;$L23,$G23,IF($J23&gt;$L23,$I23,IF(OR($M23="",$O23="",$M23=$O23),"",IF($M23&lt;$O23,$G23,$I23)))))</f>
        <v>Eintracht Frankfurt</v>
      </c>
      <c r="V23" s="317" t="b">
        <f t="shared" ref="V23:V24" ca="1" si="9">AND(S23,$J23=$L23)</f>
        <v>0</v>
      </c>
    </row>
    <row r="24" spans="2:22" s="317" customFormat="1" ht="24" customHeight="1" thickBot="1" x14ac:dyDescent="0.25">
      <c r="B24" s="378"/>
      <c r="C24" s="562">
        <f ca="1">$C$20+3</f>
        <v>66</v>
      </c>
      <c r="D24" s="347">
        <f ca="1">IF(Planning!$U$16,"",$D$23+($P$23+Planning!$R$9+Planning!$R$7)/1440)</f>
        <v>0.78819444444444453</v>
      </c>
      <c r="E24" s="343">
        <f>IF(Planning!$U$16,"",1)</f>
        <v>1</v>
      </c>
      <c r="F24" s="328" t="str">
        <f>Language!$E$90</f>
        <v>Final</v>
      </c>
      <c r="G24" s="324" t="str">
        <f ca="1">$T20</f>
        <v>FC Barcelona</v>
      </c>
      <c r="H24" s="153" t="s">
        <v>5</v>
      </c>
      <c r="I24" s="326" t="str">
        <f ca="1">$T21</f>
        <v>Manchester City</v>
      </c>
      <c r="J24" s="337">
        <v>4</v>
      </c>
      <c r="K24" s="369" t="s">
        <v>233</v>
      </c>
      <c r="L24" s="591">
        <v>1</v>
      </c>
      <c r="M24" s="337"/>
      <c r="N24" s="369" t="str">
        <f>Language!$E$80</f>
        <v>-</v>
      </c>
      <c r="O24" s="322"/>
      <c r="P24" s="355"/>
      <c r="S24" s="317" t="b">
        <f t="shared" ca="1" si="0"/>
        <v>1</v>
      </c>
      <c r="T24" s="317" t="str">
        <f t="shared" ca="1" si="7"/>
        <v>FC Barcelona</v>
      </c>
      <c r="U24" s="317" t="str">
        <f t="shared" ca="1" si="8"/>
        <v>Manchester City</v>
      </c>
      <c r="V24" s="317" t="b">
        <f t="shared" ca="1" si="9"/>
        <v>0</v>
      </c>
    </row>
    <row r="25" spans="2:22" ht="13.5" thickTop="1" x14ac:dyDescent="0.2"/>
    <row r="26" spans="2:22" ht="24" customHeight="1" x14ac:dyDescent="0.2">
      <c r="C26" s="351"/>
      <c r="D26" s="351"/>
      <c r="E26" s="351"/>
      <c r="F26" s="351"/>
      <c r="G26" s="739" t="str">
        <f>Language!$E$29</f>
        <v>Tournament end:</v>
      </c>
      <c r="H26" s="739"/>
      <c r="I26" s="352">
        <f ca="1">IF(Planning!$R$13="","",$D$24+Planning!$R$7/1440)</f>
        <v>0.8090277777777779</v>
      </c>
      <c r="J26" s="353"/>
      <c r="K26" s="353"/>
      <c r="L26" s="353"/>
      <c r="M26" s="353"/>
      <c r="N26" s="353"/>
      <c r="O26" s="353"/>
      <c r="P26" s="353"/>
    </row>
    <row r="27" spans="2:22" x14ac:dyDescent="0.2">
      <c r="D27" s="349"/>
    </row>
    <row r="28" spans="2:22" ht="13.5" thickBot="1" x14ac:dyDescent="0.25">
      <c r="D28" s="349"/>
    </row>
    <row r="29" spans="2:22" ht="22.5" customHeight="1" thickBot="1" x14ac:dyDescent="0.25">
      <c r="F29" s="444" t="str">
        <f>Language!$E$88</f>
        <v>Rank</v>
      </c>
      <c r="G29" s="731" t="str">
        <f>"  "&amp;Language!$E$10</f>
        <v xml:space="preserve">  Participant or team</v>
      </c>
      <c r="H29" s="731"/>
      <c r="I29" s="732"/>
    </row>
    <row r="30" spans="2:22" ht="22.5" customHeight="1" thickTop="1" x14ac:dyDescent="0.2">
      <c r="F30" s="387">
        <v>1</v>
      </c>
      <c r="G30" s="723" t="str">
        <f ca="1">$T24</f>
        <v>FC Barcelona</v>
      </c>
      <c r="H30" s="723"/>
      <c r="I30" s="724"/>
    </row>
    <row r="31" spans="2:22" ht="22.5" customHeight="1" x14ac:dyDescent="0.2">
      <c r="F31" s="388">
        <v>2</v>
      </c>
      <c r="G31" s="725" t="str">
        <f ca="1">$U24</f>
        <v>Manchester City</v>
      </c>
      <c r="H31" s="725"/>
      <c r="I31" s="726"/>
    </row>
    <row r="32" spans="2:22" ht="22.5" customHeight="1" x14ac:dyDescent="0.2">
      <c r="F32" s="389">
        <v>3</v>
      </c>
      <c r="G32" s="727" t="str">
        <f ca="1">IF(AND($G23&lt;&gt;"",$I23=""),$G23,IF(AND($G23="",$I23&lt;&gt;""),$I23,$T23))</f>
        <v>AC Roma</v>
      </c>
      <c r="H32" s="727"/>
      <c r="I32" s="728"/>
    </row>
    <row r="33" spans="5:9" ht="22.5" customHeight="1" x14ac:dyDescent="0.2">
      <c r="F33" s="390">
        <v>4</v>
      </c>
      <c r="G33" s="708" t="str">
        <f ca="1">$U23</f>
        <v>Eintracht Frankfurt</v>
      </c>
      <c r="H33" s="708"/>
      <c r="I33" s="709"/>
    </row>
    <row r="34" spans="5:9" ht="22.5" customHeight="1" x14ac:dyDescent="0.2">
      <c r="F34" s="390">
        <v>5</v>
      </c>
      <c r="G34" s="708" t="str">
        <f ca="1">IF(AND($G18&lt;&gt;"",$I18=""),$G18,IF(AND($G18="",$I18&lt;&gt;""),$I18,$T18))</f>
        <v>Raslo Winners</v>
      </c>
      <c r="H34" s="708"/>
      <c r="I34" s="709"/>
    </row>
    <row r="35" spans="5:9" ht="22.5" customHeight="1" x14ac:dyDescent="0.2">
      <c r="F35" s="390">
        <v>6</v>
      </c>
      <c r="G35" s="708" t="str">
        <f ca="1">$U18</f>
        <v>Inter Mailand</v>
      </c>
      <c r="H35" s="708"/>
      <c r="I35" s="709"/>
    </row>
    <row r="36" spans="5:9" ht="24" customHeight="1" x14ac:dyDescent="0.2">
      <c r="E36" s="350">
        <v>1</v>
      </c>
      <c r="F36" s="390">
        <v>7</v>
      </c>
      <c r="G36" s="708" t="str">
        <f ca="1">IF(AND($G17&lt;&gt;"",$I17=""),$G17,IF(AND($G17="",$I17&lt;&gt;""),$I17,$T17))</f>
        <v>Fun Kickers Oes</v>
      </c>
      <c r="H36" s="708"/>
      <c r="I36" s="709"/>
    </row>
    <row r="37" spans="5:9" ht="24" customHeight="1" x14ac:dyDescent="0.2">
      <c r="E37" s="350">
        <v>2</v>
      </c>
      <c r="F37" s="390">
        <v>8</v>
      </c>
      <c r="G37" s="708" t="str">
        <f ca="1">$U17</f>
        <v>Mainz 05</v>
      </c>
      <c r="H37" s="708"/>
      <c r="I37" s="709"/>
    </row>
    <row r="38" spans="5:9" ht="24" customHeight="1" x14ac:dyDescent="0.2">
      <c r="E38" s="350">
        <v>3</v>
      </c>
      <c r="F38" s="390">
        <v>9</v>
      </c>
      <c r="G38" s="708" t="str">
        <f ca="1">IF(AND($G16&lt;&gt;"",$I16=""),$G16,IF(AND($G16="",$I16&lt;&gt;""),$I16,$T16))</f>
        <v>Knock Out Rangers</v>
      </c>
      <c r="H38" s="708"/>
      <c r="I38" s="709"/>
    </row>
    <row r="39" spans="5:9" ht="24" customHeight="1" x14ac:dyDescent="0.2">
      <c r="E39" s="350">
        <v>4</v>
      </c>
      <c r="F39" s="390">
        <v>10</v>
      </c>
      <c r="G39" s="708" t="str">
        <f ca="1">$U16</f>
        <v>Borussia Heine</v>
      </c>
      <c r="H39" s="708"/>
      <c r="I39" s="709"/>
    </row>
    <row r="40" spans="5:9" ht="24" customHeight="1" x14ac:dyDescent="0.2">
      <c r="E40" s="350">
        <v>5</v>
      </c>
      <c r="F40" s="390">
        <v>11</v>
      </c>
      <c r="G40" s="708" t="str">
        <f ca="1">IF(AND($G15&lt;&gt;"",$I15=""),$G15,IF(AND($G15="",$I15&lt;&gt;""),$I15,$T15))</f>
        <v>FC Grönlingen</v>
      </c>
      <c r="H40" s="708"/>
      <c r="I40" s="709"/>
    </row>
    <row r="41" spans="5:9" ht="24" customHeight="1" x14ac:dyDescent="0.2">
      <c r="E41" s="350">
        <v>6</v>
      </c>
      <c r="F41" s="390">
        <v>12</v>
      </c>
      <c r="G41" s="708" t="str">
        <f ca="1">$U15</f>
        <v>Maibach 1822 eV</v>
      </c>
      <c r="H41" s="708"/>
      <c r="I41" s="709"/>
    </row>
    <row r="42" spans="5:9" ht="24" customHeight="1" x14ac:dyDescent="0.2">
      <c r="E42" s="350">
        <v>7</v>
      </c>
      <c r="F42" s="390">
        <v>13</v>
      </c>
      <c r="G42" s="708" t="str">
        <f ca="1">IF(AND($G14&lt;&gt;"",$I14=""),$G14,IF(AND($G14="",$I14&lt;&gt;""),$I14,$T14))</f>
        <v>VFL Ronsdorf</v>
      </c>
      <c r="H42" s="708"/>
      <c r="I42" s="709"/>
    </row>
    <row r="43" spans="5:9" ht="24" customHeight="1" x14ac:dyDescent="0.2">
      <c r="E43" s="350">
        <v>8</v>
      </c>
      <c r="F43" s="390">
        <v>14</v>
      </c>
      <c r="G43" s="708" t="str">
        <f ca="1">$U14</f>
        <v>VFB Essenheim</v>
      </c>
      <c r="H43" s="708"/>
      <c r="I43" s="709"/>
    </row>
    <row r="44" spans="5:9" ht="24" customHeight="1" x14ac:dyDescent="0.2">
      <c r="E44" s="350">
        <v>9</v>
      </c>
      <c r="F44" s="390">
        <v>15</v>
      </c>
      <c r="G44" s="708" t="str">
        <f ca="1">IF(AND($G13&lt;&gt;"",$I13=""),$G13,IF(AND($G13="",$I13&lt;&gt;""),$I13,$T13))</f>
        <v>1. FC Riedwald</v>
      </c>
      <c r="H44" s="708"/>
      <c r="I44" s="709"/>
    </row>
    <row r="45" spans="5:9" ht="24" customHeight="1" x14ac:dyDescent="0.2">
      <c r="E45" s="350">
        <v>10</v>
      </c>
      <c r="F45" s="390">
        <v>16</v>
      </c>
      <c r="G45" s="708" t="str">
        <f ca="1">$U13</f>
        <v>SSV Wildbach</v>
      </c>
      <c r="H45" s="708"/>
      <c r="I45" s="709"/>
    </row>
    <row r="46" spans="5:9" ht="24" customHeight="1" x14ac:dyDescent="0.2">
      <c r="E46" s="350">
        <v>11</v>
      </c>
      <c r="F46" s="390">
        <v>17</v>
      </c>
      <c r="G46" s="708" t="str">
        <f ca="1">IF(AND($G12&lt;&gt;"",$I12=""),$G12,IF(AND($G12="",$I12&lt;&gt;""),$I12,$T12))</f>
        <v/>
      </c>
      <c r="H46" s="708"/>
      <c r="I46" s="709"/>
    </row>
    <row r="47" spans="5:9" ht="24" customHeight="1" thickBot="1" x14ac:dyDescent="0.25">
      <c r="E47" s="350">
        <v>12</v>
      </c>
      <c r="F47" s="391">
        <v>18</v>
      </c>
      <c r="G47" s="729" t="str">
        <f ca="1">$U12</f>
        <v/>
      </c>
      <c r="H47" s="729"/>
      <c r="I47" s="730"/>
    </row>
    <row r="48" spans="5:9" ht="13.5" thickTop="1" x14ac:dyDescent="0.2"/>
    <row r="49" x14ac:dyDescent="0.2"/>
    <row r="50" x14ac:dyDescent="0.2"/>
    <row r="51" x14ac:dyDescent="0.2"/>
    <row r="52" x14ac:dyDescent="0.2"/>
  </sheetData>
  <sheetProtection sheet="1" selectLockedCells="1"/>
  <mergeCells count="32">
    <mergeCell ref="G46:I46"/>
    <mergeCell ref="G47:I47"/>
    <mergeCell ref="C19:F19"/>
    <mergeCell ref="C22:F22"/>
    <mergeCell ref="G40:I40"/>
    <mergeCell ref="G41:I41"/>
    <mergeCell ref="G42:I42"/>
    <mergeCell ref="G43:I43"/>
    <mergeCell ref="G44:I44"/>
    <mergeCell ref="G45:I45"/>
    <mergeCell ref="G34:I34"/>
    <mergeCell ref="G35:I35"/>
    <mergeCell ref="G36:I36"/>
    <mergeCell ref="G37:I37"/>
    <mergeCell ref="G38:I38"/>
    <mergeCell ref="G39:I39"/>
    <mergeCell ref="G33:I33"/>
    <mergeCell ref="E2:P2"/>
    <mergeCell ref="E3:P3"/>
    <mergeCell ref="E4:P4"/>
    <mergeCell ref="E5:P5"/>
    <mergeCell ref="G7:I8"/>
    <mergeCell ref="P9:P11"/>
    <mergeCell ref="C10:F10"/>
    <mergeCell ref="G11:I11"/>
    <mergeCell ref="J11:L11"/>
    <mergeCell ref="M11:O11"/>
    <mergeCell ref="G26:H26"/>
    <mergeCell ref="G29:I29"/>
    <mergeCell ref="G30:I30"/>
    <mergeCell ref="G31:I31"/>
    <mergeCell ref="G32:I32"/>
  </mergeCells>
  <conditionalFormatting sqref="C12:O18">
    <cfRule type="expression" dxfId="28" priority="6">
      <formula>OR($G12="",$I12="")</formula>
    </cfRule>
  </conditionalFormatting>
  <conditionalFormatting sqref="F24 J24:M24 O24">
    <cfRule type="expression" dxfId="27" priority="5">
      <formula>OR($G24="",$I24="")</formula>
    </cfRule>
  </conditionalFormatting>
  <conditionalFormatting sqref="C20:I21">
    <cfRule type="expression" dxfId="26" priority="1">
      <formula>OR($G20="",$I20="")</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 id="{439BFC21-87CE-446E-8AB2-652A3368C7B0}">
            <xm:f>$F47&gt;2*Calc1!$F$14-MOD((Calc1!$F$13+Calc2!$F$13),2)</xm:f>
            <x14:dxf>
              <numFmt numFmtId="165" formatCode=";;;"/>
            </x14:dxf>
          </x14:cfRule>
          <xm:sqref>F47</xm:sqref>
        </x14:conditionalFormatting>
        <x14:conditionalFormatting xmlns:xm="http://schemas.microsoft.com/office/excel/2006/main">
          <x14:cfRule type="expression" priority="4" id="{DE910C06-4FB6-4F05-B86C-370D98B67EE4}">
            <xm:f>$F33&gt;2*Calc1!$F$14-MOD((Calc1!$F$13+Calc2!$F$13),2)</xm:f>
            <x14:dxf>
              <numFmt numFmtId="165" formatCode=";;;"/>
            </x14:dxf>
          </x14:cfRule>
          <xm:sqref>F33 F35 F37 F39 F41 F43 F45</xm:sqref>
        </x14:conditionalFormatting>
        <x14:conditionalFormatting xmlns:xm="http://schemas.microsoft.com/office/excel/2006/main">
          <x14:cfRule type="expression" priority="3" id="{DCA3959F-A6C2-4468-B3AD-5995AA48CBEC}">
            <xm:f>$F34&gt;2*Calc1!$F$14-MOD((Calc1!$F$13+Calc2!$F$13),2)</xm:f>
            <x14:dxf>
              <numFmt numFmtId="165" formatCode=";;;"/>
            </x14:dxf>
          </x14:cfRule>
          <xm:sqref>F34 F36 F38 F40 F42 F44 F46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6" width="6.85546875" style="49" customWidth="1"/>
    <col min="17" max="17" width="32.7109375" style="49" customWidth="1"/>
    <col min="18" max="18" width="4.5703125" style="49" customWidth="1"/>
    <col min="19" max="16384" width="11.42578125" style="49" hidden="1"/>
  </cols>
  <sheetData>
    <row r="1" spans="2:17" x14ac:dyDescent="0.2"/>
    <row r="2" spans="2:17" ht="33.75" x14ac:dyDescent="0.2">
      <c r="B2" s="741" t="str">
        <f>Language!$E$7</f>
        <v>Direct comparisons</v>
      </c>
      <c r="C2" s="741"/>
      <c r="D2" s="741"/>
      <c r="E2" s="741"/>
      <c r="F2" s="741"/>
      <c r="G2" s="741"/>
      <c r="H2" s="741"/>
      <c r="I2" s="741"/>
      <c r="J2" s="741"/>
      <c r="K2" s="741"/>
      <c r="L2" s="741"/>
      <c r="M2" s="741"/>
      <c r="N2" s="741"/>
      <c r="O2" s="741"/>
      <c r="P2" s="741"/>
    </row>
    <row r="3" spans="2:17" ht="42.75" customHeight="1" x14ac:dyDescent="0.2">
      <c r="B3" s="743" t="str">
        <f>Language!$E$63&amp;" A"</f>
        <v>Preliminary round group A</v>
      </c>
      <c r="C3" s="743"/>
      <c r="D3" s="743"/>
      <c r="E3" s="743"/>
      <c r="F3" s="743"/>
      <c r="G3" s="743"/>
      <c r="H3" s="743"/>
      <c r="I3" s="743"/>
      <c r="J3" s="743"/>
      <c r="K3" s="743"/>
      <c r="L3" s="743"/>
      <c r="M3" s="743"/>
      <c r="N3" s="743"/>
      <c r="O3" s="743"/>
      <c r="P3" s="743"/>
    </row>
    <row r="4" spans="2:17" ht="17.25" customHeight="1" x14ac:dyDescent="0.2">
      <c r="B4" s="742" t="str">
        <f>Language!$E$78</f>
        <v>Red font means that the ranking is not clear even with the direct comparison. Fair play or lot has to decide here.</v>
      </c>
      <c r="C4" s="742"/>
      <c r="D4" s="742"/>
      <c r="E4" s="742"/>
      <c r="F4" s="742"/>
      <c r="G4" s="742"/>
      <c r="H4" s="742"/>
      <c r="I4" s="742"/>
      <c r="J4" s="742"/>
      <c r="K4" s="742"/>
      <c r="L4" s="742"/>
      <c r="M4" s="742"/>
      <c r="N4" s="742"/>
      <c r="O4" s="742"/>
      <c r="P4" s="742"/>
    </row>
    <row r="5" spans="2:17" ht="17.25" customHeight="1" thickBot="1" x14ac:dyDescent="0.25">
      <c r="B5" s="121"/>
      <c r="C5" s="121"/>
      <c r="D5" s="121"/>
      <c r="E5" s="121"/>
      <c r="F5" s="121"/>
      <c r="G5" s="121"/>
      <c r="H5" s="122"/>
      <c r="I5" s="122"/>
      <c r="J5" s="122"/>
      <c r="K5" s="122"/>
      <c r="L5" s="122"/>
      <c r="M5" s="122"/>
      <c r="N5" s="122"/>
      <c r="O5" s="122"/>
      <c r="P5" s="122"/>
    </row>
    <row r="6" spans="2:17" ht="21.95" customHeight="1" thickBot="1" x14ac:dyDescent="0.25">
      <c r="H6" s="554" t="str">
        <f ca="1">IF(LEN(H7)&gt;Settings!$C$17,LEFT(H7,Settings!$C$17)&amp;".",H7)</f>
        <v/>
      </c>
      <c r="I6" s="555" t="str">
        <f ca="1">IF(LEN(I7)&gt;Settings!$C$17,LEFT(I7,Settings!$C$17)&amp;".",I7)</f>
        <v/>
      </c>
      <c r="J6" s="555" t="str">
        <f ca="1">IF(LEN(J7)&gt;Settings!$C$17,LEFT(J7,Settings!$C$17)&amp;".",J7)</f>
        <v/>
      </c>
      <c r="K6" s="555" t="str">
        <f ca="1">IF(LEN(K7)&gt;Settings!$C$17,LEFT(K7,Settings!$C$17)&amp;".",K7)</f>
        <v/>
      </c>
      <c r="L6" s="555" t="str">
        <f ca="1">IF(LEN(L7)&gt;Settings!$C$17,LEFT(L7,Settings!$C$17)&amp;".",L7)</f>
        <v/>
      </c>
      <c r="M6" s="556" t="str">
        <f ca="1">IF(LEN(M7)&gt;Settings!$C$17,LEFT(M7,Settings!$C$17)&amp;".",M7)</f>
        <v/>
      </c>
      <c r="N6" s="556" t="str">
        <f ca="1">IF(LEN(N7)&gt;Settings!$C$17,LEFT(N7,Settings!$C$17)&amp;".",N7)</f>
        <v/>
      </c>
      <c r="O6" s="556" t="str">
        <f ca="1">IF(LEN(O7)&gt;Settings!$C$17,LEFT(O7,Settings!$C$17)&amp;".",O7)</f>
        <v/>
      </c>
      <c r="P6" s="557" t="str">
        <f ca="1">IF(LEN(P7)&gt;Settings!$C$17,LEFT(P7,Settings!$C$17)&amp;".",P7)</f>
        <v/>
      </c>
    </row>
    <row r="7" spans="2:17" ht="21.95" customHeight="1" thickTop="1" thickBot="1" x14ac:dyDescent="0.25">
      <c r="B7" s="119"/>
      <c r="C7" s="125" t="str">
        <f>Language!$E$10</f>
        <v>Participant or team</v>
      </c>
      <c r="D7" s="129" t="str">
        <f>Language!$E$27</f>
        <v>Pts</v>
      </c>
      <c r="E7" s="116" t="str">
        <f>Language!$E$26</f>
        <v>GD</v>
      </c>
      <c r="F7" s="116" t="str">
        <f>Language!$E$28</f>
        <v>GF</v>
      </c>
      <c r="G7" s="151" t="str">
        <f>Language!$E$49</f>
        <v>bonus</v>
      </c>
      <c r="H7" s="133" t="str">
        <f ca="1">C8</f>
        <v/>
      </c>
      <c r="I7" s="134" t="str">
        <f ca="1">C9</f>
        <v/>
      </c>
      <c r="J7" s="134" t="str">
        <f ca="1">C10</f>
        <v/>
      </c>
      <c r="K7" s="134" t="str">
        <f ca="1">C11</f>
        <v/>
      </c>
      <c r="L7" s="134" t="str">
        <f ca="1">C12</f>
        <v/>
      </c>
      <c r="M7" s="553" t="str">
        <f ca="1">C13</f>
        <v/>
      </c>
      <c r="N7" s="548" t="str">
        <f ca="1">C14</f>
        <v/>
      </c>
      <c r="O7" s="548" t="str">
        <f ca="1">C15</f>
        <v/>
      </c>
      <c r="P7" s="154" t="str">
        <f ca="1">C16</f>
        <v/>
      </c>
    </row>
    <row r="8" spans="2:17"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447" t="str">
        <f ca="1">IF($C8="","",VLOOKUP(C8,PreliminaryRound!$AK$12:$AL$33,2,0))</f>
        <v/>
      </c>
      <c r="H8" s="138"/>
      <c r="I8" s="113" t="str">
        <f ca="1">IFERROR(VLOOKUP($C8&amp;I$7,Calc1!$Z$64:$AB$207,3,0),"")</f>
        <v/>
      </c>
      <c r="J8" s="113" t="str">
        <f ca="1">IFERROR(VLOOKUP($C8&amp;J$7,Calc1!$Z$64:$AB$207,3,0),"")</f>
        <v/>
      </c>
      <c r="K8" s="113" t="str">
        <f ca="1">IFERROR(VLOOKUP($C8&amp;K$7,Calc1!$Z$64:$AB$207,3,0),"")</f>
        <v/>
      </c>
      <c r="L8" s="113" t="str">
        <f ca="1">IFERROR(VLOOKUP($C8&amp;L$7,Calc1!$Z$64:$AB$207,3,0),"")</f>
        <v/>
      </c>
      <c r="M8" s="549" t="str">
        <f ca="1">IFERROR(VLOOKUP($C8&amp;M$7,Calc1!$Z$64:$AB$207,3,0),"")</f>
        <v/>
      </c>
      <c r="N8" s="549" t="str">
        <f ca="1">IFERROR(VLOOKUP($C8&amp;N$7,Calc1!$Z$64:$AB$207,3,0),"")</f>
        <v/>
      </c>
      <c r="O8" s="549" t="str">
        <f ca="1">IFERROR(VLOOKUP($C8&amp;O$7,Calc1!$Z$64:$AB$207,3,0),"")</f>
        <v/>
      </c>
      <c r="P8" s="155" t="str">
        <f ca="1">IFERROR(VLOOKUP($C8&amp;P$7,Calc1!$Z$64:$AB$207,3,0),"")</f>
        <v/>
      </c>
      <c r="Q8" s="184" t="str">
        <f t="shared" ref="Q8:Q16" ca="1" si="0">C8</f>
        <v/>
      </c>
    </row>
    <row r="9" spans="2:17"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448" t="str">
        <f ca="1">IF($C9="","",VLOOKUP(C9,PreliminaryRound!$AK$12:$AL$33,2,0))</f>
        <v/>
      </c>
      <c r="H9" s="139" t="str">
        <f ca="1">IFERROR(VLOOKUP($C9&amp;H$7,Calc1!$Z$64:$AB$207,3,0),"")</f>
        <v/>
      </c>
      <c r="I9" s="124"/>
      <c r="J9" s="114" t="str">
        <f ca="1">IFERROR(VLOOKUP($C9&amp;J$7,Calc1!$Z$64:$AB$207,3,0),"")</f>
        <v/>
      </c>
      <c r="K9" s="114" t="str">
        <f ca="1">IFERROR(VLOOKUP($C9&amp;K$7,Calc1!$Z$64:$AB$207,3,0),"")</f>
        <v/>
      </c>
      <c r="L9" s="114" t="str">
        <f ca="1">IFERROR(VLOOKUP($C9&amp;L$7,Calc1!$Z$64:$AB$207,3,0),"")</f>
        <v/>
      </c>
      <c r="M9" s="550" t="str">
        <f ca="1">IFERROR(VLOOKUP($C9&amp;M$7,Calc1!$Z$64:$AB$207,3,0),"")</f>
        <v/>
      </c>
      <c r="N9" s="550" t="str">
        <f ca="1">IFERROR(VLOOKUP($C9&amp;N$7,Calc1!$Z$64:$AB$207,3,0),"")</f>
        <v/>
      </c>
      <c r="O9" s="550" t="str">
        <f ca="1">IFERROR(VLOOKUP($C9&amp;O$7,Calc1!$Z$64:$AB$207,3,0),"")</f>
        <v/>
      </c>
      <c r="P9" s="156" t="str">
        <f ca="1">IFERROR(VLOOKUP($C9&amp;P$7,Calc1!$Z$64:$AB$207,3,0),"")</f>
        <v/>
      </c>
      <c r="Q9" s="185" t="str">
        <f t="shared" ca="1" si="0"/>
        <v/>
      </c>
    </row>
    <row r="10" spans="2:17"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448" t="str">
        <f ca="1">IF($C10="","",VLOOKUP(C10,PreliminaryRound!$AK$12:$AL$33,2,0))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550" t="str">
        <f ca="1">IFERROR(VLOOKUP($C10&amp;M$7,Calc1!$Z$64:$AB$207,3,0),"")</f>
        <v/>
      </c>
      <c r="N10" s="550" t="str">
        <f ca="1">IFERROR(VLOOKUP($C10&amp;N$7,Calc1!$Z$64:$AB$207,3,0),"")</f>
        <v/>
      </c>
      <c r="O10" s="550" t="str">
        <f ca="1">IFERROR(VLOOKUP($C10&amp;O$7,Calc1!$Z$64:$AB$207,3,0),"")</f>
        <v/>
      </c>
      <c r="P10" s="156" t="str">
        <f ca="1">IFERROR(VLOOKUP($C10&amp;P$7,Calc1!$Z$64:$AB$207,3,0),"")</f>
        <v/>
      </c>
      <c r="Q10" s="185" t="str">
        <f t="shared" ca="1" si="0"/>
        <v/>
      </c>
    </row>
    <row r="11" spans="2:17"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448" t="str">
        <f ca="1">IF($C11="","",VLOOKUP(C11,PreliminaryRound!$AK$12:$AL$33,2,0))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550" t="str">
        <f ca="1">IFERROR(VLOOKUP($C11&amp;M$7,Calc1!$Z$64:$AB$207,3,0),"")</f>
        <v/>
      </c>
      <c r="N11" s="550" t="str">
        <f ca="1">IFERROR(VLOOKUP($C11&amp;N$7,Calc1!$Z$64:$AB$207,3,0),"")</f>
        <v/>
      </c>
      <c r="O11" s="550" t="str">
        <f ca="1">IFERROR(VLOOKUP($C11&amp;O$7,Calc1!$Z$64:$AB$207,3,0),"")</f>
        <v/>
      </c>
      <c r="P11" s="156" t="str">
        <f ca="1">IFERROR(VLOOKUP($C11&amp;P$7,Calc1!$Z$64:$AB$207,3,0),"")</f>
        <v/>
      </c>
      <c r="Q11" s="185" t="str">
        <f t="shared" ca="1" si="0"/>
        <v/>
      </c>
    </row>
    <row r="12" spans="2:17"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448" t="str">
        <f ca="1">IF($C12="","",VLOOKUP(C12,PreliminaryRound!$AK$12:$AL$33,2,0))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550" t="str">
        <f ca="1">IFERROR(VLOOKUP($C12&amp;M$7,Calc1!$Z$64:$AB$207,3,0),"")</f>
        <v/>
      </c>
      <c r="N12" s="550" t="str">
        <f ca="1">IFERROR(VLOOKUP($C12&amp;N$7,Calc1!$Z$64:$AB$207,3,0),"")</f>
        <v/>
      </c>
      <c r="O12" s="550" t="str">
        <f ca="1">IFERROR(VLOOKUP($C12&amp;O$7,Calc1!$Z$64:$AB$207,3,0),"")</f>
        <v/>
      </c>
      <c r="P12" s="156" t="str">
        <f ca="1">IFERROR(VLOOKUP($C12&amp;P$7,Calc1!$Z$64:$AB$207,3,0),"")</f>
        <v/>
      </c>
      <c r="Q12" s="185" t="str">
        <f t="shared" ca="1" si="0"/>
        <v/>
      </c>
    </row>
    <row r="13" spans="2:17" ht="21.95" customHeight="1" x14ac:dyDescent="0.2">
      <c r="B13" s="117" t="str">
        <f ca="1">IF($C13="","",INDEX(Calc1!$E$4:$E$12,MATCH($C13,Calc1!$F$4:$F$12,0)))</f>
        <v/>
      </c>
      <c r="C13" s="127" t="str">
        <f ca="1">IF(Calc1!$K$13=0,"",Calc1!$X9)</f>
        <v/>
      </c>
      <c r="D13" s="131" t="str">
        <f ca="1">IF($C13="","",VLOOKUP($C13,Calc1!$C$17:$AC$25,25,0))</f>
        <v/>
      </c>
      <c r="E13" s="114" t="str">
        <f ca="1">IF($C13="","",VLOOKUP($C13,Calc1!$C$17:$AC$25,26,0))</f>
        <v/>
      </c>
      <c r="F13" s="114" t="str">
        <f ca="1">IF($C13="","",VLOOKUP($C13,Calc1!$C$17:$AC$25,27,0))</f>
        <v/>
      </c>
      <c r="G13" s="448" t="str">
        <f ca="1">IF($C13="","",VLOOKUP(C13,PreliminaryRound!$AK$12:$AL$33,2,0))</f>
        <v/>
      </c>
      <c r="H13" s="139" t="str">
        <f ca="1">IFERROR(VLOOKUP($C13&amp;H$7,Calc1!$Z$64:$AB$207,3,0),"")</f>
        <v/>
      </c>
      <c r="I13" s="114" t="str">
        <f ca="1">IFERROR(VLOOKUP($C13&amp;I$7,Calc1!$Z$64:$AB$207,3,0),"")</f>
        <v/>
      </c>
      <c r="J13" s="114" t="str">
        <f ca="1">IFERROR(VLOOKUP($C13&amp;J$7,Calc1!$Z$64:$AB$207,3,0),"")</f>
        <v/>
      </c>
      <c r="K13" s="114" t="str">
        <f ca="1">IFERROR(VLOOKUP($C13&amp;K$7,Calc1!$Z$64:$AB$207,3,0),"")</f>
        <v/>
      </c>
      <c r="L13" s="114" t="str">
        <f ca="1">IFERROR(VLOOKUP($C13&amp;L$7,Calc1!$Z$64:$AB$207,3,0),"")</f>
        <v/>
      </c>
      <c r="M13" s="551"/>
      <c r="N13" s="550" t="str">
        <f ca="1">IFERROR(VLOOKUP($C13&amp;N$7,Calc1!$Z$64:$AB$207,3,0),"")</f>
        <v/>
      </c>
      <c r="O13" s="550" t="str">
        <f ca="1">IFERROR(VLOOKUP($C13&amp;O$7,Calc1!$Z$64:$AB$207,3,0),"")</f>
        <v/>
      </c>
      <c r="P13" s="156" t="str">
        <f ca="1">IFERROR(VLOOKUP($C13&amp;P$7,Calc1!$Z$64:$AB$207,3,0),"")</f>
        <v/>
      </c>
      <c r="Q13" s="185" t="str">
        <f t="shared" ca="1" si="0"/>
        <v/>
      </c>
    </row>
    <row r="14" spans="2:17" ht="21.95" customHeight="1" x14ac:dyDescent="0.2">
      <c r="B14" s="117" t="str">
        <f ca="1">IF($C14="","",INDEX(Calc1!$E$4:$E$12,MATCH($C14,Calc1!$F$4:$F$12,0)))</f>
        <v/>
      </c>
      <c r="C14" s="127" t="str">
        <f ca="1">IF(Calc1!$K$13=0,"",Calc1!$X10)</f>
        <v/>
      </c>
      <c r="D14" s="131" t="str">
        <f ca="1">IF($C14="","",VLOOKUP($C14,Calc1!$C$17:$AC$25,25,0))</f>
        <v/>
      </c>
      <c r="E14" s="114" t="str">
        <f ca="1">IF($C14="","",VLOOKUP($C14,Calc1!$C$17:$AC$25,26,0))</f>
        <v/>
      </c>
      <c r="F14" s="114" t="str">
        <f ca="1">IF($C14="","",VLOOKUP($C14,Calc1!$C$17:$AC$25,27,0))</f>
        <v/>
      </c>
      <c r="G14" s="448" t="str">
        <f ca="1">IF($C14="","",VLOOKUP(C14,PreliminaryRound!$AK$12:$AL$33,2,0))</f>
        <v/>
      </c>
      <c r="H14" s="139" t="str">
        <f ca="1">IFERROR(VLOOKUP($C14&amp;H$7,Calc1!$Z$64:$AB$207,3,0),"")</f>
        <v/>
      </c>
      <c r="I14" s="114" t="str">
        <f ca="1">IFERROR(VLOOKUP($C14&amp;I$7,Calc1!$Z$64:$AB$207,3,0),"")</f>
        <v/>
      </c>
      <c r="J14" s="114" t="str">
        <f ca="1">IFERROR(VLOOKUP($C14&amp;J$7,Calc1!$Z$64:$AB$207,3,0),"")</f>
        <v/>
      </c>
      <c r="K14" s="114" t="str">
        <f ca="1">IFERROR(VLOOKUP($C14&amp;K$7,Calc1!$Z$64:$AB$207,3,0),"")</f>
        <v/>
      </c>
      <c r="L14" s="114" t="str">
        <f ca="1">IFERROR(VLOOKUP($C14&amp;L$7,Calc1!$Z$64:$AB$207,3,0),"")</f>
        <v/>
      </c>
      <c r="M14" s="550" t="str">
        <f ca="1">IFERROR(VLOOKUP($C14&amp;M$7,Calc1!$Z$64:$AB$207,3,0),"")</f>
        <v/>
      </c>
      <c r="N14" s="551"/>
      <c r="O14" s="550" t="str">
        <f ca="1">IFERROR(VLOOKUP($C14&amp;O$7,Calc1!$Z$64:$AB$207,3,0),"")</f>
        <v/>
      </c>
      <c r="P14" s="156" t="str">
        <f ca="1">IFERROR(VLOOKUP($C14&amp;P$7,Calc1!$Z$64:$AB$207,3,0),"")</f>
        <v/>
      </c>
      <c r="Q14" s="185" t="str">
        <f t="shared" ca="1" si="0"/>
        <v/>
      </c>
    </row>
    <row r="15" spans="2:17" ht="21.95" customHeight="1" x14ac:dyDescent="0.2">
      <c r="B15" s="117" t="str">
        <f ca="1">IF($C15="","",INDEX(Calc1!$E$4:$E$12,MATCH($C15,Calc1!$F$4:$F$12,0)))</f>
        <v/>
      </c>
      <c r="C15" s="127" t="str">
        <f ca="1">IF(Calc1!$K$13=0,"",Calc1!$X11)</f>
        <v/>
      </c>
      <c r="D15" s="131" t="str">
        <f ca="1">IF($C15="","",VLOOKUP($C15,Calc1!$C$17:$AC$25,25,0))</f>
        <v/>
      </c>
      <c r="E15" s="114" t="str">
        <f ca="1">IF($C15="","",VLOOKUP($C15,Calc1!$C$17:$AC$25,26,0))</f>
        <v/>
      </c>
      <c r="F15" s="114" t="str">
        <f ca="1">IF($C15="","",VLOOKUP($C15,Calc1!$C$17:$AC$25,27,0))</f>
        <v/>
      </c>
      <c r="G15" s="448" t="str">
        <f ca="1">IF($C15="","",VLOOKUP(C15,PreliminaryRound!$AK$12:$AL$33,2,0))</f>
        <v/>
      </c>
      <c r="H15" s="139" t="str">
        <f ca="1">IFERROR(VLOOKUP($C15&amp;H$7,Calc1!$Z$64:$AB$207,3,0),"")</f>
        <v/>
      </c>
      <c r="I15" s="114" t="str">
        <f ca="1">IFERROR(VLOOKUP($C15&amp;I$7,Calc1!$Z$64:$AB$207,3,0),"")</f>
        <v/>
      </c>
      <c r="J15" s="114" t="str">
        <f ca="1">IFERROR(VLOOKUP($C15&amp;J$7,Calc1!$Z$64:$AB$207,3,0),"")</f>
        <v/>
      </c>
      <c r="K15" s="114" t="str">
        <f ca="1">IFERROR(VLOOKUP($C15&amp;K$7,Calc1!$Z$64:$AB$207,3,0),"")</f>
        <v/>
      </c>
      <c r="L15" s="114" t="str">
        <f ca="1">IFERROR(VLOOKUP($C15&amp;L$7,Calc1!$Z$64:$AB$207,3,0),"")</f>
        <v/>
      </c>
      <c r="M15" s="550" t="str">
        <f ca="1">IFERROR(VLOOKUP($C15&amp;M$7,Calc1!$Z$64:$AB$207,3,0),"")</f>
        <v/>
      </c>
      <c r="N15" s="550" t="str">
        <f ca="1">IFERROR(VLOOKUP($C15&amp;N$7,Calc1!$Z$64:$AB$207,3,0),"")</f>
        <v/>
      </c>
      <c r="O15" s="551"/>
      <c r="P15" s="156" t="str">
        <f ca="1">IFERROR(VLOOKUP($C15&amp;P$7,Calc1!$Z$64:$AB$207,3,0),"")</f>
        <v/>
      </c>
      <c r="Q15" s="185" t="str">
        <f t="shared" ca="1" si="0"/>
        <v/>
      </c>
    </row>
    <row r="16" spans="2:17" ht="21.95" customHeight="1" thickBot="1" x14ac:dyDescent="0.25">
      <c r="B16" s="118" t="str">
        <f ca="1">IF($C16="","",INDEX(Calc1!$E$4:$E$12,MATCH($C16,Calc1!$F$4:$F$12,0)))</f>
        <v/>
      </c>
      <c r="C16" s="128" t="str">
        <f ca="1">IF(Calc1!$K$13=0,"",Calc1!$X12)</f>
        <v/>
      </c>
      <c r="D16" s="132" t="str">
        <f ca="1">IF($C16="","",VLOOKUP($C16,Calc1!$C$17:$AC$25,25,0))</f>
        <v/>
      </c>
      <c r="E16" s="115" t="str">
        <f ca="1">IF($C16="","",VLOOKUP($C16,Calc1!$C$17:$AC$25,26,0))</f>
        <v/>
      </c>
      <c r="F16" s="115" t="str">
        <f ca="1">IF($C16="","",VLOOKUP($C16,Calc1!$C$17:$AC$25,27,0))</f>
        <v/>
      </c>
      <c r="G16" s="449" t="str">
        <f ca="1">IF($C16="","",VLOOKUP(C16,PreliminaryRound!$AK$12:$AL$33,2,0))</f>
        <v/>
      </c>
      <c r="H16" s="140" t="str">
        <f ca="1">IFERROR(VLOOKUP($C16&amp;H$7,Calc1!$Z$64:$AB$207,3,0),"")</f>
        <v/>
      </c>
      <c r="I16" s="115" t="str">
        <f ca="1">IFERROR(VLOOKUP($C16&amp;I$7,Calc1!$Z$64:$AB$207,3,0),"")</f>
        <v/>
      </c>
      <c r="J16" s="115" t="str">
        <f ca="1">IFERROR(VLOOKUP($C16&amp;J$7,Calc1!$Z$64:$AB$207,3,0),"")</f>
        <v/>
      </c>
      <c r="K16" s="115" t="str">
        <f ca="1">IFERROR(VLOOKUP($C16&amp;K$7,Calc1!$Z$64:$AB$207,3,0),"")</f>
        <v/>
      </c>
      <c r="L16" s="115" t="str">
        <f ca="1">IFERROR(VLOOKUP($C16&amp;L$7,Calc1!$Z$64:$AB$207,3,0),"")</f>
        <v/>
      </c>
      <c r="M16" s="552" t="str">
        <f ca="1">IFERROR(VLOOKUP($C16&amp;M$7,Calc1!$Z$64:$AB$207,3,0),"")</f>
        <v/>
      </c>
      <c r="N16" s="552" t="str">
        <f ca="1">IFERROR(VLOOKUP($C16&amp;N$7,Calc1!$Z$64:$AB$207,3,0),"")</f>
        <v/>
      </c>
      <c r="O16" s="552" t="str">
        <f ca="1">IFERROR(VLOOKUP($C16&amp;O$7,Calc1!$Z$64:$AB$207,3,0),"")</f>
        <v/>
      </c>
      <c r="P16" s="157"/>
      <c r="Q16" s="186" t="str">
        <f t="shared" ca="1" si="0"/>
        <v/>
      </c>
    </row>
    <row r="17" spans="2:17" ht="42.75" customHeight="1" thickTop="1" thickBot="1" x14ac:dyDescent="0.25">
      <c r="B17" s="135"/>
      <c r="C17" s="136"/>
      <c r="D17" s="137"/>
      <c r="E17" s="123"/>
      <c r="F17" s="123"/>
      <c r="G17" s="123"/>
      <c r="H17" s="123"/>
      <c r="I17" s="123"/>
      <c r="J17" s="123"/>
      <c r="K17" s="123"/>
      <c r="L17" s="123"/>
      <c r="M17" s="123"/>
      <c r="N17" s="123"/>
      <c r="O17" s="123"/>
      <c r="P17" s="123"/>
    </row>
    <row r="18" spans="2:17" ht="21.95" customHeight="1" thickBot="1" x14ac:dyDescent="0.25">
      <c r="H18" s="554" t="str">
        <f ca="1">IF(LEN(H19)&gt;Settings!$C$17,LEFT(H19,Settings!$C$17)&amp;".",H19)</f>
        <v/>
      </c>
      <c r="I18" s="555" t="str">
        <f ca="1">IF(LEN(I19)&gt;Settings!$C$17,LEFT(I19,Settings!$C$17)&amp;".",I19)</f>
        <v/>
      </c>
      <c r="J18" s="555" t="str">
        <f ca="1">IF(LEN(J19)&gt;Settings!$C$17,LEFT(J19,Settings!$C$17)&amp;".",J19)</f>
        <v/>
      </c>
      <c r="K18" s="555" t="str">
        <f ca="1">IF(LEN(K19)&gt;Settings!$C$17,LEFT(K19,Settings!$C$17)&amp;".",K19)</f>
        <v/>
      </c>
      <c r="L18" s="555" t="str">
        <f ca="1">IF(LEN(L19)&gt;Settings!$C$17,LEFT(L19,Settings!$C$17)&amp;".",L19)</f>
        <v/>
      </c>
      <c r="M18" s="556" t="str">
        <f ca="1">IF(LEN(M19)&gt;Settings!$C$17,LEFT(M19,Settings!$C$17)&amp;".",M19)</f>
        <v/>
      </c>
      <c r="N18" s="556" t="str">
        <f ca="1">IF(LEN(N19)&gt;Settings!$C$17,LEFT(N19,Settings!$C$17)&amp;".",N19)</f>
        <v/>
      </c>
      <c r="O18" s="556" t="str">
        <f ca="1">IF(LEN(O19)&gt;Settings!$C$17,LEFT(O19,Settings!$C$17)&amp;".",O19)</f>
        <v/>
      </c>
      <c r="P18" s="557" t="str">
        <f ca="1">IF(LEN(P19)&gt;Settings!$C$17,LEFT(P19,Settings!$C$17)&amp;".",P19)</f>
        <v/>
      </c>
    </row>
    <row r="19" spans="2:17" ht="21.95" customHeight="1" thickTop="1" thickBot="1" x14ac:dyDescent="0.25">
      <c r="B19" s="119"/>
      <c r="C19" s="125" t="str">
        <f>Language!$E$10</f>
        <v>Participant or team</v>
      </c>
      <c r="D19" s="129" t="str">
        <f>Language!$E$27</f>
        <v>Pts</v>
      </c>
      <c r="E19" s="116" t="str">
        <f>Language!$E$26</f>
        <v>GD</v>
      </c>
      <c r="F19" s="116" t="str">
        <f>Language!$E$28</f>
        <v>GF</v>
      </c>
      <c r="G19" s="151" t="str">
        <f>Language!$E$49</f>
        <v>bonus</v>
      </c>
      <c r="H19" s="133" t="str">
        <f ca="1">C20</f>
        <v/>
      </c>
      <c r="I19" s="134" t="str">
        <f ca="1">C21</f>
        <v/>
      </c>
      <c r="J19" s="134" t="str">
        <f ca="1">C22</f>
        <v/>
      </c>
      <c r="K19" s="134" t="str">
        <f ca="1">C23</f>
        <v/>
      </c>
      <c r="L19" s="134" t="str">
        <f ca="1">C24</f>
        <v/>
      </c>
      <c r="M19" s="548" t="str">
        <f ca="1">C25</f>
        <v/>
      </c>
      <c r="N19" s="548" t="str">
        <f ca="1">C26</f>
        <v/>
      </c>
      <c r="O19" s="548" t="str">
        <f ca="1">C27</f>
        <v/>
      </c>
      <c r="P19" s="154" t="str">
        <f ca="1">C28</f>
        <v/>
      </c>
    </row>
    <row r="20" spans="2:17" ht="21.95" customHeight="1" x14ac:dyDescent="0.2">
      <c r="B20" s="117" t="str">
        <f ca="1">IF($C20="","",INDEX(Calc1!$E$4:$E$12,MATCH($C20,Calc1!$F$4:$F$12,0)))</f>
        <v/>
      </c>
      <c r="C20" s="126" t="str">
        <f ca="1">IF(Calc1!$K$13=0,"",Calc1!$AC4)</f>
        <v/>
      </c>
      <c r="D20" s="130" t="str">
        <f ca="1">IF($C20="","",VLOOKUP($C20,Calc1!$C$17:$AC$25,25,0))</f>
        <v/>
      </c>
      <c r="E20" s="113" t="str">
        <f ca="1">IF($C20="","",VLOOKUP($C20,Calc1!$C$17:$AC$25,26,0))</f>
        <v/>
      </c>
      <c r="F20" s="113" t="str">
        <f ca="1">IF($C20="","",VLOOKUP($C20,Calc1!$C$17:$AC$25,27,0))</f>
        <v/>
      </c>
      <c r="G20" s="447" t="str">
        <f ca="1">IF($C20="","",VLOOKUP(C20,PreliminaryRound!$AK$12:$AL$33,2,0))</f>
        <v/>
      </c>
      <c r="H20" s="138"/>
      <c r="I20" s="113" t="str">
        <f ca="1">IFERROR(VLOOKUP($C20&amp;I$19,Calc1!$Z$64:$AB$207,3,0),"")</f>
        <v/>
      </c>
      <c r="J20" s="113" t="str">
        <f ca="1">IFERROR(VLOOKUP($C20&amp;J$19,Calc1!$Z$64:$AB$207,3,0),"")</f>
        <v/>
      </c>
      <c r="K20" s="113" t="str">
        <f ca="1">IFERROR(VLOOKUP($C20&amp;K$19,Calc1!$Z$64:$AB$207,3,0),"")</f>
        <v/>
      </c>
      <c r="L20" s="113" t="str">
        <f ca="1">IFERROR(VLOOKUP($C20&amp;L$19,Calc1!$Z$64:$AB$207,3,0),"")</f>
        <v/>
      </c>
      <c r="M20" s="549" t="str">
        <f ca="1">IFERROR(VLOOKUP($C20&amp;M$19,Calc1!$Z$64:$AB$207,3,0),"")</f>
        <v/>
      </c>
      <c r="N20" s="549" t="str">
        <f ca="1">IFERROR(VLOOKUP($C20&amp;N$19,Calc1!$Z$64:$AB$207,3,0),"")</f>
        <v/>
      </c>
      <c r="O20" s="549" t="str">
        <f ca="1">IFERROR(VLOOKUP($C20&amp;O$19,Calc1!$Z$64:$AB$207,3,0),"")</f>
        <v/>
      </c>
      <c r="P20" s="155" t="str">
        <f ca="1">IFERROR(VLOOKUP($C20&amp;P$19,Calc1!$Z$64:$AB$207,3,0),"")</f>
        <v/>
      </c>
      <c r="Q20" s="184" t="str">
        <f t="shared" ref="Q20:Q28" ca="1" si="1">C20</f>
        <v/>
      </c>
    </row>
    <row r="21" spans="2:17" ht="21.95" customHeight="1" x14ac:dyDescent="0.2">
      <c r="B21" s="117" t="str">
        <f ca="1">IF($C21="","",INDEX(Calc1!$E$4:$E$12,MATCH($C21,Calc1!$F$4:$F$12,0)))</f>
        <v/>
      </c>
      <c r="C21" s="127" t="str">
        <f ca="1">IF(Calc1!$K$13=0,"",Calc1!$AC5)</f>
        <v/>
      </c>
      <c r="D21" s="131" t="str">
        <f ca="1">IF($C21="","",VLOOKUP($C21,Calc1!$C$17:$AC$25,25,0))</f>
        <v/>
      </c>
      <c r="E21" s="114" t="str">
        <f ca="1">IF($C21="","",VLOOKUP($C21,Calc1!$C$17:$AC$25,26,0))</f>
        <v/>
      </c>
      <c r="F21" s="114" t="str">
        <f ca="1">IF($C21="","",VLOOKUP($C21,Calc1!$C$17:$AC$25,27,0))</f>
        <v/>
      </c>
      <c r="G21" s="448" t="str">
        <f ca="1">IF($C21="","",VLOOKUP(C21,PreliminaryRound!$AK$12:$AL$33,2,0))</f>
        <v/>
      </c>
      <c r="H21" s="139" t="str">
        <f ca="1">IFERROR(VLOOKUP($C21&amp;H$19,Calc1!$Z$64:$AB$207,3,0),"")</f>
        <v/>
      </c>
      <c r="I21" s="124"/>
      <c r="J21" s="114" t="str">
        <f ca="1">IFERROR(VLOOKUP($C21&amp;J$19,Calc1!$Z$64:$AB$207,3,0),"")</f>
        <v/>
      </c>
      <c r="K21" s="114" t="str">
        <f ca="1">IFERROR(VLOOKUP($C21&amp;K$19,Calc1!$Z$64:$AB$207,3,0),"")</f>
        <v/>
      </c>
      <c r="L21" s="114" t="str">
        <f ca="1">IFERROR(VLOOKUP($C21&amp;L$19,Calc1!$Z$64:$AB$207,3,0),"")</f>
        <v/>
      </c>
      <c r="M21" s="550" t="str">
        <f ca="1">IFERROR(VLOOKUP($C21&amp;M$19,Calc1!$Z$64:$AB$207,3,0),"")</f>
        <v/>
      </c>
      <c r="N21" s="550" t="str">
        <f ca="1">IFERROR(VLOOKUP($C21&amp;N$19,Calc1!$Z$64:$AB$207,3,0),"")</f>
        <v/>
      </c>
      <c r="O21" s="550" t="str">
        <f ca="1">IFERROR(VLOOKUP($C21&amp;O$19,Calc1!$Z$64:$AB$207,3,0),"")</f>
        <v/>
      </c>
      <c r="P21" s="156" t="str">
        <f ca="1">IFERROR(VLOOKUP($C21&amp;P$19,Calc1!$Z$64:$AB$207,3,0),"")</f>
        <v/>
      </c>
      <c r="Q21" s="185" t="str">
        <f t="shared" ca="1" si="1"/>
        <v/>
      </c>
    </row>
    <row r="22" spans="2:17" ht="21.95" customHeight="1" x14ac:dyDescent="0.2">
      <c r="B22" s="117" t="str">
        <f ca="1">IF($C22="","",INDEX(Calc1!$E$4:$E$12,MATCH($C22,Calc1!$F$4:$F$12,0)))</f>
        <v/>
      </c>
      <c r="C22" s="127" t="str">
        <f ca="1">IF(Calc1!$K$13=0,"",Calc1!$AC6)</f>
        <v/>
      </c>
      <c r="D22" s="131" t="str">
        <f ca="1">IF($C22="","",VLOOKUP($C22,Calc1!$C$17:$AC$25,25,0))</f>
        <v/>
      </c>
      <c r="E22" s="114" t="str">
        <f ca="1">IF($C22="","",VLOOKUP($C22,Calc1!$C$17:$AC$25,26,0))</f>
        <v/>
      </c>
      <c r="F22" s="114" t="str">
        <f ca="1">IF($C22="","",VLOOKUP($C22,Calc1!$C$17:$AC$25,27,0))</f>
        <v/>
      </c>
      <c r="G22" s="448" t="str">
        <f ca="1">IF($C22="","",VLOOKUP(C22,PreliminaryRound!$AK$12:$AL$33,2,0))</f>
        <v/>
      </c>
      <c r="H22" s="139" t="str">
        <f ca="1">IFERROR(VLOOKUP($C22&amp;H$19,Calc1!$Z$64:$AB$207,3,0),"")</f>
        <v/>
      </c>
      <c r="I22" s="114" t="str">
        <f ca="1">IFERROR(VLOOKUP($C22&amp;I$19,Calc1!$Z$64:$AB$207,3,0),"")</f>
        <v/>
      </c>
      <c r="J22" s="124"/>
      <c r="K22" s="114" t="str">
        <f ca="1">IFERROR(VLOOKUP($C22&amp;K$19,Calc1!$Z$64:$AB$207,3,0),"")</f>
        <v/>
      </c>
      <c r="L22" s="114" t="str">
        <f ca="1">IFERROR(VLOOKUP($C22&amp;L$19,Calc1!$Z$64:$AB$207,3,0),"")</f>
        <v/>
      </c>
      <c r="M22" s="550" t="str">
        <f ca="1">IFERROR(VLOOKUP($C22&amp;M$19,Calc1!$Z$64:$AB$207,3,0),"")</f>
        <v/>
      </c>
      <c r="N22" s="550" t="str">
        <f ca="1">IFERROR(VLOOKUP($C22&amp;N$19,Calc1!$Z$64:$AB$207,3,0),"")</f>
        <v/>
      </c>
      <c r="O22" s="550" t="str">
        <f ca="1">IFERROR(VLOOKUP($C22&amp;O$19,Calc1!$Z$64:$AB$207,3,0),"")</f>
        <v/>
      </c>
      <c r="P22" s="156" t="str">
        <f ca="1">IFERROR(VLOOKUP($C22&amp;P$19,Calc1!$Z$64:$AB$207,3,0),"")</f>
        <v/>
      </c>
      <c r="Q22" s="185" t="str">
        <f t="shared" ca="1" si="1"/>
        <v/>
      </c>
    </row>
    <row r="23" spans="2:17" ht="21.95" customHeight="1" x14ac:dyDescent="0.2">
      <c r="B23" s="117" t="str">
        <f ca="1">IF($C23="","",INDEX(Calc1!$E$4:$E$12,MATCH($C23,Calc1!$F$4:$F$12,0)))</f>
        <v/>
      </c>
      <c r="C23" s="127" t="str">
        <f ca="1">IF(Calc1!$K$13=0,"",Calc1!$AC7)</f>
        <v/>
      </c>
      <c r="D23" s="131" t="str">
        <f ca="1">IF($C23="","",VLOOKUP($C23,Calc1!$C$17:$AC$25,25,0))</f>
        <v/>
      </c>
      <c r="E23" s="114" t="str">
        <f ca="1">IF($C23="","",VLOOKUP($C23,Calc1!$C$17:$AC$25,26,0))</f>
        <v/>
      </c>
      <c r="F23" s="114" t="str">
        <f ca="1">IF($C23="","",VLOOKUP($C23,Calc1!$C$17:$AC$25,27,0))</f>
        <v/>
      </c>
      <c r="G23" s="448" t="str">
        <f ca="1">IF($C23="","",VLOOKUP(C23,PreliminaryRound!$AK$12:$AL$33,2,0))</f>
        <v/>
      </c>
      <c r="H23" s="139" t="str">
        <f ca="1">IFERROR(VLOOKUP($C23&amp;H$19,Calc1!$Z$64:$AB$207,3,0),"")</f>
        <v/>
      </c>
      <c r="I23" s="114" t="str">
        <f ca="1">IFERROR(VLOOKUP($C23&amp;I$19,Calc1!$Z$64:$AB$207,3,0),"")</f>
        <v/>
      </c>
      <c r="J23" s="114" t="str">
        <f ca="1">IFERROR(VLOOKUP($C23&amp;J$19,Calc1!$Z$64:$AB$207,3,0),"")</f>
        <v/>
      </c>
      <c r="K23" s="124"/>
      <c r="L23" s="114" t="str">
        <f ca="1">IFERROR(VLOOKUP($C23&amp;L$19,Calc1!$Z$64:$AB$207,3,0),"")</f>
        <v/>
      </c>
      <c r="M23" s="550" t="str">
        <f ca="1">IFERROR(VLOOKUP($C23&amp;M$19,Calc1!$Z$64:$AB$207,3,0),"")</f>
        <v/>
      </c>
      <c r="N23" s="550" t="str">
        <f ca="1">IFERROR(VLOOKUP($C23&amp;N$19,Calc1!$Z$64:$AB$207,3,0),"")</f>
        <v/>
      </c>
      <c r="O23" s="550" t="str">
        <f ca="1">IFERROR(VLOOKUP($C23&amp;O$19,Calc1!$Z$64:$AB$207,3,0),"")</f>
        <v/>
      </c>
      <c r="P23" s="156" t="str">
        <f ca="1">IFERROR(VLOOKUP($C23&amp;P$19,Calc1!$Z$64:$AB$207,3,0),"")</f>
        <v/>
      </c>
      <c r="Q23" s="185" t="str">
        <f t="shared" ca="1" si="1"/>
        <v/>
      </c>
    </row>
    <row r="24" spans="2:17" ht="21.95" customHeight="1" x14ac:dyDescent="0.2">
      <c r="B24" s="117" t="str">
        <f ca="1">IF($C24="","",INDEX(Calc1!$E$4:$E$12,MATCH($C24,Calc1!$F$4:$F$12,0)))</f>
        <v/>
      </c>
      <c r="C24" s="127" t="str">
        <f ca="1">IF(Calc1!$K$13=0,"",Calc1!$AC8)</f>
        <v/>
      </c>
      <c r="D24" s="131" t="str">
        <f ca="1">IF($C24="","",VLOOKUP($C24,Calc1!$C$17:$AC$25,25,0))</f>
        <v/>
      </c>
      <c r="E24" s="114" t="str">
        <f ca="1">IF($C24="","",VLOOKUP($C24,Calc1!$C$17:$AC$25,26,0))</f>
        <v/>
      </c>
      <c r="F24" s="114" t="str">
        <f ca="1">IF($C24="","",VLOOKUP($C24,Calc1!$C$17:$AC$25,27,0))</f>
        <v/>
      </c>
      <c r="G24" s="448" t="str">
        <f ca="1">IF($C24="","",VLOOKUP(C24,PreliminaryRound!$AK$12:$AL$33,2,0))</f>
        <v/>
      </c>
      <c r="H24" s="139" t="str">
        <f ca="1">IFERROR(VLOOKUP($C24&amp;H$19,Calc1!$Z$64:$AB$207,3,0),"")</f>
        <v/>
      </c>
      <c r="I24" s="114" t="str">
        <f ca="1">IFERROR(VLOOKUP($C24&amp;I$19,Calc1!$Z$64:$AB$207,3,0),"")</f>
        <v/>
      </c>
      <c r="J24" s="114" t="str">
        <f ca="1">IFERROR(VLOOKUP($C24&amp;J$19,Calc1!$Z$64:$AB$207,3,0),"")</f>
        <v/>
      </c>
      <c r="K24" s="114" t="str">
        <f ca="1">IFERROR(VLOOKUP($C24&amp;K$19,Calc1!$Z$64:$AB$207,3,0),"")</f>
        <v/>
      </c>
      <c r="L24" s="124"/>
      <c r="M24" s="550" t="str">
        <f ca="1">IFERROR(VLOOKUP($C24&amp;M$19,Calc1!$Z$64:$AB$207,3,0),"")</f>
        <v/>
      </c>
      <c r="N24" s="550" t="str">
        <f ca="1">IFERROR(VLOOKUP($C24&amp;N$19,Calc1!$Z$64:$AB$207,3,0),"")</f>
        <v/>
      </c>
      <c r="O24" s="550" t="str">
        <f ca="1">IFERROR(VLOOKUP($C24&amp;O$19,Calc1!$Z$64:$AB$207,3,0),"")</f>
        <v/>
      </c>
      <c r="P24" s="156" t="str">
        <f ca="1">IFERROR(VLOOKUP($C24&amp;P$19,Calc1!$Z$64:$AB$207,3,0),"")</f>
        <v/>
      </c>
      <c r="Q24" s="185" t="str">
        <f t="shared" ca="1" si="1"/>
        <v/>
      </c>
    </row>
    <row r="25" spans="2:17" ht="21.95" customHeight="1" x14ac:dyDescent="0.2">
      <c r="B25" s="117" t="str">
        <f ca="1">IF($C25="","",INDEX(Calc1!$E$4:$E$12,MATCH($C25,Calc1!$F$4:$F$12,0)))</f>
        <v/>
      </c>
      <c r="C25" s="127" t="str">
        <f ca="1">IF(Calc1!$K$13=0,"",Calc1!$AC9)</f>
        <v/>
      </c>
      <c r="D25" s="131" t="str">
        <f ca="1">IF($C25="","",VLOOKUP($C25,Calc1!$C$17:$AC$25,25,0))</f>
        <v/>
      </c>
      <c r="E25" s="114" t="str">
        <f ca="1">IF($C25="","",VLOOKUP($C25,Calc1!$C$17:$AC$25,26,0))</f>
        <v/>
      </c>
      <c r="F25" s="114" t="str">
        <f ca="1">IF($C25="","",VLOOKUP($C25,Calc1!$C$17:$AC$25,27,0))</f>
        <v/>
      </c>
      <c r="G25" s="448" t="str">
        <f ca="1">IF($C25="","",VLOOKUP(C25,PreliminaryRound!$AK$12:$AL$33,2,0))</f>
        <v/>
      </c>
      <c r="H25" s="139" t="str">
        <f ca="1">IFERROR(VLOOKUP($C25&amp;H$19,Calc1!$Z$64:$AB$207,3,0),"")</f>
        <v/>
      </c>
      <c r="I25" s="114" t="str">
        <f ca="1">IFERROR(VLOOKUP($C25&amp;I$19,Calc1!$Z$64:$AB$207,3,0),"")</f>
        <v/>
      </c>
      <c r="J25" s="114" t="str">
        <f ca="1">IFERROR(VLOOKUP($C25&amp;J$19,Calc1!$Z$64:$AB$207,3,0),"")</f>
        <v/>
      </c>
      <c r="K25" s="114" t="str">
        <f ca="1">IFERROR(VLOOKUP($C25&amp;K$19,Calc1!$Z$64:$AB$207,3,0),"")</f>
        <v/>
      </c>
      <c r="L25" s="114" t="str">
        <f ca="1">IFERROR(VLOOKUP($C25&amp;L$19,Calc1!$Z$64:$AB$207,3,0),"")</f>
        <v/>
      </c>
      <c r="M25" s="551"/>
      <c r="N25" s="550" t="str">
        <f ca="1">IFERROR(VLOOKUP($C25&amp;N$19,Calc1!$Z$64:$AB$207,3,0),"")</f>
        <v/>
      </c>
      <c r="O25" s="550" t="str">
        <f ca="1">IFERROR(VLOOKUP($C25&amp;O$19,Calc1!$Z$64:$AB$207,3,0),"")</f>
        <v/>
      </c>
      <c r="P25" s="156" t="str">
        <f ca="1">IFERROR(VLOOKUP($C25&amp;P$19,Calc1!$Z$64:$AB$207,3,0),"")</f>
        <v/>
      </c>
      <c r="Q25" s="185" t="str">
        <f t="shared" ca="1" si="1"/>
        <v/>
      </c>
    </row>
    <row r="26" spans="2:17" ht="21.95" customHeight="1" x14ac:dyDescent="0.2">
      <c r="B26" s="117" t="str">
        <f ca="1">IF($C26="","",INDEX(Calc1!$E$4:$E$12,MATCH($C26,Calc1!$F$4:$F$12,0)))</f>
        <v/>
      </c>
      <c r="C26" s="127" t="str">
        <f ca="1">IF(Calc1!$K$13=0,"",Calc1!$AC10)</f>
        <v/>
      </c>
      <c r="D26" s="131" t="str">
        <f ca="1">IF($C26="","",VLOOKUP($C26,Calc1!$C$17:$AC$25,25,0))</f>
        <v/>
      </c>
      <c r="E26" s="114" t="str">
        <f ca="1">IF($C26="","",VLOOKUP($C26,Calc1!$C$17:$AC$25,26,0))</f>
        <v/>
      </c>
      <c r="F26" s="114" t="str">
        <f ca="1">IF($C26="","",VLOOKUP($C26,Calc1!$C$17:$AC$25,27,0))</f>
        <v/>
      </c>
      <c r="G26" s="448" t="str">
        <f ca="1">IF($C26="","",VLOOKUP(C26,PreliminaryRound!$AK$12:$AL$33,2,0))</f>
        <v/>
      </c>
      <c r="H26" s="139" t="str">
        <f ca="1">IFERROR(VLOOKUP($C26&amp;H$19,Calc1!$Z$64:$AB$207,3,0),"")</f>
        <v/>
      </c>
      <c r="I26" s="114" t="str">
        <f ca="1">IFERROR(VLOOKUP($C26&amp;I$19,Calc1!$Z$64:$AB$207,3,0),"")</f>
        <v/>
      </c>
      <c r="J26" s="114" t="str">
        <f ca="1">IFERROR(VLOOKUP($C26&amp;J$19,Calc1!$Z$64:$AB$207,3,0),"")</f>
        <v/>
      </c>
      <c r="K26" s="114" t="str">
        <f ca="1">IFERROR(VLOOKUP($C26&amp;K$19,Calc1!$Z$64:$AB$207,3,0),"")</f>
        <v/>
      </c>
      <c r="L26" s="114" t="str">
        <f ca="1">IFERROR(VLOOKUP($C26&amp;L$19,Calc1!$Z$64:$AB$207,3,0),"")</f>
        <v/>
      </c>
      <c r="M26" s="550" t="str">
        <f ca="1">IFERROR(VLOOKUP($C26&amp;M$19,Calc1!$Z$64:$AB$207,3,0),"")</f>
        <v/>
      </c>
      <c r="N26" s="551"/>
      <c r="O26" s="550" t="str">
        <f ca="1">IFERROR(VLOOKUP($C26&amp;O$19,Calc1!$Z$64:$AB$207,3,0),"")</f>
        <v/>
      </c>
      <c r="P26" s="156" t="str">
        <f ca="1">IFERROR(VLOOKUP($C26&amp;P$19,Calc1!$Z$64:$AB$207,3,0),"")</f>
        <v/>
      </c>
      <c r="Q26" s="185" t="str">
        <f t="shared" ca="1" si="1"/>
        <v/>
      </c>
    </row>
    <row r="27" spans="2:17" ht="21.95" customHeight="1" x14ac:dyDescent="0.2">
      <c r="B27" s="117" t="str">
        <f ca="1">IF($C27="","",INDEX(Calc1!$E$4:$E$12,MATCH($C27,Calc1!$F$4:$F$12,0)))</f>
        <v/>
      </c>
      <c r="C27" s="127" t="str">
        <f ca="1">IF(Calc1!$K$13=0,"",Calc1!$AC11)</f>
        <v/>
      </c>
      <c r="D27" s="131" t="str">
        <f ca="1">IF($C27="","",VLOOKUP($C27,Calc1!$C$17:$AC$25,25,0))</f>
        <v/>
      </c>
      <c r="E27" s="114" t="str">
        <f ca="1">IF($C27="","",VLOOKUP($C27,Calc1!$C$17:$AC$25,26,0))</f>
        <v/>
      </c>
      <c r="F27" s="114" t="str">
        <f ca="1">IF($C27="","",VLOOKUP($C27,Calc1!$C$17:$AC$25,27,0))</f>
        <v/>
      </c>
      <c r="G27" s="448" t="str">
        <f ca="1">IF($C27="","",VLOOKUP(C27,PreliminaryRound!$AK$12:$AL$33,2,0))</f>
        <v/>
      </c>
      <c r="H27" s="139" t="str">
        <f ca="1">IFERROR(VLOOKUP($C27&amp;H$19,Calc1!$Z$64:$AB$207,3,0),"")</f>
        <v/>
      </c>
      <c r="I27" s="114" t="str">
        <f ca="1">IFERROR(VLOOKUP($C27&amp;I$19,Calc1!$Z$64:$AB$207,3,0),"")</f>
        <v/>
      </c>
      <c r="J27" s="114" t="str">
        <f ca="1">IFERROR(VLOOKUP($C27&amp;J$19,Calc1!$Z$64:$AB$207,3,0),"")</f>
        <v/>
      </c>
      <c r="K27" s="114" t="str">
        <f ca="1">IFERROR(VLOOKUP($C27&amp;K$19,Calc1!$Z$64:$AB$207,3,0),"")</f>
        <v/>
      </c>
      <c r="L27" s="114" t="str">
        <f ca="1">IFERROR(VLOOKUP($C27&amp;L$19,Calc1!$Z$64:$AB$207,3,0),"")</f>
        <v/>
      </c>
      <c r="M27" s="550" t="str">
        <f ca="1">IFERROR(VLOOKUP($C27&amp;M$19,Calc1!$Z$64:$AB$207,3,0),"")</f>
        <v/>
      </c>
      <c r="N27" s="550" t="str">
        <f ca="1">IFERROR(VLOOKUP($C27&amp;N$19,Calc1!$Z$64:$AB$207,3,0),"")</f>
        <v/>
      </c>
      <c r="O27" s="551"/>
      <c r="P27" s="156" t="str">
        <f ca="1">IFERROR(VLOOKUP($C27&amp;P$19,Calc1!$Z$64:$AB$207,3,0),"")</f>
        <v/>
      </c>
      <c r="Q27" s="185" t="str">
        <f t="shared" ca="1" si="1"/>
        <v/>
      </c>
    </row>
    <row r="28" spans="2:17" ht="21.95" customHeight="1" thickBot="1" x14ac:dyDescent="0.25">
      <c r="B28" s="118" t="str">
        <f ca="1">IF($C28="","",INDEX(Calc1!$E$4:$E$12,MATCH($C28,Calc1!$F$4:$F$12,0)))</f>
        <v/>
      </c>
      <c r="C28" s="128" t="str">
        <f ca="1">IF(Calc1!$K$13=0,"",Calc1!$AC12)</f>
        <v/>
      </c>
      <c r="D28" s="132" t="str">
        <f ca="1">IF($C28="","",VLOOKUP($C28,Calc1!$C$17:$AC$25,25,0))</f>
        <v/>
      </c>
      <c r="E28" s="115" t="str">
        <f ca="1">IF($C28="","",VLOOKUP($C28,Calc1!$C$17:$AC$25,26,0))</f>
        <v/>
      </c>
      <c r="F28" s="115" t="str">
        <f ca="1">IF($C28="","",VLOOKUP($C28,Calc1!$C$17:$AC$25,27,0))</f>
        <v/>
      </c>
      <c r="G28" s="449" t="str">
        <f ca="1">IF($C28="","",VLOOKUP(C28,PreliminaryRound!$AK$12:$AL$33,2,0))</f>
        <v/>
      </c>
      <c r="H28" s="140" t="str">
        <f ca="1">IFERROR(VLOOKUP($C28&amp;H$19,Calc1!$Z$64:$AB$207,3,0),"")</f>
        <v/>
      </c>
      <c r="I28" s="115" t="str">
        <f ca="1">IFERROR(VLOOKUP($C28&amp;I$19,Calc1!$Z$64:$AB$207,3,0),"")</f>
        <v/>
      </c>
      <c r="J28" s="115" t="str">
        <f ca="1">IFERROR(VLOOKUP($C28&amp;J$19,Calc1!$Z$64:$AB$207,3,0),"")</f>
        <v/>
      </c>
      <c r="K28" s="115" t="str">
        <f ca="1">IFERROR(VLOOKUP($C28&amp;K$19,Calc1!$Z$64:$AB$207,3,0),"")</f>
        <v/>
      </c>
      <c r="L28" s="115" t="str">
        <f ca="1">IFERROR(VLOOKUP($C28&amp;L$19,Calc1!$Z$64:$AB$207,3,0),"")</f>
        <v/>
      </c>
      <c r="M28" s="552" t="str">
        <f ca="1">IFERROR(VLOOKUP($C28&amp;M$19,Calc1!$Z$64:$AB$207,3,0),"")</f>
        <v/>
      </c>
      <c r="N28" s="552" t="str">
        <f ca="1">IFERROR(VLOOKUP($C28&amp;N$19,Calc1!$Z$64:$AB$207,3,0),"")</f>
        <v/>
      </c>
      <c r="O28" s="552" t="str">
        <f ca="1">IFERROR(VLOOKUP($C28&amp;O$19,Calc1!$Z$64:$AB$207,3,0),"")</f>
        <v/>
      </c>
      <c r="P28" s="157"/>
      <c r="Q28" s="186" t="str">
        <f t="shared" ca="1" si="1"/>
        <v/>
      </c>
    </row>
    <row r="29" spans="2:17" ht="42.75" customHeight="1" thickTop="1" thickBot="1" x14ac:dyDescent="0.25">
      <c r="B29" s="135"/>
      <c r="C29" s="136"/>
      <c r="D29" s="137"/>
      <c r="E29" s="123"/>
      <c r="F29" s="123"/>
      <c r="G29" s="123"/>
      <c r="H29" s="123"/>
      <c r="I29" s="123"/>
      <c r="J29" s="123"/>
      <c r="K29" s="123"/>
      <c r="L29" s="123"/>
      <c r="M29" s="123"/>
      <c r="N29" s="123"/>
      <c r="O29" s="123"/>
      <c r="P29" s="123"/>
    </row>
    <row r="30" spans="2:17" ht="21.95" customHeight="1" thickBot="1" x14ac:dyDescent="0.25">
      <c r="H30" s="554" t="str">
        <f ca="1">IF(LEN(H31)&gt;Settings!$C$17,LEFT(H31,Settings!$C$17)&amp;".",H31)</f>
        <v/>
      </c>
      <c r="I30" s="555" t="str">
        <f ca="1">IF(LEN(I31)&gt;Settings!$C$17,LEFT(I31,Settings!$C$17)&amp;".",I31)</f>
        <v/>
      </c>
      <c r="J30" s="555" t="str">
        <f ca="1">IF(LEN(J31)&gt;Settings!$C$17,LEFT(J31,Settings!$C$17)&amp;".",J31)</f>
        <v/>
      </c>
      <c r="K30" s="555" t="str">
        <f ca="1">IF(LEN(K31)&gt;Settings!$C$17,LEFT(K31,Settings!$C$17)&amp;".",K31)</f>
        <v/>
      </c>
      <c r="L30" s="555" t="str">
        <f ca="1">IF(LEN(L31)&gt;Settings!$C$17,LEFT(L31,Settings!$C$17)&amp;".",L31)</f>
        <v/>
      </c>
      <c r="M30" s="556" t="str">
        <f ca="1">IF(LEN(M31)&gt;Settings!$C$17,LEFT(M31,Settings!$C$17)&amp;".",M31)</f>
        <v/>
      </c>
      <c r="N30" s="556" t="str">
        <f ca="1">IF(LEN(N31)&gt;Settings!$C$17,LEFT(N31,Settings!$C$17)&amp;".",N31)</f>
        <v/>
      </c>
      <c r="O30" s="556" t="str">
        <f ca="1">IF(LEN(O31)&gt;Settings!$C$17,LEFT(O31,Settings!$C$17)&amp;".",O31)</f>
        <v/>
      </c>
      <c r="P30" s="557" t="str">
        <f ca="1">IF(LEN(P31)&gt;Settings!$C$17,LEFT(P31,Settings!$C$17)&amp;".",P31)</f>
        <v/>
      </c>
    </row>
    <row r="31" spans="2:17" ht="21.95" customHeight="1" thickTop="1" thickBot="1" x14ac:dyDescent="0.25">
      <c r="B31" s="119"/>
      <c r="C31" s="125" t="str">
        <f>Language!$E$10</f>
        <v>Participant or team</v>
      </c>
      <c r="D31" s="129" t="str">
        <f>Language!$E$27</f>
        <v>Pts</v>
      </c>
      <c r="E31" s="116" t="str">
        <f>Language!$E$26</f>
        <v>GD</v>
      </c>
      <c r="F31" s="116" t="str">
        <f>Language!$E$28</f>
        <v>GF</v>
      </c>
      <c r="G31" s="151" t="str">
        <f>Language!$E$49</f>
        <v>bonus</v>
      </c>
      <c r="H31" s="133" t="str">
        <f ca="1">C32</f>
        <v/>
      </c>
      <c r="I31" s="134" t="str">
        <f ca="1">C33</f>
        <v/>
      </c>
      <c r="J31" s="134" t="str">
        <f ca="1">C34</f>
        <v/>
      </c>
      <c r="K31" s="134" t="str">
        <f ca="1">C35</f>
        <v/>
      </c>
      <c r="L31" s="134" t="str">
        <f ca="1">C36</f>
        <v/>
      </c>
      <c r="M31" s="548" t="str">
        <f ca="1">C37</f>
        <v/>
      </c>
      <c r="N31" s="548" t="str">
        <f ca="1">C38</f>
        <v/>
      </c>
      <c r="O31" s="548" t="str">
        <f ca="1">C39</f>
        <v/>
      </c>
      <c r="P31" s="154" t="str">
        <f ca="1">C40</f>
        <v/>
      </c>
    </row>
    <row r="32" spans="2:17" ht="21.95" customHeight="1" x14ac:dyDescent="0.2">
      <c r="B32" s="117" t="str">
        <f ca="1">IF($C32="","",INDEX(Calc1!$E$4:$E$12,MATCH($C32,Calc1!$F$4:$F$12,0)))</f>
        <v/>
      </c>
      <c r="C32" s="126" t="str">
        <f ca="1">IF(Calc1!$K$13=0,"",Calc1!$AH4)</f>
        <v/>
      </c>
      <c r="D32" s="130" t="str">
        <f ca="1">IF($C32="","",VLOOKUP($C32,Calc1!$C$17:$AC$25,25,0))</f>
        <v/>
      </c>
      <c r="E32" s="113" t="str">
        <f ca="1">IF($C32="","",VLOOKUP($C32,Calc1!$C$17:$AC$25,26,0))</f>
        <v/>
      </c>
      <c r="F32" s="113" t="str">
        <f ca="1">IF($C32="","",VLOOKUP($C32,Calc1!$C$17:$AC$25,27,0))</f>
        <v/>
      </c>
      <c r="G32" s="447" t="str">
        <f ca="1">IF($C32="","",VLOOKUP(C32,PreliminaryRound!$AK$12:$AL$33,2,0))</f>
        <v/>
      </c>
      <c r="H32" s="138"/>
      <c r="I32" s="113" t="str">
        <f ca="1">IFERROR(VLOOKUP($C32&amp;I$31,Calc1!$Z$64:$AB$207,3,0),"")</f>
        <v/>
      </c>
      <c r="J32" s="113" t="str">
        <f ca="1">IFERROR(VLOOKUP($C32&amp;J$31,Calc1!$Z$64:$AB$207,3,0),"")</f>
        <v/>
      </c>
      <c r="K32" s="113" t="str">
        <f ca="1">IFERROR(VLOOKUP($C32&amp;K$31,Calc1!$Z$64:$AB$207,3,0),"")</f>
        <v/>
      </c>
      <c r="L32" s="113" t="str">
        <f ca="1">IFERROR(VLOOKUP($C32&amp;L$31,Calc1!$Z$64:$AB$207,3,0),"")</f>
        <v/>
      </c>
      <c r="M32" s="549" t="str">
        <f ca="1">IFERROR(VLOOKUP($C32&amp;M$31,Calc1!$Z$64:$AB$207,3,0),"")</f>
        <v/>
      </c>
      <c r="N32" s="549" t="str">
        <f ca="1">IFERROR(VLOOKUP($C32&amp;N$31,Calc1!$Z$64:$AB$207,3,0),"")</f>
        <v/>
      </c>
      <c r="O32" s="549" t="str">
        <f ca="1">IFERROR(VLOOKUP($C32&amp;O$31,Calc1!$Z$64:$AB$207,3,0),"")</f>
        <v/>
      </c>
      <c r="P32" s="155" t="str">
        <f ca="1">IFERROR(VLOOKUP($C32&amp;P$31,Calc1!$Z$64:$AB$207,3,0),"")</f>
        <v/>
      </c>
      <c r="Q32" s="184" t="str">
        <f t="shared" ref="Q32:Q40" ca="1" si="2">C32</f>
        <v/>
      </c>
    </row>
    <row r="33" spans="2:17" ht="21.95" customHeight="1" x14ac:dyDescent="0.2">
      <c r="B33" s="117" t="str">
        <f ca="1">IF($C33="","",INDEX(Calc1!$E$4:$E$12,MATCH($C33,Calc1!$F$4:$F$12,0)))</f>
        <v/>
      </c>
      <c r="C33" s="127" t="str">
        <f ca="1">IF(Calc1!$K$13=0,"",Calc1!$AH5)</f>
        <v/>
      </c>
      <c r="D33" s="131" t="str">
        <f ca="1">IF($C33="","",VLOOKUP($C33,Calc1!$C$17:$AC$25,25,0))</f>
        <v/>
      </c>
      <c r="E33" s="114" t="str">
        <f ca="1">IF($C33="","",VLOOKUP($C33,Calc1!$C$17:$AC$25,26,0))</f>
        <v/>
      </c>
      <c r="F33" s="114" t="str">
        <f ca="1">IF($C33="","",VLOOKUP($C33,Calc1!$C$17:$AC$25,27,0))</f>
        <v/>
      </c>
      <c r="G33" s="448" t="str">
        <f ca="1">IF($C33="","",VLOOKUP(C33,PreliminaryRound!$AK$12:$AL$33,2,0))</f>
        <v/>
      </c>
      <c r="H33" s="139" t="str">
        <f ca="1">IFERROR(VLOOKUP($C33&amp;H$31,Calc1!$Z$64:$AB$207,3,0),"")</f>
        <v/>
      </c>
      <c r="I33" s="124"/>
      <c r="J33" s="114" t="str">
        <f ca="1">IFERROR(VLOOKUP($C33&amp;J$31,Calc1!$Z$64:$AB$207,3,0),"")</f>
        <v/>
      </c>
      <c r="K33" s="114" t="str">
        <f ca="1">IFERROR(VLOOKUP($C33&amp;K$31,Calc1!$Z$64:$AB$207,3,0),"")</f>
        <v/>
      </c>
      <c r="L33" s="114" t="str">
        <f ca="1">IFERROR(VLOOKUP($C33&amp;L$31,Calc1!$Z$64:$AB$207,3,0),"")</f>
        <v/>
      </c>
      <c r="M33" s="550" t="str">
        <f ca="1">IFERROR(VLOOKUP($C33&amp;M$31,Calc1!$Z$64:$AB$207,3,0),"")</f>
        <v/>
      </c>
      <c r="N33" s="550" t="str">
        <f ca="1">IFERROR(VLOOKUP($C33&amp;N$31,Calc1!$Z$64:$AB$207,3,0),"")</f>
        <v/>
      </c>
      <c r="O33" s="550" t="str">
        <f ca="1">IFERROR(VLOOKUP($C33&amp;O$31,Calc1!$Z$64:$AB$207,3,0),"")</f>
        <v/>
      </c>
      <c r="P33" s="156" t="str">
        <f ca="1">IFERROR(VLOOKUP($C33&amp;P$31,Calc1!$Z$64:$AB$207,3,0),"")</f>
        <v/>
      </c>
      <c r="Q33" s="185" t="str">
        <f t="shared" ca="1" si="2"/>
        <v/>
      </c>
    </row>
    <row r="34" spans="2:17" ht="21.95" customHeight="1" x14ac:dyDescent="0.2">
      <c r="B34" s="117" t="str">
        <f ca="1">IF($C34="","",INDEX(Calc1!$E$4:$E$12,MATCH($C34,Calc1!$F$4:$F$12,0)))</f>
        <v/>
      </c>
      <c r="C34" s="127" t="str">
        <f ca="1">IF(Calc1!$K$13=0,"",Calc1!$AH6)</f>
        <v/>
      </c>
      <c r="D34" s="131" t="str">
        <f ca="1">IF($C34="","",VLOOKUP($C34,Calc1!$C$17:$AC$25,25,0))</f>
        <v/>
      </c>
      <c r="E34" s="114" t="str">
        <f ca="1">IF($C34="","",VLOOKUP($C34,Calc1!$C$17:$AC$25,26,0))</f>
        <v/>
      </c>
      <c r="F34" s="114" t="str">
        <f ca="1">IF($C34="","",VLOOKUP($C34,Calc1!$C$17:$AC$25,27,0))</f>
        <v/>
      </c>
      <c r="G34" s="448" t="str">
        <f ca="1">IF($C34="","",VLOOKUP(C34,PreliminaryRound!$AK$12:$AL$33,2,0))</f>
        <v/>
      </c>
      <c r="H34" s="139" t="str">
        <f ca="1">IFERROR(VLOOKUP($C34&amp;H$31,Calc1!$Z$64:$AB$207,3,0),"")</f>
        <v/>
      </c>
      <c r="I34" s="114" t="str">
        <f ca="1">IFERROR(VLOOKUP($C34&amp;I$31,Calc1!$Z$64:$AB$207,3,0),"")</f>
        <v/>
      </c>
      <c r="J34" s="124"/>
      <c r="K34" s="114" t="str">
        <f ca="1">IFERROR(VLOOKUP($C34&amp;K$31,Calc1!$Z$64:$AB$207,3,0),"")</f>
        <v/>
      </c>
      <c r="L34" s="114" t="str">
        <f ca="1">IFERROR(VLOOKUP($C34&amp;L$31,Calc1!$Z$64:$AB$207,3,0),"")</f>
        <v/>
      </c>
      <c r="M34" s="550" t="str">
        <f ca="1">IFERROR(VLOOKUP($C34&amp;M$31,Calc1!$Z$64:$AB$207,3,0),"")</f>
        <v/>
      </c>
      <c r="N34" s="550" t="str">
        <f ca="1">IFERROR(VLOOKUP($C34&amp;N$31,Calc1!$Z$64:$AB$207,3,0),"")</f>
        <v/>
      </c>
      <c r="O34" s="550" t="str">
        <f ca="1">IFERROR(VLOOKUP($C34&amp;O$31,Calc1!$Z$64:$AB$207,3,0),"")</f>
        <v/>
      </c>
      <c r="P34" s="156" t="str">
        <f ca="1">IFERROR(VLOOKUP($C34&amp;P$31,Calc1!$Z$64:$AB$207,3,0),"")</f>
        <v/>
      </c>
      <c r="Q34" s="185" t="str">
        <f t="shared" ca="1" si="2"/>
        <v/>
      </c>
    </row>
    <row r="35" spans="2:17" ht="21.95" customHeight="1" x14ac:dyDescent="0.2">
      <c r="B35" s="117" t="str">
        <f ca="1">IF($C35="","",INDEX(Calc1!$E$4:$E$12,MATCH($C35,Calc1!$F$4:$F$12,0)))</f>
        <v/>
      </c>
      <c r="C35" s="127" t="str">
        <f ca="1">IF(Calc1!$K$13=0,"",Calc1!$AH7)</f>
        <v/>
      </c>
      <c r="D35" s="131" t="str">
        <f ca="1">IF($C35="","",VLOOKUP($C35,Calc1!$C$17:$AC$25,25,0))</f>
        <v/>
      </c>
      <c r="E35" s="114" t="str">
        <f ca="1">IF($C35="","",VLOOKUP($C35,Calc1!$C$17:$AC$25,26,0))</f>
        <v/>
      </c>
      <c r="F35" s="114" t="str">
        <f ca="1">IF($C35="","",VLOOKUP($C35,Calc1!$C$17:$AC$25,27,0))</f>
        <v/>
      </c>
      <c r="G35" s="448" t="str">
        <f ca="1">IF($C35="","",VLOOKUP(C35,PreliminaryRound!$AK$12:$AL$33,2,0))</f>
        <v/>
      </c>
      <c r="H35" s="139" t="str">
        <f ca="1">IFERROR(VLOOKUP($C35&amp;H$31,Calc1!$Z$64:$AB$207,3,0),"")</f>
        <v/>
      </c>
      <c r="I35" s="114" t="str">
        <f ca="1">IFERROR(VLOOKUP($C35&amp;I$31,Calc1!$Z$64:$AB$207,3,0),"")</f>
        <v/>
      </c>
      <c r="J35" s="114" t="str">
        <f ca="1">IFERROR(VLOOKUP($C35&amp;J$31,Calc1!$Z$64:$AB$207,3,0),"")</f>
        <v/>
      </c>
      <c r="K35" s="124"/>
      <c r="L35" s="114" t="str">
        <f ca="1">IFERROR(VLOOKUP($C35&amp;L$31,Calc1!$Z$64:$AB$207,3,0),"")</f>
        <v/>
      </c>
      <c r="M35" s="550" t="str">
        <f ca="1">IFERROR(VLOOKUP($C35&amp;M$31,Calc1!$Z$64:$AB$207,3,0),"")</f>
        <v/>
      </c>
      <c r="N35" s="550" t="str">
        <f ca="1">IFERROR(VLOOKUP($C35&amp;N$31,Calc1!$Z$64:$AB$207,3,0),"")</f>
        <v/>
      </c>
      <c r="O35" s="550" t="str">
        <f ca="1">IFERROR(VLOOKUP($C35&amp;O$31,Calc1!$Z$64:$AB$207,3,0),"")</f>
        <v/>
      </c>
      <c r="P35" s="156" t="str">
        <f ca="1">IFERROR(VLOOKUP($C35&amp;P$31,Calc1!$Z$64:$AB$207,3,0),"")</f>
        <v/>
      </c>
      <c r="Q35" s="185" t="str">
        <f t="shared" ca="1" si="2"/>
        <v/>
      </c>
    </row>
    <row r="36" spans="2:17" ht="21.95" customHeight="1" x14ac:dyDescent="0.2">
      <c r="B36" s="117" t="str">
        <f ca="1">IF($C36="","",INDEX(Calc1!$E$4:$E$12,MATCH($C36,Calc1!$F$4:$F$12,0)))</f>
        <v/>
      </c>
      <c r="C36" s="127" t="str">
        <f ca="1">IF(Calc1!$K$13=0,"",Calc1!$AH8)</f>
        <v/>
      </c>
      <c r="D36" s="131" t="str">
        <f ca="1">IF($C36="","",VLOOKUP($C36,Calc1!$C$17:$AC$25,25,0))</f>
        <v/>
      </c>
      <c r="E36" s="114" t="str">
        <f ca="1">IF($C36="","",VLOOKUP($C36,Calc1!$C$17:$AC$25,26,0))</f>
        <v/>
      </c>
      <c r="F36" s="114" t="str">
        <f ca="1">IF($C36="","",VLOOKUP($C36,Calc1!$C$17:$AC$25,27,0))</f>
        <v/>
      </c>
      <c r="G36" s="448" t="str">
        <f ca="1">IF($C36="","",VLOOKUP(C36,PreliminaryRound!$AK$12:$AL$33,2,0))</f>
        <v/>
      </c>
      <c r="H36" s="139" t="str">
        <f ca="1">IFERROR(VLOOKUP($C36&amp;H$31,Calc1!$Z$64:$AB$207,3,0),"")</f>
        <v/>
      </c>
      <c r="I36" s="114" t="str">
        <f ca="1">IFERROR(VLOOKUP($C36&amp;I$31,Calc1!$Z$64:$AB$207,3,0),"")</f>
        <v/>
      </c>
      <c r="J36" s="114" t="str">
        <f ca="1">IFERROR(VLOOKUP($C36&amp;J$31,Calc1!$Z$64:$AB$207,3,0),"")</f>
        <v/>
      </c>
      <c r="K36" s="114" t="str">
        <f ca="1">IFERROR(VLOOKUP($C36&amp;K$31,Calc1!$Z$64:$AB$207,3,0),"")</f>
        <v/>
      </c>
      <c r="L36" s="124"/>
      <c r="M36" s="550" t="str">
        <f ca="1">IFERROR(VLOOKUP($C36&amp;M$31,Calc1!$Z$64:$AB$207,3,0),"")</f>
        <v/>
      </c>
      <c r="N36" s="550" t="str">
        <f ca="1">IFERROR(VLOOKUP($C36&amp;N$31,Calc1!$Z$64:$AB$207,3,0),"")</f>
        <v/>
      </c>
      <c r="O36" s="550" t="str">
        <f ca="1">IFERROR(VLOOKUP($C36&amp;O$31,Calc1!$Z$64:$AB$207,3,0),"")</f>
        <v/>
      </c>
      <c r="P36" s="156" t="str">
        <f ca="1">IFERROR(VLOOKUP($C36&amp;P$31,Calc1!$Z$64:$AB$207,3,0),"")</f>
        <v/>
      </c>
      <c r="Q36" s="185" t="str">
        <f t="shared" ca="1" si="2"/>
        <v/>
      </c>
    </row>
    <row r="37" spans="2:17" ht="21.95" customHeight="1" x14ac:dyDescent="0.2">
      <c r="B37" s="117" t="str">
        <f ca="1">IF($C37="","",INDEX(Calc1!$E$4:$E$12,MATCH($C37,Calc1!$F$4:$F$12,0)))</f>
        <v/>
      </c>
      <c r="C37" s="127" t="str">
        <f ca="1">IF(Calc1!$K$13=0,"",Calc1!$AH9)</f>
        <v/>
      </c>
      <c r="D37" s="131" t="str">
        <f ca="1">IF($C37="","",VLOOKUP($C37,Calc1!$C$17:$AC$25,25,0))</f>
        <v/>
      </c>
      <c r="E37" s="114" t="str">
        <f ca="1">IF($C37="","",VLOOKUP($C37,Calc1!$C$17:$AC$25,26,0))</f>
        <v/>
      </c>
      <c r="F37" s="114" t="str">
        <f ca="1">IF($C37="","",VLOOKUP($C37,Calc1!$C$17:$AC$25,27,0))</f>
        <v/>
      </c>
      <c r="G37" s="448" t="str">
        <f ca="1">IF($C37="","",VLOOKUP(C37,PreliminaryRound!$AK$12:$AL$33,2,0))</f>
        <v/>
      </c>
      <c r="H37" s="139" t="str">
        <f ca="1">IFERROR(VLOOKUP($C37&amp;H$31,Calc1!$Z$64:$AB$207,3,0),"")</f>
        <v/>
      </c>
      <c r="I37" s="114" t="str">
        <f ca="1">IFERROR(VLOOKUP($C37&amp;I$31,Calc1!$Z$64:$AB$207,3,0),"")</f>
        <v/>
      </c>
      <c r="J37" s="114" t="str">
        <f ca="1">IFERROR(VLOOKUP($C37&amp;J$31,Calc1!$Z$64:$AB$207,3,0),"")</f>
        <v/>
      </c>
      <c r="K37" s="114" t="str">
        <f ca="1">IFERROR(VLOOKUP($C37&amp;K$31,Calc1!$Z$64:$AB$207,3,0),"")</f>
        <v/>
      </c>
      <c r="L37" s="114" t="str">
        <f ca="1">IFERROR(VLOOKUP($C37&amp;L$31,Calc1!$Z$64:$AB$207,3,0),"")</f>
        <v/>
      </c>
      <c r="M37" s="551"/>
      <c r="N37" s="550" t="str">
        <f ca="1">IFERROR(VLOOKUP($C37&amp;N$31,Calc1!$Z$64:$AB$207,3,0),"")</f>
        <v/>
      </c>
      <c r="O37" s="550" t="str">
        <f ca="1">IFERROR(VLOOKUP($C37&amp;O$31,Calc1!$Z$64:$AB$207,3,0),"")</f>
        <v/>
      </c>
      <c r="P37" s="156" t="str">
        <f ca="1">IFERROR(VLOOKUP($C37&amp;P$31,Calc1!$Z$64:$AB$207,3,0),"")</f>
        <v/>
      </c>
      <c r="Q37" s="185" t="str">
        <f t="shared" ca="1" si="2"/>
        <v/>
      </c>
    </row>
    <row r="38" spans="2:17" ht="21.95" customHeight="1" x14ac:dyDescent="0.2">
      <c r="B38" s="117" t="str">
        <f ca="1">IF($C38="","",INDEX(Calc1!$E$4:$E$12,MATCH($C38,Calc1!$F$4:$F$12,0)))</f>
        <v/>
      </c>
      <c r="C38" s="127" t="str">
        <f ca="1">IF(Calc1!$K$13=0,"",Calc1!$AH10)</f>
        <v/>
      </c>
      <c r="D38" s="131" t="str">
        <f ca="1">IF($C38="","",VLOOKUP($C38,Calc1!$C$17:$AC$25,25,0))</f>
        <v/>
      </c>
      <c r="E38" s="114" t="str">
        <f ca="1">IF($C38="","",VLOOKUP($C38,Calc1!$C$17:$AC$25,26,0))</f>
        <v/>
      </c>
      <c r="F38" s="114" t="str">
        <f ca="1">IF($C38="","",VLOOKUP($C38,Calc1!$C$17:$AC$25,27,0))</f>
        <v/>
      </c>
      <c r="G38" s="448" t="str">
        <f ca="1">IF($C38="","",VLOOKUP(C38,PreliminaryRound!$AK$12:$AL$33,2,0))</f>
        <v/>
      </c>
      <c r="H38" s="139" t="str">
        <f ca="1">IFERROR(VLOOKUP($C38&amp;H$31,Calc1!$Z$64:$AB$207,3,0),"")</f>
        <v/>
      </c>
      <c r="I38" s="114" t="str">
        <f ca="1">IFERROR(VLOOKUP($C38&amp;I$31,Calc1!$Z$64:$AB$207,3,0),"")</f>
        <v/>
      </c>
      <c r="J38" s="114" t="str">
        <f ca="1">IFERROR(VLOOKUP($C38&amp;J$31,Calc1!$Z$64:$AB$207,3,0),"")</f>
        <v/>
      </c>
      <c r="K38" s="114" t="str">
        <f ca="1">IFERROR(VLOOKUP($C38&amp;K$31,Calc1!$Z$64:$AB$207,3,0),"")</f>
        <v/>
      </c>
      <c r="L38" s="114" t="str">
        <f ca="1">IFERROR(VLOOKUP($C38&amp;L$31,Calc1!$Z$64:$AB$207,3,0),"")</f>
        <v/>
      </c>
      <c r="M38" s="550" t="str">
        <f ca="1">IFERROR(VLOOKUP($C38&amp;M$31,Calc1!$Z$64:$AB$207,3,0),"")</f>
        <v/>
      </c>
      <c r="N38" s="551"/>
      <c r="O38" s="550" t="str">
        <f ca="1">IFERROR(VLOOKUP($C38&amp;O$31,Calc1!$Z$64:$AB$207,3,0),"")</f>
        <v/>
      </c>
      <c r="P38" s="156" t="str">
        <f ca="1">IFERROR(VLOOKUP($C38&amp;P$31,Calc1!$Z$64:$AB$207,3,0),"")</f>
        <v/>
      </c>
      <c r="Q38" s="185" t="str">
        <f t="shared" ca="1" si="2"/>
        <v/>
      </c>
    </row>
    <row r="39" spans="2:17" ht="21.95" customHeight="1" x14ac:dyDescent="0.2">
      <c r="B39" s="117" t="str">
        <f ca="1">IF($C39="","",INDEX(Calc1!$E$4:$E$12,MATCH($C39,Calc1!$F$4:$F$12,0)))</f>
        <v/>
      </c>
      <c r="C39" s="127" t="str">
        <f ca="1">IF(Calc1!$K$13=0,"",Calc1!$AH11)</f>
        <v/>
      </c>
      <c r="D39" s="131" t="str">
        <f ca="1">IF($C39="","",VLOOKUP($C39,Calc1!$C$17:$AC$25,25,0))</f>
        <v/>
      </c>
      <c r="E39" s="114" t="str">
        <f ca="1">IF($C39="","",VLOOKUP($C39,Calc1!$C$17:$AC$25,26,0))</f>
        <v/>
      </c>
      <c r="F39" s="114" t="str">
        <f ca="1">IF($C39="","",VLOOKUP($C39,Calc1!$C$17:$AC$25,27,0))</f>
        <v/>
      </c>
      <c r="G39" s="448" t="str">
        <f ca="1">IF($C39="","",VLOOKUP(C39,PreliminaryRound!$AK$12:$AL$33,2,0))</f>
        <v/>
      </c>
      <c r="H39" s="139" t="str">
        <f ca="1">IFERROR(VLOOKUP($C39&amp;H$31,Calc1!$Z$64:$AB$207,3,0),"")</f>
        <v/>
      </c>
      <c r="I39" s="114" t="str">
        <f ca="1">IFERROR(VLOOKUP($C39&amp;I$31,Calc1!$Z$64:$AB$207,3,0),"")</f>
        <v/>
      </c>
      <c r="J39" s="114" t="str">
        <f ca="1">IFERROR(VLOOKUP($C39&amp;J$31,Calc1!$Z$64:$AB$207,3,0),"")</f>
        <v/>
      </c>
      <c r="K39" s="114" t="str">
        <f ca="1">IFERROR(VLOOKUP($C39&amp;K$31,Calc1!$Z$64:$AB$207,3,0),"")</f>
        <v/>
      </c>
      <c r="L39" s="114" t="str">
        <f ca="1">IFERROR(VLOOKUP($C39&amp;L$31,Calc1!$Z$64:$AB$207,3,0),"")</f>
        <v/>
      </c>
      <c r="M39" s="550" t="str">
        <f ca="1">IFERROR(VLOOKUP($C39&amp;M$31,Calc1!$Z$64:$AB$207,3,0),"")</f>
        <v/>
      </c>
      <c r="N39" s="550" t="str">
        <f ca="1">IFERROR(VLOOKUP($C39&amp;N$31,Calc1!$Z$64:$AB$207,3,0),"")</f>
        <v/>
      </c>
      <c r="O39" s="551"/>
      <c r="P39" s="156" t="str">
        <f ca="1">IFERROR(VLOOKUP($C39&amp;P$31,Calc1!$Z$64:$AB$207,3,0),"")</f>
        <v/>
      </c>
      <c r="Q39" s="185" t="str">
        <f t="shared" ca="1" si="2"/>
        <v/>
      </c>
    </row>
    <row r="40" spans="2:17" ht="21.95" customHeight="1" thickBot="1" x14ac:dyDescent="0.25">
      <c r="B40" s="118" t="str">
        <f ca="1">IF($C40="","",INDEX(Calc1!$E$4:$E$12,MATCH($C40,Calc1!$F$4:$F$12,0)))</f>
        <v/>
      </c>
      <c r="C40" s="128" t="str">
        <f ca="1">IF(Calc1!$K$13=0,"",Calc1!$AH12)</f>
        <v/>
      </c>
      <c r="D40" s="132" t="str">
        <f ca="1">IF($C40="","",VLOOKUP($C40,Calc1!$C$17:$AC$25,25,0))</f>
        <v/>
      </c>
      <c r="E40" s="115" t="str">
        <f ca="1">IF($C40="","",VLOOKUP($C40,Calc1!$C$17:$AC$25,26,0))</f>
        <v/>
      </c>
      <c r="F40" s="115" t="str">
        <f ca="1">IF($C40="","",VLOOKUP($C40,Calc1!$C$17:$AC$25,27,0))</f>
        <v/>
      </c>
      <c r="G40" s="449" t="str">
        <f ca="1">IF($C40="","",VLOOKUP(C40,PreliminaryRound!$AK$12:$AL$33,2,0))</f>
        <v/>
      </c>
      <c r="H40" s="140" t="str">
        <f ca="1">IFERROR(VLOOKUP($C40&amp;H$31,Calc1!$Z$64:$AB$207,3,0),"")</f>
        <v/>
      </c>
      <c r="I40" s="115" t="str">
        <f ca="1">IFERROR(VLOOKUP($C40&amp;I$31,Calc1!$Z$64:$AB$207,3,0),"")</f>
        <v/>
      </c>
      <c r="J40" s="115" t="str">
        <f ca="1">IFERROR(VLOOKUP($C40&amp;J$31,Calc1!$Z$64:$AB$207,3,0),"")</f>
        <v/>
      </c>
      <c r="K40" s="115" t="str">
        <f ca="1">IFERROR(VLOOKUP($C40&amp;K$31,Calc1!$Z$64:$AB$207,3,0),"")</f>
        <v/>
      </c>
      <c r="L40" s="115" t="str">
        <f ca="1">IFERROR(VLOOKUP($C40&amp;L$31,Calc1!$Z$64:$AB$207,3,0),"")</f>
        <v/>
      </c>
      <c r="M40" s="552" t="str">
        <f ca="1">IFERROR(VLOOKUP($C40&amp;M$31,Calc1!$Z$64:$AB$207,3,0),"")</f>
        <v/>
      </c>
      <c r="N40" s="552" t="str">
        <f ca="1">IFERROR(VLOOKUP($C40&amp;N$31,Calc1!$Z$64:$AB$207,3,0),"")</f>
        <v/>
      </c>
      <c r="O40" s="552" t="str">
        <f ca="1">IFERROR(VLOOKUP($C40&amp;O$31,Calc1!$Z$64:$AB$207,3,0),"")</f>
        <v/>
      </c>
      <c r="P40" s="157"/>
      <c r="Q40" s="186" t="str">
        <f t="shared" ca="1" si="2"/>
        <v/>
      </c>
    </row>
    <row r="41" spans="2:17" ht="42.75" customHeight="1" thickTop="1" thickBot="1" x14ac:dyDescent="0.25"/>
    <row r="42" spans="2:17" ht="21.95" customHeight="1" thickBot="1" x14ac:dyDescent="0.25">
      <c r="H42" s="554" t="str">
        <f ca="1">IF(LEN(H43)&gt;Settings!$C$17,LEFT(H43,Settings!$C$17)&amp;".",H43)</f>
        <v/>
      </c>
      <c r="I42" s="555" t="str">
        <f ca="1">IF(LEN(I43)&gt;Settings!$C$17,LEFT(I43,Settings!$C$17)&amp;".",I43)</f>
        <v/>
      </c>
      <c r="J42" s="555" t="str">
        <f ca="1">IF(LEN(J43)&gt;Settings!$C$17,LEFT(J43,Settings!$C$17)&amp;".",J43)</f>
        <v/>
      </c>
      <c r="K42" s="555" t="str">
        <f ca="1">IF(LEN(K43)&gt;Settings!$C$17,LEFT(K43,Settings!$C$17)&amp;".",K43)</f>
        <v/>
      </c>
      <c r="L42" s="555" t="str">
        <f ca="1">IF(LEN(L43)&gt;Settings!$C$17,LEFT(L43,Settings!$C$17)&amp;".",L43)</f>
        <v/>
      </c>
      <c r="M42" s="556" t="str">
        <f ca="1">IF(LEN(M43)&gt;Settings!$C$17,LEFT(M43,Settings!$C$17)&amp;".",M43)</f>
        <v/>
      </c>
      <c r="N42" s="556" t="str">
        <f ca="1">IF(LEN(N43)&gt;Settings!$C$17,LEFT(N43,Settings!$C$17)&amp;".",N43)</f>
        <v/>
      </c>
      <c r="O42" s="556" t="str">
        <f ca="1">IF(LEN(O43)&gt;Settings!$C$17,LEFT(O43,Settings!$C$17)&amp;".",O43)</f>
        <v/>
      </c>
      <c r="P42" s="557" t="str">
        <f ca="1">IF(LEN(P43)&gt;Settings!$C$17,LEFT(P43,Settings!$C$17)&amp;".",P43)</f>
        <v/>
      </c>
    </row>
    <row r="43" spans="2:17" ht="21.95" customHeight="1" thickTop="1" thickBot="1" x14ac:dyDescent="0.25">
      <c r="B43" s="119"/>
      <c r="C43" s="125" t="str">
        <f>Language!$E$10</f>
        <v>Participant or team</v>
      </c>
      <c r="D43" s="129" t="str">
        <f>Language!$E$27</f>
        <v>Pts</v>
      </c>
      <c r="E43" s="116" t="str">
        <f>Language!$E$26</f>
        <v>GD</v>
      </c>
      <c r="F43" s="116" t="str">
        <f>Language!$E$28</f>
        <v>GF</v>
      </c>
      <c r="G43" s="151" t="str">
        <f>Language!$E$49</f>
        <v>bonus</v>
      </c>
      <c r="H43" s="133" t="str">
        <f ca="1">C44</f>
        <v/>
      </c>
      <c r="I43" s="134" t="str">
        <f ca="1">C45</f>
        <v/>
      </c>
      <c r="J43" s="134" t="str">
        <f ca="1">C46</f>
        <v/>
      </c>
      <c r="K43" s="134" t="str">
        <f ca="1">C47</f>
        <v/>
      </c>
      <c r="L43" s="134" t="str">
        <f ca="1">C48</f>
        <v/>
      </c>
      <c r="M43" s="548" t="str">
        <f ca="1">C49</f>
        <v/>
      </c>
      <c r="N43" s="548" t="str">
        <f ca="1">C50</f>
        <v/>
      </c>
      <c r="O43" s="548" t="str">
        <f ca="1">C51</f>
        <v/>
      </c>
      <c r="P43" s="154" t="str">
        <f ca="1">C52</f>
        <v/>
      </c>
    </row>
    <row r="44" spans="2:17" ht="21.95" customHeight="1" x14ac:dyDescent="0.2">
      <c r="B44" s="117" t="str">
        <f ca="1">IF($C44="","",INDEX(Calc1!$E$4:$E$12,MATCH($C44,Calc1!$F$4:$F$12,0)))</f>
        <v/>
      </c>
      <c r="C44" s="126" t="str">
        <f ca="1">IF(Calc1!$K$13=0,"",Calc1!$AM4)</f>
        <v/>
      </c>
      <c r="D44" s="130" t="str">
        <f ca="1">IF($C44="","",VLOOKUP($C44,Calc1!$C$17:$AC$25,25,0))</f>
        <v/>
      </c>
      <c r="E44" s="113" t="str">
        <f ca="1">IF($C44="","",VLOOKUP($C44,Calc1!$C$17:$AC$25,26,0))</f>
        <v/>
      </c>
      <c r="F44" s="113" t="str">
        <f ca="1">IF($C44="","",VLOOKUP($C44,Calc1!$C$17:$AC$25,27,0))</f>
        <v/>
      </c>
      <c r="G44" s="447" t="str">
        <f ca="1">IF($C44="","",VLOOKUP(C44,PreliminaryRound!$AK$12:$AL$33,2,0))</f>
        <v/>
      </c>
      <c r="H44" s="138"/>
      <c r="I44" s="113" t="str">
        <f ca="1">IFERROR(VLOOKUP($C44&amp;I$43,Calc1!$Z$64:$AB$207,3,0),"")</f>
        <v/>
      </c>
      <c r="J44" s="113" t="str">
        <f ca="1">IFERROR(VLOOKUP($C44&amp;J$43,Calc1!$Z$64:$AB$207,3,0),"")</f>
        <v/>
      </c>
      <c r="K44" s="113" t="str">
        <f ca="1">IFERROR(VLOOKUP($C44&amp;K$43,Calc1!$Z$64:$AB$207,3,0),"")</f>
        <v/>
      </c>
      <c r="L44" s="113" t="str">
        <f ca="1">IFERROR(VLOOKUP($C44&amp;L$43,Calc1!$Z$64:$AB$207,3,0),"")</f>
        <v/>
      </c>
      <c r="M44" s="549" t="str">
        <f ca="1">IFERROR(VLOOKUP($C44&amp;M$43,Calc1!$Z$64:$AB$207,3,0),"")</f>
        <v/>
      </c>
      <c r="N44" s="549" t="str">
        <f ca="1">IFERROR(VLOOKUP($C44&amp;N$43,Calc1!$Z$64:$AB$207,3,0),"")</f>
        <v/>
      </c>
      <c r="O44" s="549" t="str">
        <f ca="1">IFERROR(VLOOKUP($C44&amp;O$43,Calc1!$Z$64:$AB$207,3,0),"")</f>
        <v/>
      </c>
      <c r="P44" s="155" t="str">
        <f ca="1">IFERROR(VLOOKUP($C44&amp;P$43,Calc1!$Z$64:$AB$207,3,0),"")</f>
        <v/>
      </c>
      <c r="Q44" s="184" t="str">
        <f t="shared" ref="Q44:Q52" ca="1" si="3">C44</f>
        <v/>
      </c>
    </row>
    <row r="45" spans="2:17" ht="21.95" customHeight="1" x14ac:dyDescent="0.2">
      <c r="B45" s="117" t="str">
        <f ca="1">IF($C45="","",INDEX(Calc1!$E$4:$E$12,MATCH($C45,Calc1!$F$4:$F$12,0)))</f>
        <v/>
      </c>
      <c r="C45" s="127" t="str">
        <f ca="1">IF(Calc1!$K$13=0,"",Calc1!$AM5)</f>
        <v/>
      </c>
      <c r="D45" s="131" t="str">
        <f ca="1">IF($C45="","",VLOOKUP($C45,Calc1!$C$17:$AC$25,25,0))</f>
        <v/>
      </c>
      <c r="E45" s="114" t="str">
        <f ca="1">IF($C45="","",VLOOKUP($C45,Calc1!$C$17:$AC$25,26,0))</f>
        <v/>
      </c>
      <c r="F45" s="114" t="str">
        <f ca="1">IF($C45="","",VLOOKUP($C45,Calc1!$C$17:$AC$25,27,0))</f>
        <v/>
      </c>
      <c r="G45" s="448" t="str">
        <f ca="1">IF($C45="","",VLOOKUP(C45,PreliminaryRound!$AK$12:$AL$33,2,0))</f>
        <v/>
      </c>
      <c r="H45" s="139" t="str">
        <f ca="1">IFERROR(VLOOKUP($C45&amp;H$43,Calc1!$Z$64:$AB$207,3,0),"")</f>
        <v/>
      </c>
      <c r="I45" s="124"/>
      <c r="J45" s="114" t="str">
        <f ca="1">IFERROR(VLOOKUP($C45&amp;J$43,Calc1!$Z$64:$AB$207,3,0),"")</f>
        <v/>
      </c>
      <c r="K45" s="114" t="str">
        <f ca="1">IFERROR(VLOOKUP($C45&amp;K$43,Calc1!$Z$64:$AB$207,3,0),"")</f>
        <v/>
      </c>
      <c r="L45" s="114" t="str">
        <f ca="1">IFERROR(VLOOKUP($C45&amp;L$43,Calc1!$Z$64:$AB$207,3,0),"")</f>
        <v/>
      </c>
      <c r="M45" s="550" t="str">
        <f ca="1">IFERROR(VLOOKUP($C45&amp;M$43,Calc1!$Z$64:$AB$207,3,0),"")</f>
        <v/>
      </c>
      <c r="N45" s="550" t="str">
        <f ca="1">IFERROR(VLOOKUP($C45&amp;N$43,Calc1!$Z$64:$AB$207,3,0),"")</f>
        <v/>
      </c>
      <c r="O45" s="550" t="str">
        <f ca="1">IFERROR(VLOOKUP($C45&amp;O$43,Calc1!$Z$64:$AB$207,3,0),"")</f>
        <v/>
      </c>
      <c r="P45" s="156" t="str">
        <f ca="1">IFERROR(VLOOKUP($C45&amp;P$43,Calc1!$Z$64:$AB$207,3,0),"")</f>
        <v/>
      </c>
      <c r="Q45" s="185" t="str">
        <f t="shared" ca="1" si="3"/>
        <v/>
      </c>
    </row>
    <row r="46" spans="2:17" ht="21.95" customHeight="1" x14ac:dyDescent="0.2">
      <c r="B46" s="117" t="str">
        <f ca="1">IF($C46="","",INDEX(Calc1!$E$4:$E$12,MATCH($C46,Calc1!$F$4:$F$12,0)))</f>
        <v/>
      </c>
      <c r="C46" s="127" t="str">
        <f ca="1">IF(Calc1!$K$13=0,"",Calc1!$AM6)</f>
        <v/>
      </c>
      <c r="D46" s="131" t="str">
        <f ca="1">IF($C46="","",VLOOKUP($C46,Calc1!$C$17:$AC$25,25,0))</f>
        <v/>
      </c>
      <c r="E46" s="114" t="str">
        <f ca="1">IF($C46="","",VLOOKUP($C46,Calc1!$C$17:$AC$25,26,0))</f>
        <v/>
      </c>
      <c r="F46" s="114" t="str">
        <f ca="1">IF($C46="","",VLOOKUP($C46,Calc1!$C$17:$AC$25,27,0))</f>
        <v/>
      </c>
      <c r="G46" s="448" t="str">
        <f ca="1">IF($C46="","",VLOOKUP(C46,PreliminaryRound!$AK$12:$AL$33,2,0))</f>
        <v/>
      </c>
      <c r="H46" s="139" t="str">
        <f ca="1">IFERROR(VLOOKUP($C46&amp;H$43,Calc1!$Z$64:$AB$207,3,0),"")</f>
        <v/>
      </c>
      <c r="I46" s="114" t="str">
        <f ca="1">IFERROR(VLOOKUP($C46&amp;I$43,Calc1!$Z$64:$AB$207,3,0),"")</f>
        <v/>
      </c>
      <c r="J46" s="124"/>
      <c r="K46" s="114" t="str">
        <f ca="1">IFERROR(VLOOKUP($C46&amp;K$43,Calc1!$Z$64:$AB$207,3,0),"")</f>
        <v/>
      </c>
      <c r="L46" s="114" t="str">
        <f ca="1">IFERROR(VLOOKUP($C46&amp;L$43,Calc1!$Z$64:$AB$207,3,0),"")</f>
        <v/>
      </c>
      <c r="M46" s="550" t="str">
        <f ca="1">IFERROR(VLOOKUP($C46&amp;M$43,Calc1!$Z$64:$AB$207,3,0),"")</f>
        <v/>
      </c>
      <c r="N46" s="550" t="str">
        <f ca="1">IFERROR(VLOOKUP($C46&amp;N$43,Calc1!$Z$64:$AB$207,3,0),"")</f>
        <v/>
      </c>
      <c r="O46" s="550" t="str">
        <f ca="1">IFERROR(VLOOKUP($C46&amp;O$43,Calc1!$Z$64:$AB$207,3,0),"")</f>
        <v/>
      </c>
      <c r="P46" s="156" t="str">
        <f ca="1">IFERROR(VLOOKUP($C46&amp;P$43,Calc1!$Z$64:$AB$207,3,0),"")</f>
        <v/>
      </c>
      <c r="Q46" s="185" t="str">
        <f t="shared" ca="1" si="3"/>
        <v/>
      </c>
    </row>
    <row r="47" spans="2:17" ht="21.95" customHeight="1" x14ac:dyDescent="0.2">
      <c r="B47" s="117" t="str">
        <f ca="1">IF($C47="","",INDEX(Calc1!$E$4:$E$12,MATCH($C47,Calc1!$F$4:$F$12,0)))</f>
        <v/>
      </c>
      <c r="C47" s="127" t="str">
        <f ca="1">IF(Calc1!$K$13=0,"",Calc1!$AM7)</f>
        <v/>
      </c>
      <c r="D47" s="131" t="str">
        <f ca="1">IF($C47="","",VLOOKUP($C47,Calc1!$C$17:$AC$25,25,0))</f>
        <v/>
      </c>
      <c r="E47" s="114" t="str">
        <f ca="1">IF($C47="","",VLOOKUP($C47,Calc1!$C$17:$AC$25,26,0))</f>
        <v/>
      </c>
      <c r="F47" s="114" t="str">
        <f ca="1">IF($C47="","",VLOOKUP($C47,Calc1!$C$17:$AC$25,27,0))</f>
        <v/>
      </c>
      <c r="G47" s="448" t="str">
        <f ca="1">IF($C47="","",VLOOKUP(C47,PreliminaryRound!$AK$12:$AL$33,2,0))</f>
        <v/>
      </c>
      <c r="H47" s="139" t="str">
        <f ca="1">IFERROR(VLOOKUP($C47&amp;H$43,Calc1!$Z$64:$AB$207,3,0),"")</f>
        <v/>
      </c>
      <c r="I47" s="114" t="str">
        <f ca="1">IFERROR(VLOOKUP($C47&amp;I$43,Calc1!$Z$64:$AB$207,3,0),"")</f>
        <v/>
      </c>
      <c r="J47" s="114" t="str">
        <f ca="1">IFERROR(VLOOKUP($C47&amp;J$43,Calc1!$Z$64:$AB$207,3,0),"")</f>
        <v/>
      </c>
      <c r="K47" s="124"/>
      <c r="L47" s="114" t="str">
        <f ca="1">IFERROR(VLOOKUP($C47&amp;L$43,Calc1!$Z$64:$AB$207,3,0),"")</f>
        <v/>
      </c>
      <c r="M47" s="550" t="str">
        <f ca="1">IFERROR(VLOOKUP($C47&amp;M$43,Calc1!$Z$64:$AB$207,3,0),"")</f>
        <v/>
      </c>
      <c r="N47" s="550" t="str">
        <f ca="1">IFERROR(VLOOKUP($C47&amp;N$43,Calc1!$Z$64:$AB$207,3,0),"")</f>
        <v/>
      </c>
      <c r="O47" s="550" t="str">
        <f ca="1">IFERROR(VLOOKUP($C47&amp;O$43,Calc1!$Z$64:$AB$207,3,0),"")</f>
        <v/>
      </c>
      <c r="P47" s="156" t="str">
        <f ca="1">IFERROR(VLOOKUP($C47&amp;P$43,Calc1!$Z$64:$AB$207,3,0),"")</f>
        <v/>
      </c>
      <c r="Q47" s="185" t="str">
        <f t="shared" ca="1" si="3"/>
        <v/>
      </c>
    </row>
    <row r="48" spans="2:17" ht="21.95" customHeight="1" x14ac:dyDescent="0.2">
      <c r="B48" s="117" t="str">
        <f ca="1">IF($C48="","",INDEX(Calc1!$E$4:$E$12,MATCH($C48,Calc1!$F$4:$F$12,0)))</f>
        <v/>
      </c>
      <c r="C48" s="127" t="str">
        <f ca="1">IF(Calc1!$K$13=0,"",Calc1!$AM8)</f>
        <v/>
      </c>
      <c r="D48" s="131" t="str">
        <f ca="1">IF($C48="","",VLOOKUP($C48,Calc1!$C$17:$AC$25,25,0))</f>
        <v/>
      </c>
      <c r="E48" s="114" t="str">
        <f ca="1">IF($C48="","",VLOOKUP($C48,Calc1!$C$17:$AC$25,26,0))</f>
        <v/>
      </c>
      <c r="F48" s="114" t="str">
        <f ca="1">IF($C48="","",VLOOKUP($C48,Calc1!$C$17:$AC$25,27,0))</f>
        <v/>
      </c>
      <c r="G48" s="448" t="str">
        <f ca="1">IF($C48="","",VLOOKUP(C48,PreliminaryRound!$AK$12:$AL$33,2,0))</f>
        <v/>
      </c>
      <c r="H48" s="139" t="str">
        <f ca="1">IFERROR(VLOOKUP($C48&amp;H$43,Calc1!$Z$64:$AB$207,3,0),"")</f>
        <v/>
      </c>
      <c r="I48" s="114" t="str">
        <f ca="1">IFERROR(VLOOKUP($C48&amp;I$43,Calc1!$Z$64:$AB$207,3,0),"")</f>
        <v/>
      </c>
      <c r="J48" s="114" t="str">
        <f ca="1">IFERROR(VLOOKUP($C48&amp;J$43,Calc1!$Z$64:$AB$207,3,0),"")</f>
        <v/>
      </c>
      <c r="K48" s="114" t="str">
        <f ca="1">IFERROR(VLOOKUP($C48&amp;K$43,Calc1!$Z$64:$AB$207,3,0),"")</f>
        <v/>
      </c>
      <c r="L48" s="124"/>
      <c r="M48" s="550" t="str">
        <f ca="1">IFERROR(VLOOKUP($C48&amp;M$43,Calc1!$Z$64:$AB$207,3,0),"")</f>
        <v/>
      </c>
      <c r="N48" s="550" t="str">
        <f ca="1">IFERROR(VLOOKUP($C48&amp;N$43,Calc1!$Z$64:$AB$207,3,0),"")</f>
        <v/>
      </c>
      <c r="O48" s="550" t="str">
        <f ca="1">IFERROR(VLOOKUP($C48&amp;O$43,Calc1!$Z$64:$AB$207,3,0),"")</f>
        <v/>
      </c>
      <c r="P48" s="156" t="str">
        <f ca="1">IFERROR(VLOOKUP($C48&amp;P$43,Calc1!$Z$64:$AB$207,3,0),"")</f>
        <v/>
      </c>
      <c r="Q48" s="185" t="str">
        <f t="shared" ca="1" si="3"/>
        <v/>
      </c>
    </row>
    <row r="49" spans="2:17" ht="21.95" customHeight="1" x14ac:dyDescent="0.2">
      <c r="B49" s="117" t="str">
        <f ca="1">IF($C49="","",INDEX(Calc1!$E$4:$E$12,MATCH($C49,Calc1!$F$4:$F$12,0)))</f>
        <v/>
      </c>
      <c r="C49" s="127" t="str">
        <f ca="1">IF(Calc1!$K$13=0,"",Calc1!$AM9)</f>
        <v/>
      </c>
      <c r="D49" s="131" t="str">
        <f ca="1">IF($C49="","",VLOOKUP($C49,Calc1!$C$17:$AC$25,25,0))</f>
        <v/>
      </c>
      <c r="E49" s="114" t="str">
        <f ca="1">IF($C49="","",VLOOKUP($C49,Calc1!$C$17:$AC$25,26,0))</f>
        <v/>
      </c>
      <c r="F49" s="114" t="str">
        <f ca="1">IF($C49="","",VLOOKUP($C49,Calc1!$C$17:$AC$25,27,0))</f>
        <v/>
      </c>
      <c r="G49" s="448" t="str">
        <f ca="1">IF($C49="","",VLOOKUP(C49,PreliminaryRound!$AK$12:$AL$33,2,0))</f>
        <v/>
      </c>
      <c r="H49" s="139" t="str">
        <f ca="1">IFERROR(VLOOKUP($C49&amp;H$43,Calc1!$Z$64:$AB$207,3,0),"")</f>
        <v/>
      </c>
      <c r="I49" s="114" t="str">
        <f ca="1">IFERROR(VLOOKUP($C49&amp;I$43,Calc1!$Z$64:$AB$207,3,0),"")</f>
        <v/>
      </c>
      <c r="J49" s="114" t="str">
        <f ca="1">IFERROR(VLOOKUP($C49&amp;J$43,Calc1!$Z$64:$AB$207,3,0),"")</f>
        <v/>
      </c>
      <c r="K49" s="114" t="str">
        <f ca="1">IFERROR(VLOOKUP($C49&amp;K$43,Calc1!$Z$64:$AB$207,3,0),"")</f>
        <v/>
      </c>
      <c r="L49" s="114" t="str">
        <f ca="1">IFERROR(VLOOKUP($C49&amp;L$43,Calc1!$Z$64:$AB$207,3,0),"")</f>
        <v/>
      </c>
      <c r="M49" s="551"/>
      <c r="N49" s="550" t="str">
        <f ca="1">IFERROR(VLOOKUP($C49&amp;N$43,Calc1!$Z$64:$AB$207,3,0),"")</f>
        <v/>
      </c>
      <c r="O49" s="550" t="str">
        <f ca="1">IFERROR(VLOOKUP($C49&amp;O$43,Calc1!$Z$64:$AB$207,3,0),"")</f>
        <v/>
      </c>
      <c r="P49" s="156" t="str">
        <f ca="1">IFERROR(VLOOKUP($C49&amp;P$43,Calc1!$Z$64:$AB$207,3,0),"")</f>
        <v/>
      </c>
      <c r="Q49" s="185" t="str">
        <f t="shared" ca="1" si="3"/>
        <v/>
      </c>
    </row>
    <row r="50" spans="2:17" ht="21.95" customHeight="1" x14ac:dyDescent="0.2">
      <c r="B50" s="117" t="str">
        <f ca="1">IF($C50="","",INDEX(Calc1!$E$4:$E$12,MATCH($C50,Calc1!$F$4:$F$12,0)))</f>
        <v/>
      </c>
      <c r="C50" s="127" t="str">
        <f ca="1">IF(Calc1!$K$13=0,"",Calc1!$AM10)</f>
        <v/>
      </c>
      <c r="D50" s="131" t="str">
        <f ca="1">IF($C50="","",VLOOKUP($C50,Calc1!$C$17:$AC$25,25,0))</f>
        <v/>
      </c>
      <c r="E50" s="114" t="str">
        <f ca="1">IF($C50="","",VLOOKUP($C50,Calc1!$C$17:$AC$25,26,0))</f>
        <v/>
      </c>
      <c r="F50" s="114" t="str">
        <f ca="1">IF($C50="","",VLOOKUP($C50,Calc1!$C$17:$AC$25,27,0))</f>
        <v/>
      </c>
      <c r="G50" s="448" t="str">
        <f ca="1">IF($C50="","",VLOOKUP(C50,PreliminaryRound!$AK$12:$AL$33,2,0))</f>
        <v/>
      </c>
      <c r="H50" s="139" t="str">
        <f ca="1">IFERROR(VLOOKUP($C50&amp;H$43,Calc1!$Z$64:$AB$207,3,0),"")</f>
        <v/>
      </c>
      <c r="I50" s="114" t="str">
        <f ca="1">IFERROR(VLOOKUP($C50&amp;I$43,Calc1!$Z$64:$AB$207,3,0),"")</f>
        <v/>
      </c>
      <c r="J50" s="114" t="str">
        <f ca="1">IFERROR(VLOOKUP($C50&amp;J$43,Calc1!$Z$64:$AB$207,3,0),"")</f>
        <v/>
      </c>
      <c r="K50" s="114" t="str">
        <f ca="1">IFERROR(VLOOKUP($C50&amp;K$43,Calc1!$Z$64:$AB$207,3,0),"")</f>
        <v/>
      </c>
      <c r="L50" s="114" t="str">
        <f ca="1">IFERROR(VLOOKUP($C50&amp;L$43,Calc1!$Z$64:$AB$207,3,0),"")</f>
        <v/>
      </c>
      <c r="M50" s="550" t="str">
        <f ca="1">IFERROR(VLOOKUP($C50&amp;M$43,Calc1!$Z$64:$AB$207,3,0),"")</f>
        <v/>
      </c>
      <c r="N50" s="551"/>
      <c r="O50" s="550" t="str">
        <f ca="1">IFERROR(VLOOKUP($C50&amp;O$43,Calc1!$Z$64:$AB$207,3,0),"")</f>
        <v/>
      </c>
      <c r="P50" s="156" t="str">
        <f ca="1">IFERROR(VLOOKUP($C50&amp;P$43,Calc1!$Z$64:$AB$207,3,0),"")</f>
        <v/>
      </c>
      <c r="Q50" s="185" t="str">
        <f t="shared" ca="1" si="3"/>
        <v/>
      </c>
    </row>
    <row r="51" spans="2:17" ht="21.95" customHeight="1" x14ac:dyDescent="0.2">
      <c r="B51" s="117" t="str">
        <f ca="1">IF($C51="","",INDEX(Calc1!$E$4:$E$12,MATCH($C51,Calc1!$F$4:$F$12,0)))</f>
        <v/>
      </c>
      <c r="C51" s="127" t="str">
        <f ca="1">IF(Calc1!$K$13=0,"",Calc1!$AM11)</f>
        <v/>
      </c>
      <c r="D51" s="131" t="str">
        <f ca="1">IF($C51="","",VLOOKUP($C51,Calc1!$C$17:$AC$25,25,0))</f>
        <v/>
      </c>
      <c r="E51" s="114" t="str">
        <f ca="1">IF($C51="","",VLOOKUP($C51,Calc1!$C$17:$AC$25,26,0))</f>
        <v/>
      </c>
      <c r="F51" s="114" t="str">
        <f ca="1">IF($C51="","",VLOOKUP($C51,Calc1!$C$17:$AC$25,27,0))</f>
        <v/>
      </c>
      <c r="G51" s="448" t="str">
        <f ca="1">IF($C51="","",VLOOKUP(C51,PreliminaryRound!$AK$12:$AL$33,2,0))</f>
        <v/>
      </c>
      <c r="H51" s="139" t="str">
        <f ca="1">IFERROR(VLOOKUP($C51&amp;H$43,Calc1!$Z$64:$AB$207,3,0),"")</f>
        <v/>
      </c>
      <c r="I51" s="114" t="str">
        <f ca="1">IFERROR(VLOOKUP($C51&amp;I$43,Calc1!$Z$64:$AB$207,3,0),"")</f>
        <v/>
      </c>
      <c r="J51" s="114" t="str">
        <f ca="1">IFERROR(VLOOKUP($C51&amp;J$43,Calc1!$Z$64:$AB$207,3,0),"")</f>
        <v/>
      </c>
      <c r="K51" s="114" t="str">
        <f ca="1">IFERROR(VLOOKUP($C51&amp;K$43,Calc1!$Z$64:$AB$207,3,0),"")</f>
        <v/>
      </c>
      <c r="L51" s="114" t="str">
        <f ca="1">IFERROR(VLOOKUP($C51&amp;L$43,Calc1!$Z$64:$AB$207,3,0),"")</f>
        <v/>
      </c>
      <c r="M51" s="550" t="str">
        <f ca="1">IFERROR(VLOOKUP($C51&amp;M$43,Calc1!$Z$64:$AB$207,3,0),"")</f>
        <v/>
      </c>
      <c r="N51" s="550" t="str">
        <f ca="1">IFERROR(VLOOKUP($C51&amp;N$43,Calc1!$Z$64:$AB$207,3,0),"")</f>
        <v/>
      </c>
      <c r="O51" s="551"/>
      <c r="P51" s="156" t="str">
        <f ca="1">IFERROR(VLOOKUP($C51&amp;P$43,Calc1!$Z$64:$AB$207,3,0),"")</f>
        <v/>
      </c>
      <c r="Q51" s="185" t="str">
        <f t="shared" ca="1" si="3"/>
        <v/>
      </c>
    </row>
    <row r="52" spans="2:17" ht="21.95" customHeight="1" thickBot="1" x14ac:dyDescent="0.25">
      <c r="B52" s="118" t="str">
        <f ca="1">IF($C52="","",INDEX(Calc1!$E$4:$E$12,MATCH($C52,Calc1!$F$4:$F$12,0)))</f>
        <v/>
      </c>
      <c r="C52" s="128" t="str">
        <f ca="1">IF(Calc1!$K$13=0,"",Calc1!$AM12)</f>
        <v/>
      </c>
      <c r="D52" s="132" t="str">
        <f ca="1">IF($C52="","",VLOOKUP($C52,Calc1!$C$17:$AC$25,25,0))</f>
        <v/>
      </c>
      <c r="E52" s="115" t="str">
        <f ca="1">IF($C52="","",VLOOKUP($C52,Calc1!$C$17:$AC$25,26,0))</f>
        <v/>
      </c>
      <c r="F52" s="115" t="str">
        <f ca="1">IF($C52="","",VLOOKUP($C52,Calc1!$C$17:$AC$25,27,0))</f>
        <v/>
      </c>
      <c r="G52" s="449" t="str">
        <f ca="1">IF($C52="","",VLOOKUP(C52,PreliminaryRound!$AK$12:$AL$33,2,0))</f>
        <v/>
      </c>
      <c r="H52" s="140" t="str">
        <f ca="1">IFERROR(VLOOKUP($C52&amp;H$43,Calc1!$Z$64:$AB$207,3,0),"")</f>
        <v/>
      </c>
      <c r="I52" s="115" t="str">
        <f ca="1">IFERROR(VLOOKUP($C52&amp;I$43,Calc1!$Z$64:$AB$207,3,0),"")</f>
        <v/>
      </c>
      <c r="J52" s="115" t="str">
        <f ca="1">IFERROR(VLOOKUP($C52&amp;J$43,Calc1!$Z$64:$AB$207,3,0),"")</f>
        <v/>
      </c>
      <c r="K52" s="115" t="str">
        <f ca="1">IFERROR(VLOOKUP($C52&amp;K$43,Calc1!$Z$64:$AB$207,3,0),"")</f>
        <v/>
      </c>
      <c r="L52" s="115" t="str">
        <f ca="1">IFERROR(VLOOKUP($C52&amp;L$43,Calc1!$Z$64:$AB$207,3,0),"")</f>
        <v/>
      </c>
      <c r="M52" s="552" t="str">
        <f ca="1">IFERROR(VLOOKUP($C52&amp;M$43,Calc1!$Z$64:$AB$207,3,0),"")</f>
        <v/>
      </c>
      <c r="N52" s="552" t="str">
        <f ca="1">IFERROR(VLOOKUP($C52&amp;N$43,Calc1!$Z$64:$AB$207,3,0),"")</f>
        <v/>
      </c>
      <c r="O52" s="552" t="str">
        <f ca="1">IFERROR(VLOOKUP($C52&amp;O$43,Calc1!$Z$64:$AB$207,3,0),"")</f>
        <v/>
      </c>
      <c r="P52" s="157"/>
      <c r="Q52" s="186" t="str">
        <f t="shared" ca="1" si="3"/>
        <v/>
      </c>
    </row>
    <row r="53" spans="2:17" ht="55.5" customHeight="1" thickTop="1" x14ac:dyDescent="0.2"/>
  </sheetData>
  <sheetProtection sheet="1" selectLockedCells="1"/>
  <mergeCells count="3">
    <mergeCell ref="B2:P2"/>
    <mergeCell ref="B4:P4"/>
    <mergeCell ref="B3:P3"/>
  </mergeCells>
  <conditionalFormatting sqref="B8:Q16 B20:Q28 B32:Q40 B44:Q52">
    <cfRule type="expression" dxfId="22" priority="29">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741-6E9D-4272-ACC1-DA8021215FA5}">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6" width="6.85546875" style="49" customWidth="1"/>
    <col min="17" max="17" width="32.7109375" style="49" customWidth="1"/>
    <col min="18" max="18" width="4.5703125" style="49" customWidth="1"/>
    <col min="19" max="16384" width="11.42578125" style="49" hidden="1"/>
  </cols>
  <sheetData>
    <row r="1" spans="2:17" x14ac:dyDescent="0.2"/>
    <row r="2" spans="2:17" ht="33.75" x14ac:dyDescent="0.2">
      <c r="B2" s="741" t="str">
        <f>Language!$E$7</f>
        <v>Direct comparisons</v>
      </c>
      <c r="C2" s="741"/>
      <c r="D2" s="741"/>
      <c r="E2" s="741"/>
      <c r="F2" s="741"/>
      <c r="G2" s="741"/>
      <c r="H2" s="741"/>
      <c r="I2" s="741"/>
      <c r="J2" s="741"/>
      <c r="K2" s="741"/>
      <c r="L2" s="741"/>
      <c r="M2" s="741"/>
      <c r="N2" s="741"/>
      <c r="O2" s="741"/>
      <c r="P2" s="741"/>
    </row>
    <row r="3" spans="2:17" ht="42.75" customHeight="1" x14ac:dyDescent="0.2">
      <c r="B3" s="743" t="str">
        <f>Language!$E$63&amp;" B"</f>
        <v>Preliminary round group B</v>
      </c>
      <c r="C3" s="743"/>
      <c r="D3" s="743"/>
      <c r="E3" s="743"/>
      <c r="F3" s="743"/>
      <c r="G3" s="743"/>
      <c r="H3" s="743"/>
      <c r="I3" s="743"/>
      <c r="J3" s="743"/>
      <c r="K3" s="743"/>
      <c r="L3" s="743"/>
      <c r="M3" s="743"/>
      <c r="N3" s="743"/>
      <c r="O3" s="743"/>
      <c r="P3" s="743"/>
    </row>
    <row r="4" spans="2:17" ht="17.25" customHeight="1" x14ac:dyDescent="0.2">
      <c r="B4" s="742" t="str">
        <f>Language!$E$78</f>
        <v>Red font means that the ranking is not clear even with the direct comparison. Fair play or lot has to decide here.</v>
      </c>
      <c r="C4" s="742"/>
      <c r="D4" s="742"/>
      <c r="E4" s="742"/>
      <c r="F4" s="742"/>
      <c r="G4" s="742"/>
      <c r="H4" s="742"/>
      <c r="I4" s="742"/>
      <c r="J4" s="742"/>
      <c r="K4" s="742"/>
      <c r="L4" s="742"/>
      <c r="M4" s="742"/>
      <c r="N4" s="742"/>
      <c r="O4" s="742"/>
      <c r="P4" s="742"/>
    </row>
    <row r="5" spans="2:17" ht="17.25" customHeight="1" thickBot="1" x14ac:dyDescent="0.25">
      <c r="B5" s="122"/>
      <c r="C5" s="122"/>
      <c r="D5" s="122"/>
      <c r="E5" s="122"/>
      <c r="F5" s="122"/>
      <c r="G5" s="122"/>
      <c r="H5" s="122"/>
      <c r="I5" s="122"/>
      <c r="J5" s="122"/>
      <c r="K5" s="122"/>
      <c r="L5" s="122"/>
      <c r="M5" s="122"/>
      <c r="N5" s="122"/>
      <c r="O5" s="122"/>
      <c r="P5" s="122"/>
    </row>
    <row r="6" spans="2:17" ht="21.95" customHeight="1" thickBot="1" x14ac:dyDescent="0.25">
      <c r="H6" s="554" t="str">
        <f ca="1">IF(LEN(H7)&gt;Settings!$C$17,LEFT(H7,Settings!$C$17)&amp;".",H7)</f>
        <v/>
      </c>
      <c r="I6" s="555" t="str">
        <f ca="1">IF(LEN(I7)&gt;Settings!$C$17,LEFT(I7,Settings!$C$17)&amp;".",I7)</f>
        <v/>
      </c>
      <c r="J6" s="555" t="str">
        <f ca="1">IF(LEN(J7)&gt;Settings!$C$17,LEFT(J7,Settings!$C$17)&amp;".",J7)</f>
        <v/>
      </c>
      <c r="K6" s="555" t="str">
        <f ca="1">IF(LEN(K7)&gt;Settings!$C$17,LEFT(K7,Settings!$C$17)&amp;".",K7)</f>
        <v/>
      </c>
      <c r="L6" s="555" t="str">
        <f ca="1">IF(LEN(L7)&gt;Settings!$C$17,LEFT(L7,Settings!$C$17)&amp;".",L7)</f>
        <v/>
      </c>
      <c r="M6" s="556" t="str">
        <f ca="1">IF(LEN(M7)&gt;Settings!$C$17,LEFT(M7,Settings!$C$17)&amp;".",M7)</f>
        <v/>
      </c>
      <c r="N6" s="556" t="str">
        <f ca="1">IF(LEN(N7)&gt;Settings!$C$17,LEFT(N7,Settings!$C$17)&amp;".",N7)</f>
        <v/>
      </c>
      <c r="O6" s="556" t="str">
        <f ca="1">IF(LEN(O7)&gt;Settings!$C$17,LEFT(O7,Settings!$C$17)&amp;".",O7)</f>
        <v/>
      </c>
      <c r="P6" s="557" t="str">
        <f ca="1">IF(LEN(P7)&gt;Settings!$C$17,LEFT(P7,Settings!$C$17)&amp;".",P7)</f>
        <v/>
      </c>
    </row>
    <row r="7" spans="2:17" ht="21.95" customHeight="1" thickTop="1" thickBot="1" x14ac:dyDescent="0.25">
      <c r="B7" s="119"/>
      <c r="C7" s="125" t="str">
        <f>Language!$E$10</f>
        <v>Participant or team</v>
      </c>
      <c r="D7" s="129" t="str">
        <f>Language!$E$27</f>
        <v>Pts</v>
      </c>
      <c r="E7" s="116" t="str">
        <f>Language!$E$26</f>
        <v>GD</v>
      </c>
      <c r="F7" s="116" t="str">
        <f>Language!$E$28</f>
        <v>GF</v>
      </c>
      <c r="G7" s="151" t="str">
        <f>Language!$E$49</f>
        <v>bonus</v>
      </c>
      <c r="H7" s="133" t="str">
        <f ca="1">C8</f>
        <v/>
      </c>
      <c r="I7" s="134" t="str">
        <f ca="1">C9</f>
        <v/>
      </c>
      <c r="J7" s="134" t="str">
        <f ca="1">C10</f>
        <v/>
      </c>
      <c r="K7" s="134" t="str">
        <f ca="1">C11</f>
        <v/>
      </c>
      <c r="L7" s="134" t="str">
        <f ca="1">C12</f>
        <v/>
      </c>
      <c r="M7" s="553" t="str">
        <f ca="1">C13</f>
        <v/>
      </c>
      <c r="N7" s="548" t="str">
        <f ca="1">C14</f>
        <v/>
      </c>
      <c r="O7" s="548" t="str">
        <f ca="1">C15</f>
        <v/>
      </c>
      <c r="P7" s="154" t="str">
        <f ca="1">C16</f>
        <v/>
      </c>
    </row>
    <row r="8" spans="2:17"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447" t="str">
        <f ca="1">IF($C8="","",VLOOKUP(C8,PreliminaryRound!$AK$12:$AL$33,2,0))</f>
        <v/>
      </c>
      <c r="H8" s="138"/>
      <c r="I8" s="113" t="str">
        <f ca="1">IFERROR(VLOOKUP($C8&amp;I$7,Calc2!$Z$64:$AB$207,3,0),"")</f>
        <v/>
      </c>
      <c r="J8" s="113" t="str">
        <f ca="1">IFERROR(VLOOKUP($C8&amp;J$7,Calc2!$Z$64:$AB$207,3,0),"")</f>
        <v/>
      </c>
      <c r="K8" s="113" t="str">
        <f ca="1">IFERROR(VLOOKUP($C8&amp;K$7,Calc2!$Z$64:$AB$207,3,0),"")</f>
        <v/>
      </c>
      <c r="L8" s="113" t="str">
        <f ca="1">IFERROR(VLOOKUP($C8&amp;L$7,Calc2!$Z$64:$AB$207,3,0),"")</f>
        <v/>
      </c>
      <c r="M8" s="549" t="str">
        <f ca="1">IFERROR(VLOOKUP($C8&amp;M$7,Calc2!$Z$64:$AB$207,3,0),"")</f>
        <v/>
      </c>
      <c r="N8" s="549" t="str">
        <f ca="1">IFERROR(VLOOKUP($C8&amp;N$7,Calc2!$Z$64:$AB$207,3,0),"")</f>
        <v/>
      </c>
      <c r="O8" s="549" t="str">
        <f ca="1">IFERROR(VLOOKUP($C8&amp;O$7,Calc2!$Z$64:$AB$207,3,0),"")</f>
        <v/>
      </c>
      <c r="P8" s="155" t="str">
        <f ca="1">IFERROR(VLOOKUP($C8&amp;P$7,Calc2!$Z$64:$AB$207,3,0),"")</f>
        <v/>
      </c>
      <c r="Q8" s="184" t="str">
        <f t="shared" ref="Q8:Q16" ca="1" si="0">C8</f>
        <v/>
      </c>
    </row>
    <row r="9" spans="2:17"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448" t="str">
        <f ca="1">IF($C9="","",VLOOKUP(C9,PreliminaryRound!$AK$12:$AL$33,2,0))</f>
        <v/>
      </c>
      <c r="H9" s="139" t="str">
        <f ca="1">IFERROR(VLOOKUP($C9&amp;H$7,Calc2!$Z$64:$AB$207,3,0),"")</f>
        <v/>
      </c>
      <c r="I9" s="124"/>
      <c r="J9" s="114" t="str">
        <f ca="1">IFERROR(VLOOKUP($C9&amp;J$7,Calc2!$Z$64:$AB$207,3,0),"")</f>
        <v/>
      </c>
      <c r="K9" s="114" t="str">
        <f ca="1">IFERROR(VLOOKUP($C9&amp;K$7,Calc2!$Z$64:$AB$207,3,0),"")</f>
        <v/>
      </c>
      <c r="L9" s="114" t="str">
        <f ca="1">IFERROR(VLOOKUP($C9&amp;L$7,Calc2!$Z$64:$AB$207,3,0),"")</f>
        <v/>
      </c>
      <c r="M9" s="550" t="str">
        <f ca="1">IFERROR(VLOOKUP($C9&amp;M$7,Calc2!$Z$64:$AB$207,3,0),"")</f>
        <v/>
      </c>
      <c r="N9" s="550" t="str">
        <f ca="1">IFERROR(VLOOKUP($C9&amp;N$7,Calc2!$Z$64:$AB$207,3,0),"")</f>
        <v/>
      </c>
      <c r="O9" s="550" t="str">
        <f ca="1">IFERROR(VLOOKUP($C9&amp;O$7,Calc2!$Z$64:$AB$207,3,0),"")</f>
        <v/>
      </c>
      <c r="P9" s="156" t="str">
        <f ca="1">IFERROR(VLOOKUP($C9&amp;P$7,Calc2!$Z$64:$AB$207,3,0),"")</f>
        <v/>
      </c>
      <c r="Q9" s="185" t="str">
        <f t="shared" ca="1" si="0"/>
        <v/>
      </c>
    </row>
    <row r="10" spans="2:17"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448" t="str">
        <f ca="1">IF($C10="","",VLOOKUP(C10,PreliminaryRound!$AK$12:$AL$33,2,0))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550" t="str">
        <f ca="1">IFERROR(VLOOKUP($C10&amp;M$7,Calc2!$Z$64:$AB$207,3,0),"")</f>
        <v/>
      </c>
      <c r="N10" s="550" t="str">
        <f ca="1">IFERROR(VLOOKUP($C10&amp;N$7,Calc2!$Z$64:$AB$207,3,0),"")</f>
        <v/>
      </c>
      <c r="O10" s="550" t="str">
        <f ca="1">IFERROR(VLOOKUP($C10&amp;O$7,Calc2!$Z$64:$AB$207,3,0),"")</f>
        <v/>
      </c>
      <c r="P10" s="156" t="str">
        <f ca="1">IFERROR(VLOOKUP($C10&amp;P$7,Calc2!$Z$64:$AB$207,3,0),"")</f>
        <v/>
      </c>
      <c r="Q10" s="185" t="str">
        <f t="shared" ca="1" si="0"/>
        <v/>
      </c>
    </row>
    <row r="11" spans="2:17"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448" t="str">
        <f ca="1">IF($C11="","",VLOOKUP(C11,PreliminaryRound!$AK$12:$AL$33,2,0))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550" t="str">
        <f ca="1">IFERROR(VLOOKUP($C11&amp;M$7,Calc2!$Z$64:$AB$207,3,0),"")</f>
        <v/>
      </c>
      <c r="N11" s="550" t="str">
        <f ca="1">IFERROR(VLOOKUP($C11&amp;N$7,Calc2!$Z$64:$AB$207,3,0),"")</f>
        <v/>
      </c>
      <c r="O11" s="550" t="str">
        <f ca="1">IFERROR(VLOOKUP($C11&amp;O$7,Calc2!$Z$64:$AB$207,3,0),"")</f>
        <v/>
      </c>
      <c r="P11" s="156" t="str">
        <f ca="1">IFERROR(VLOOKUP($C11&amp;P$7,Calc2!$Z$64:$AB$207,3,0),"")</f>
        <v/>
      </c>
      <c r="Q11" s="185" t="str">
        <f t="shared" ca="1" si="0"/>
        <v/>
      </c>
    </row>
    <row r="12" spans="2:17"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448" t="str">
        <f ca="1">IF($C12="","",VLOOKUP(C12,PreliminaryRound!$AK$12:$AL$33,2,0))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550" t="str">
        <f ca="1">IFERROR(VLOOKUP($C12&amp;M$7,Calc2!$Z$64:$AB$207,3,0),"")</f>
        <v/>
      </c>
      <c r="N12" s="550" t="str">
        <f ca="1">IFERROR(VLOOKUP($C12&amp;N$7,Calc2!$Z$64:$AB$207,3,0),"")</f>
        <v/>
      </c>
      <c r="O12" s="550" t="str">
        <f ca="1">IFERROR(VLOOKUP($C12&amp;O$7,Calc2!$Z$64:$AB$207,3,0),"")</f>
        <v/>
      </c>
      <c r="P12" s="156" t="str">
        <f ca="1">IFERROR(VLOOKUP($C12&amp;P$7,Calc2!$Z$64:$AB$207,3,0),"")</f>
        <v/>
      </c>
      <c r="Q12" s="185" t="str">
        <f t="shared" ca="1" si="0"/>
        <v/>
      </c>
    </row>
    <row r="13" spans="2:17" ht="21.95" customHeight="1" x14ac:dyDescent="0.2">
      <c r="B13" s="117" t="str">
        <f ca="1">IF($C13="","",INDEX(Calc2!$E$4:$E$12,MATCH($C13,Calc2!$F$4:$F$12,0)))</f>
        <v/>
      </c>
      <c r="C13" s="127" t="str">
        <f ca="1">IF(Calc2!$K$13=0,"",Calc2!$X9)</f>
        <v/>
      </c>
      <c r="D13" s="131" t="str">
        <f ca="1">IF($C13="","",VLOOKUP($C13,Calc2!$C$17:$AC$25,25,0))</f>
        <v/>
      </c>
      <c r="E13" s="114" t="str">
        <f ca="1">IF($C13="","",VLOOKUP($C13,Calc2!$C$17:$AC$25,26,0))</f>
        <v/>
      </c>
      <c r="F13" s="114" t="str">
        <f ca="1">IF($C13="","",VLOOKUP($C13,Calc2!$C$17:$AC$25,27,0))</f>
        <v/>
      </c>
      <c r="G13" s="448" t="str">
        <f ca="1">IF($C13="","",VLOOKUP(C13,PreliminaryRound!$AK$12:$AL$33,2,0))</f>
        <v/>
      </c>
      <c r="H13" s="139" t="str">
        <f ca="1">IFERROR(VLOOKUP($C13&amp;H$7,Calc2!$Z$64:$AB$207,3,0),"")</f>
        <v/>
      </c>
      <c r="I13" s="114" t="str">
        <f ca="1">IFERROR(VLOOKUP($C13&amp;I$7,Calc2!$Z$64:$AB$207,3,0),"")</f>
        <v/>
      </c>
      <c r="J13" s="114" t="str">
        <f ca="1">IFERROR(VLOOKUP($C13&amp;J$7,Calc2!$Z$64:$AB$207,3,0),"")</f>
        <v/>
      </c>
      <c r="K13" s="114" t="str">
        <f ca="1">IFERROR(VLOOKUP($C13&amp;K$7,Calc2!$Z$64:$AB$207,3,0),"")</f>
        <v/>
      </c>
      <c r="L13" s="114" t="str">
        <f ca="1">IFERROR(VLOOKUP($C13&amp;L$7,Calc2!$Z$64:$AB$207,3,0),"")</f>
        <v/>
      </c>
      <c r="M13" s="551"/>
      <c r="N13" s="550" t="str">
        <f ca="1">IFERROR(VLOOKUP($C13&amp;N$7,Calc2!$Z$64:$AB$207,3,0),"")</f>
        <v/>
      </c>
      <c r="O13" s="550" t="str">
        <f ca="1">IFERROR(VLOOKUP($C13&amp;O$7,Calc2!$Z$64:$AB$207,3,0),"")</f>
        <v/>
      </c>
      <c r="P13" s="156" t="str">
        <f ca="1">IFERROR(VLOOKUP($C13&amp;P$7,Calc2!$Z$64:$AB$207,3,0),"")</f>
        <v/>
      </c>
      <c r="Q13" s="185" t="str">
        <f t="shared" ca="1" si="0"/>
        <v/>
      </c>
    </row>
    <row r="14" spans="2:17" ht="21.95" customHeight="1" x14ac:dyDescent="0.2">
      <c r="B14" s="117" t="str">
        <f ca="1">IF($C14="","",INDEX(Calc2!$E$4:$E$12,MATCH($C14,Calc2!$F$4:$F$12,0)))</f>
        <v/>
      </c>
      <c r="C14" s="127" t="str">
        <f ca="1">IF(Calc2!$K$13=0,"",Calc2!$X10)</f>
        <v/>
      </c>
      <c r="D14" s="131" t="str">
        <f ca="1">IF($C14="","",VLOOKUP($C14,Calc2!$C$17:$AC$25,25,0))</f>
        <v/>
      </c>
      <c r="E14" s="114" t="str">
        <f ca="1">IF($C14="","",VLOOKUP($C14,Calc2!$C$17:$AC$25,26,0))</f>
        <v/>
      </c>
      <c r="F14" s="114" t="str">
        <f ca="1">IF($C14="","",VLOOKUP($C14,Calc2!$C$17:$AC$25,27,0))</f>
        <v/>
      </c>
      <c r="G14" s="448" t="str">
        <f ca="1">IF($C14="","",VLOOKUP(C14,PreliminaryRound!$AK$12:$AL$33,2,0))</f>
        <v/>
      </c>
      <c r="H14" s="139" t="str">
        <f ca="1">IFERROR(VLOOKUP($C14&amp;H$7,Calc2!$Z$64:$AB$207,3,0),"")</f>
        <v/>
      </c>
      <c r="I14" s="114" t="str">
        <f ca="1">IFERROR(VLOOKUP($C14&amp;I$7,Calc2!$Z$64:$AB$207,3,0),"")</f>
        <v/>
      </c>
      <c r="J14" s="114" t="str">
        <f ca="1">IFERROR(VLOOKUP($C14&amp;J$7,Calc2!$Z$64:$AB$207,3,0),"")</f>
        <v/>
      </c>
      <c r="K14" s="114" t="str">
        <f ca="1">IFERROR(VLOOKUP($C14&amp;K$7,Calc2!$Z$64:$AB$207,3,0),"")</f>
        <v/>
      </c>
      <c r="L14" s="114" t="str">
        <f ca="1">IFERROR(VLOOKUP($C14&amp;L$7,Calc2!$Z$64:$AB$207,3,0),"")</f>
        <v/>
      </c>
      <c r="M14" s="550" t="str">
        <f ca="1">IFERROR(VLOOKUP($C14&amp;M$7,Calc2!$Z$64:$AB$207,3,0),"")</f>
        <v/>
      </c>
      <c r="N14" s="551"/>
      <c r="O14" s="550" t="str">
        <f ca="1">IFERROR(VLOOKUP($C14&amp;O$7,Calc2!$Z$64:$AB$207,3,0),"")</f>
        <v/>
      </c>
      <c r="P14" s="156" t="str">
        <f ca="1">IFERROR(VLOOKUP($C14&amp;P$7,Calc2!$Z$64:$AB$207,3,0),"")</f>
        <v/>
      </c>
      <c r="Q14" s="185" t="str">
        <f t="shared" ca="1" si="0"/>
        <v/>
      </c>
    </row>
    <row r="15" spans="2:17" ht="21.95" customHeight="1" x14ac:dyDescent="0.2">
      <c r="B15" s="117" t="str">
        <f ca="1">IF($C15="","",INDEX(Calc2!$E$4:$E$12,MATCH($C15,Calc2!$F$4:$F$12,0)))</f>
        <v/>
      </c>
      <c r="C15" s="127" t="str">
        <f ca="1">IF(Calc2!$K$13=0,"",Calc2!$X11)</f>
        <v/>
      </c>
      <c r="D15" s="131" t="str">
        <f ca="1">IF($C15="","",VLOOKUP($C15,Calc2!$C$17:$AC$25,25,0))</f>
        <v/>
      </c>
      <c r="E15" s="114" t="str">
        <f ca="1">IF($C15="","",VLOOKUP($C15,Calc2!$C$17:$AC$25,26,0))</f>
        <v/>
      </c>
      <c r="F15" s="114" t="str">
        <f ca="1">IF($C15="","",VLOOKUP($C15,Calc2!$C$17:$AC$25,27,0))</f>
        <v/>
      </c>
      <c r="G15" s="448" t="str">
        <f ca="1">IF($C15="","",VLOOKUP(C15,PreliminaryRound!$AK$12:$AL$33,2,0))</f>
        <v/>
      </c>
      <c r="H15" s="139" t="str">
        <f ca="1">IFERROR(VLOOKUP($C15&amp;H$7,Calc2!$Z$64:$AB$207,3,0),"")</f>
        <v/>
      </c>
      <c r="I15" s="114" t="str">
        <f ca="1">IFERROR(VLOOKUP($C15&amp;I$7,Calc2!$Z$64:$AB$207,3,0),"")</f>
        <v/>
      </c>
      <c r="J15" s="114" t="str">
        <f ca="1">IFERROR(VLOOKUP($C15&amp;J$7,Calc2!$Z$64:$AB$207,3,0),"")</f>
        <v/>
      </c>
      <c r="K15" s="114" t="str">
        <f ca="1">IFERROR(VLOOKUP($C15&amp;K$7,Calc2!$Z$64:$AB$207,3,0),"")</f>
        <v/>
      </c>
      <c r="L15" s="114" t="str">
        <f ca="1">IFERROR(VLOOKUP($C15&amp;L$7,Calc2!$Z$64:$AB$207,3,0),"")</f>
        <v/>
      </c>
      <c r="M15" s="550" t="str">
        <f ca="1">IFERROR(VLOOKUP($C15&amp;M$7,Calc2!$Z$64:$AB$207,3,0),"")</f>
        <v/>
      </c>
      <c r="N15" s="550" t="str">
        <f ca="1">IFERROR(VLOOKUP($C15&amp;N$7,Calc2!$Z$64:$AB$207,3,0),"")</f>
        <v/>
      </c>
      <c r="O15" s="551"/>
      <c r="P15" s="156" t="str">
        <f ca="1">IFERROR(VLOOKUP($C15&amp;P$7,Calc2!$Z$64:$AB$207,3,0),"")</f>
        <v/>
      </c>
      <c r="Q15" s="185" t="str">
        <f t="shared" ca="1" si="0"/>
        <v/>
      </c>
    </row>
    <row r="16" spans="2:17" ht="21.95" customHeight="1" thickBot="1" x14ac:dyDescent="0.25">
      <c r="B16" s="118" t="str">
        <f ca="1">IF($C16="","",INDEX(Calc2!$E$4:$E$12,MATCH($C16,Calc2!$F$4:$F$12,0)))</f>
        <v/>
      </c>
      <c r="C16" s="128" t="str">
        <f ca="1">IF(Calc2!$K$13=0,"",Calc2!$X12)</f>
        <v/>
      </c>
      <c r="D16" s="132" t="str">
        <f ca="1">IF($C16="","",VLOOKUP($C16,Calc2!$C$17:$AC$25,25,0))</f>
        <v/>
      </c>
      <c r="E16" s="115" t="str">
        <f ca="1">IF($C16="","",VLOOKUP($C16,Calc2!$C$17:$AC$25,26,0))</f>
        <v/>
      </c>
      <c r="F16" s="115" t="str">
        <f ca="1">IF($C16="","",VLOOKUP($C16,Calc2!$C$17:$AC$25,27,0))</f>
        <v/>
      </c>
      <c r="G16" s="449" t="str">
        <f ca="1">IF($C16="","",VLOOKUP(C16,PreliminaryRound!$AK$12:$AL$33,2,0))</f>
        <v/>
      </c>
      <c r="H16" s="140" t="str">
        <f ca="1">IFERROR(VLOOKUP($C16&amp;H$7,Calc2!$Z$64:$AB$207,3,0),"")</f>
        <v/>
      </c>
      <c r="I16" s="115" t="str">
        <f ca="1">IFERROR(VLOOKUP($C16&amp;I$7,Calc2!$Z$64:$AB$207,3,0),"")</f>
        <v/>
      </c>
      <c r="J16" s="115" t="str">
        <f ca="1">IFERROR(VLOOKUP($C16&amp;J$7,Calc2!$Z$64:$AB$207,3,0),"")</f>
        <v/>
      </c>
      <c r="K16" s="115" t="str">
        <f ca="1">IFERROR(VLOOKUP($C16&amp;K$7,Calc2!$Z$64:$AB$207,3,0),"")</f>
        <v/>
      </c>
      <c r="L16" s="115" t="str">
        <f ca="1">IFERROR(VLOOKUP($C16&amp;L$7,Calc2!$Z$64:$AB$207,3,0),"")</f>
        <v/>
      </c>
      <c r="M16" s="552" t="str">
        <f ca="1">IFERROR(VLOOKUP($C16&amp;M$7,Calc2!$Z$64:$AB$207,3,0),"")</f>
        <v/>
      </c>
      <c r="N16" s="552" t="str">
        <f ca="1">IFERROR(VLOOKUP($C16&amp;N$7,Calc2!$Z$64:$AB$207,3,0),"")</f>
        <v/>
      </c>
      <c r="O16" s="552" t="str">
        <f ca="1">IFERROR(VLOOKUP($C16&amp;O$7,Calc2!$Z$64:$AB$207,3,0),"")</f>
        <v/>
      </c>
      <c r="P16" s="157"/>
      <c r="Q16" s="186" t="str">
        <f t="shared" ca="1" si="0"/>
        <v/>
      </c>
    </row>
    <row r="17" spans="2:17" ht="42.75" customHeight="1" thickTop="1" thickBot="1" x14ac:dyDescent="0.25">
      <c r="B17" s="135"/>
      <c r="C17" s="136"/>
      <c r="D17" s="137"/>
      <c r="E17" s="123"/>
      <c r="F17" s="123"/>
      <c r="G17" s="123"/>
      <c r="H17" s="123"/>
      <c r="I17" s="123"/>
      <c r="J17" s="123"/>
      <c r="K17" s="123"/>
      <c r="L17" s="123"/>
      <c r="M17" s="123"/>
      <c r="N17" s="123"/>
      <c r="O17" s="123"/>
      <c r="P17" s="123"/>
    </row>
    <row r="18" spans="2:17" ht="21.95" customHeight="1" thickBot="1" x14ac:dyDescent="0.25">
      <c r="H18" s="554" t="str">
        <f ca="1">IF(LEN(H19)&gt;Settings!$C$17,LEFT(H19,Settings!$C$17)&amp;".",H19)</f>
        <v/>
      </c>
      <c r="I18" s="555" t="str">
        <f ca="1">IF(LEN(I19)&gt;Settings!$C$17,LEFT(I19,Settings!$C$17)&amp;".",I19)</f>
        <v/>
      </c>
      <c r="J18" s="555" t="str">
        <f ca="1">IF(LEN(J19)&gt;Settings!$C$17,LEFT(J19,Settings!$C$17)&amp;".",J19)</f>
        <v/>
      </c>
      <c r="K18" s="555" t="str">
        <f ca="1">IF(LEN(K19)&gt;Settings!$C$17,LEFT(K19,Settings!$C$17)&amp;".",K19)</f>
        <v/>
      </c>
      <c r="L18" s="555" t="str">
        <f ca="1">IF(LEN(L19)&gt;Settings!$C$17,LEFT(L19,Settings!$C$17)&amp;".",L19)</f>
        <v/>
      </c>
      <c r="M18" s="556" t="str">
        <f ca="1">IF(LEN(M19)&gt;Settings!$C$17,LEFT(M19,Settings!$C$17)&amp;".",M19)</f>
        <v/>
      </c>
      <c r="N18" s="556" t="str">
        <f ca="1">IF(LEN(N19)&gt;Settings!$C$17,LEFT(N19,Settings!$C$17)&amp;".",N19)</f>
        <v/>
      </c>
      <c r="O18" s="556" t="str">
        <f ca="1">IF(LEN(O19)&gt;Settings!$C$17,LEFT(O19,Settings!$C$17)&amp;".",O19)</f>
        <v/>
      </c>
      <c r="P18" s="557" t="str">
        <f ca="1">IF(LEN(P19)&gt;Settings!$C$17,LEFT(P19,Settings!$C$17)&amp;".",P19)</f>
        <v/>
      </c>
    </row>
    <row r="19" spans="2:17" ht="21.95" customHeight="1" thickTop="1" thickBot="1" x14ac:dyDescent="0.25">
      <c r="B19" s="119"/>
      <c r="C19" s="125" t="str">
        <f>Language!$E$10</f>
        <v>Participant or team</v>
      </c>
      <c r="D19" s="129" t="str">
        <f>Language!$E$27</f>
        <v>Pts</v>
      </c>
      <c r="E19" s="116" t="str">
        <f>Language!$E$26</f>
        <v>GD</v>
      </c>
      <c r="F19" s="116" t="str">
        <f>Language!$E$28</f>
        <v>GF</v>
      </c>
      <c r="G19" s="151" t="str">
        <f>Language!$E$49</f>
        <v>bonus</v>
      </c>
      <c r="H19" s="133" t="str">
        <f ca="1">C20</f>
        <v/>
      </c>
      <c r="I19" s="134" t="str">
        <f ca="1">C21</f>
        <v/>
      </c>
      <c r="J19" s="134" t="str">
        <f ca="1">C22</f>
        <v/>
      </c>
      <c r="K19" s="134" t="str">
        <f ca="1">C23</f>
        <v/>
      </c>
      <c r="L19" s="134" t="str">
        <f ca="1">C24</f>
        <v/>
      </c>
      <c r="M19" s="548" t="str">
        <f ca="1">C25</f>
        <v/>
      </c>
      <c r="N19" s="548" t="str">
        <f ca="1">C26</f>
        <v/>
      </c>
      <c r="O19" s="548" t="str">
        <f ca="1">C27</f>
        <v/>
      </c>
      <c r="P19" s="154" t="str">
        <f ca="1">C28</f>
        <v/>
      </c>
    </row>
    <row r="20" spans="2:17" ht="21.95" customHeight="1" x14ac:dyDescent="0.2">
      <c r="B20" s="117" t="str">
        <f ca="1">IF($C20="","",INDEX(Calc2!$E$4:$E$12,MATCH($C20,Calc2!$F$4:$F$12,0)))</f>
        <v/>
      </c>
      <c r="C20" s="126" t="str">
        <f ca="1">IF(Calc2!$K$13=0,"",Calc2!$AC4)</f>
        <v/>
      </c>
      <c r="D20" s="130" t="str">
        <f ca="1">IF($C20="","",VLOOKUP($C20,Calc2!$C$17:$AC$25,25,0))</f>
        <v/>
      </c>
      <c r="E20" s="113" t="str">
        <f ca="1">IF($C20="","",VLOOKUP($C20,Calc2!$C$17:$AC$25,26,0))</f>
        <v/>
      </c>
      <c r="F20" s="113" t="str">
        <f ca="1">IF($C20="","",VLOOKUP($C20,Calc2!$C$17:$AC$25,27,0))</f>
        <v/>
      </c>
      <c r="G20" s="447" t="str">
        <f ca="1">IF($C20="","",VLOOKUP(C20,PreliminaryRound!$AK$12:$AL$33,2,0))</f>
        <v/>
      </c>
      <c r="H20" s="138"/>
      <c r="I20" s="113" t="str">
        <f ca="1">IFERROR(VLOOKUP($C20&amp;I$19,Calc2!$Z$64:$AB$207,3,0),"")</f>
        <v/>
      </c>
      <c r="J20" s="113" t="str">
        <f ca="1">IFERROR(VLOOKUP($C20&amp;J$19,Calc2!$Z$64:$AB$207,3,0),"")</f>
        <v/>
      </c>
      <c r="K20" s="113" t="str">
        <f ca="1">IFERROR(VLOOKUP($C20&amp;K$19,Calc2!$Z$64:$AB$207,3,0),"")</f>
        <v/>
      </c>
      <c r="L20" s="113" t="str">
        <f ca="1">IFERROR(VLOOKUP($C20&amp;L$19,Calc2!$Z$64:$AB$207,3,0),"")</f>
        <v/>
      </c>
      <c r="M20" s="549" t="str">
        <f ca="1">IFERROR(VLOOKUP($C20&amp;M$19,Calc2!$Z$64:$AB$207,3,0),"")</f>
        <v/>
      </c>
      <c r="N20" s="549" t="str">
        <f ca="1">IFERROR(VLOOKUP($C20&amp;N$19,Calc2!$Z$64:$AB$207,3,0),"")</f>
        <v/>
      </c>
      <c r="O20" s="549" t="str">
        <f ca="1">IFERROR(VLOOKUP($C20&amp;O$19,Calc2!$Z$64:$AB$207,3,0),"")</f>
        <v/>
      </c>
      <c r="P20" s="155" t="str">
        <f ca="1">IFERROR(VLOOKUP($C20&amp;P$19,Calc2!$Z$64:$AB$207,3,0),"")</f>
        <v/>
      </c>
      <c r="Q20" s="184" t="str">
        <f t="shared" ref="Q20:Q28" ca="1" si="1">C20</f>
        <v/>
      </c>
    </row>
    <row r="21" spans="2:17" ht="21.95" customHeight="1" x14ac:dyDescent="0.2">
      <c r="B21" s="117" t="str">
        <f ca="1">IF($C21="","",INDEX(Calc2!$E$4:$E$12,MATCH($C21,Calc2!$F$4:$F$12,0)))</f>
        <v/>
      </c>
      <c r="C21" s="127" t="str">
        <f ca="1">IF(Calc2!$K$13=0,"",Calc2!$AC5)</f>
        <v/>
      </c>
      <c r="D21" s="131" t="str">
        <f ca="1">IF($C21="","",VLOOKUP($C21,Calc2!$C$17:$AC$25,25,0))</f>
        <v/>
      </c>
      <c r="E21" s="114" t="str">
        <f ca="1">IF($C21="","",VLOOKUP($C21,Calc2!$C$17:$AC$25,26,0))</f>
        <v/>
      </c>
      <c r="F21" s="114" t="str">
        <f ca="1">IF($C21="","",VLOOKUP($C21,Calc2!$C$17:$AC$25,27,0))</f>
        <v/>
      </c>
      <c r="G21" s="448" t="str">
        <f ca="1">IF($C21="","",VLOOKUP(C21,PreliminaryRound!$AK$12:$AL$33,2,0))</f>
        <v/>
      </c>
      <c r="H21" s="139" t="str">
        <f ca="1">IFERROR(VLOOKUP($C21&amp;H$19,Calc2!$Z$64:$AB$207,3,0),"")</f>
        <v/>
      </c>
      <c r="I21" s="124"/>
      <c r="J21" s="114" t="str">
        <f ca="1">IFERROR(VLOOKUP($C21&amp;J$19,Calc2!$Z$64:$AB$207,3,0),"")</f>
        <v/>
      </c>
      <c r="K21" s="114" t="str">
        <f ca="1">IFERROR(VLOOKUP($C21&amp;K$19,Calc2!$Z$64:$AB$207,3,0),"")</f>
        <v/>
      </c>
      <c r="L21" s="114" t="str">
        <f ca="1">IFERROR(VLOOKUP($C21&amp;L$19,Calc2!$Z$64:$AB$207,3,0),"")</f>
        <v/>
      </c>
      <c r="M21" s="550" t="str">
        <f ca="1">IFERROR(VLOOKUP($C21&amp;M$19,Calc2!$Z$64:$AB$207,3,0),"")</f>
        <v/>
      </c>
      <c r="N21" s="550" t="str">
        <f ca="1">IFERROR(VLOOKUP($C21&amp;N$19,Calc2!$Z$64:$AB$207,3,0),"")</f>
        <v/>
      </c>
      <c r="O21" s="550" t="str">
        <f ca="1">IFERROR(VLOOKUP($C21&amp;O$19,Calc2!$Z$64:$AB$207,3,0),"")</f>
        <v/>
      </c>
      <c r="P21" s="156" t="str">
        <f ca="1">IFERROR(VLOOKUP($C21&amp;P$19,Calc2!$Z$64:$AB$207,3,0),"")</f>
        <v/>
      </c>
      <c r="Q21" s="185" t="str">
        <f t="shared" ca="1" si="1"/>
        <v/>
      </c>
    </row>
    <row r="22" spans="2:17" ht="21.95" customHeight="1" x14ac:dyDescent="0.2">
      <c r="B22" s="117" t="str">
        <f ca="1">IF($C22="","",INDEX(Calc2!$E$4:$E$12,MATCH($C22,Calc2!$F$4:$F$12,0)))</f>
        <v/>
      </c>
      <c r="C22" s="127" t="str">
        <f ca="1">IF(Calc2!$K$13=0,"",Calc2!$AC6)</f>
        <v/>
      </c>
      <c r="D22" s="131" t="str">
        <f ca="1">IF($C22="","",VLOOKUP($C22,Calc2!$C$17:$AC$25,25,0))</f>
        <v/>
      </c>
      <c r="E22" s="114" t="str">
        <f ca="1">IF($C22="","",VLOOKUP($C22,Calc2!$C$17:$AC$25,26,0))</f>
        <v/>
      </c>
      <c r="F22" s="114" t="str">
        <f ca="1">IF($C22="","",VLOOKUP($C22,Calc2!$C$17:$AC$25,27,0))</f>
        <v/>
      </c>
      <c r="G22" s="448" t="str">
        <f ca="1">IF($C22="","",VLOOKUP(C22,PreliminaryRound!$AK$12:$AL$33,2,0))</f>
        <v/>
      </c>
      <c r="H22" s="139" t="str">
        <f ca="1">IFERROR(VLOOKUP($C22&amp;H$19,Calc2!$Z$64:$AB$207,3,0),"")</f>
        <v/>
      </c>
      <c r="I22" s="114" t="str">
        <f ca="1">IFERROR(VLOOKUP($C22&amp;I$19,Calc2!$Z$64:$AB$207,3,0),"")</f>
        <v/>
      </c>
      <c r="J22" s="124"/>
      <c r="K22" s="114" t="str">
        <f ca="1">IFERROR(VLOOKUP($C22&amp;K$19,Calc2!$Z$64:$AB$207,3,0),"")</f>
        <v/>
      </c>
      <c r="L22" s="114" t="str">
        <f ca="1">IFERROR(VLOOKUP($C22&amp;L$19,Calc2!$Z$64:$AB$207,3,0),"")</f>
        <v/>
      </c>
      <c r="M22" s="550" t="str">
        <f ca="1">IFERROR(VLOOKUP($C22&amp;M$19,Calc2!$Z$64:$AB$207,3,0),"")</f>
        <v/>
      </c>
      <c r="N22" s="550" t="str">
        <f ca="1">IFERROR(VLOOKUP($C22&amp;N$19,Calc2!$Z$64:$AB$207,3,0),"")</f>
        <v/>
      </c>
      <c r="O22" s="550" t="str">
        <f ca="1">IFERROR(VLOOKUP($C22&amp;O$19,Calc2!$Z$64:$AB$207,3,0),"")</f>
        <v/>
      </c>
      <c r="P22" s="156" t="str">
        <f ca="1">IFERROR(VLOOKUP($C22&amp;P$19,Calc2!$Z$64:$AB$207,3,0),"")</f>
        <v/>
      </c>
      <c r="Q22" s="185" t="str">
        <f t="shared" ca="1" si="1"/>
        <v/>
      </c>
    </row>
    <row r="23" spans="2:17" ht="21.95" customHeight="1" x14ac:dyDescent="0.2">
      <c r="B23" s="117" t="str">
        <f ca="1">IF($C23="","",INDEX(Calc2!$E$4:$E$12,MATCH($C23,Calc2!$F$4:$F$12,0)))</f>
        <v/>
      </c>
      <c r="C23" s="127" t="str">
        <f ca="1">IF(Calc2!$K$13=0,"",Calc2!$AC7)</f>
        <v/>
      </c>
      <c r="D23" s="131" t="str">
        <f ca="1">IF($C23="","",VLOOKUP($C23,Calc2!$C$17:$AC$25,25,0))</f>
        <v/>
      </c>
      <c r="E23" s="114" t="str">
        <f ca="1">IF($C23="","",VLOOKUP($C23,Calc2!$C$17:$AC$25,26,0))</f>
        <v/>
      </c>
      <c r="F23" s="114" t="str">
        <f ca="1">IF($C23="","",VLOOKUP($C23,Calc2!$C$17:$AC$25,27,0))</f>
        <v/>
      </c>
      <c r="G23" s="448" t="str">
        <f ca="1">IF($C23="","",VLOOKUP(C23,PreliminaryRound!$AK$12:$AL$33,2,0))</f>
        <v/>
      </c>
      <c r="H23" s="139" t="str">
        <f ca="1">IFERROR(VLOOKUP($C23&amp;H$19,Calc2!$Z$64:$AB$207,3,0),"")</f>
        <v/>
      </c>
      <c r="I23" s="114" t="str">
        <f ca="1">IFERROR(VLOOKUP($C23&amp;I$19,Calc2!$Z$64:$AB$207,3,0),"")</f>
        <v/>
      </c>
      <c r="J23" s="114" t="str">
        <f ca="1">IFERROR(VLOOKUP($C23&amp;J$19,Calc2!$Z$64:$AB$207,3,0),"")</f>
        <v/>
      </c>
      <c r="K23" s="124"/>
      <c r="L23" s="114" t="str">
        <f ca="1">IFERROR(VLOOKUP($C23&amp;L$19,Calc2!$Z$64:$AB$207,3,0),"")</f>
        <v/>
      </c>
      <c r="M23" s="550" t="str">
        <f ca="1">IFERROR(VLOOKUP($C23&amp;M$19,Calc2!$Z$64:$AB$207,3,0),"")</f>
        <v/>
      </c>
      <c r="N23" s="550" t="str">
        <f ca="1">IFERROR(VLOOKUP($C23&amp;N$19,Calc2!$Z$64:$AB$207,3,0),"")</f>
        <v/>
      </c>
      <c r="O23" s="550" t="str">
        <f ca="1">IFERROR(VLOOKUP($C23&amp;O$19,Calc2!$Z$64:$AB$207,3,0),"")</f>
        <v/>
      </c>
      <c r="P23" s="156" t="str">
        <f ca="1">IFERROR(VLOOKUP($C23&amp;P$19,Calc2!$Z$64:$AB$207,3,0),"")</f>
        <v/>
      </c>
      <c r="Q23" s="185" t="str">
        <f t="shared" ca="1" si="1"/>
        <v/>
      </c>
    </row>
    <row r="24" spans="2:17" ht="21.95" customHeight="1" x14ac:dyDescent="0.2">
      <c r="B24" s="117" t="str">
        <f ca="1">IF($C24="","",INDEX(Calc2!$E$4:$E$12,MATCH($C24,Calc2!$F$4:$F$12,0)))</f>
        <v/>
      </c>
      <c r="C24" s="127" t="str">
        <f ca="1">IF(Calc2!$K$13=0,"",Calc2!$AC8)</f>
        <v/>
      </c>
      <c r="D24" s="131" t="str">
        <f ca="1">IF($C24="","",VLOOKUP($C24,Calc2!$C$17:$AC$25,25,0))</f>
        <v/>
      </c>
      <c r="E24" s="114" t="str">
        <f ca="1">IF($C24="","",VLOOKUP($C24,Calc2!$C$17:$AC$25,26,0))</f>
        <v/>
      </c>
      <c r="F24" s="114" t="str">
        <f ca="1">IF($C24="","",VLOOKUP($C24,Calc2!$C$17:$AC$25,27,0))</f>
        <v/>
      </c>
      <c r="G24" s="448" t="str">
        <f ca="1">IF($C24="","",VLOOKUP(C24,PreliminaryRound!$AK$12:$AL$33,2,0))</f>
        <v/>
      </c>
      <c r="H24" s="139" t="str">
        <f ca="1">IFERROR(VLOOKUP($C24&amp;H$19,Calc2!$Z$64:$AB$207,3,0),"")</f>
        <v/>
      </c>
      <c r="I24" s="114" t="str">
        <f ca="1">IFERROR(VLOOKUP($C24&amp;I$19,Calc2!$Z$64:$AB$207,3,0),"")</f>
        <v/>
      </c>
      <c r="J24" s="114" t="str">
        <f ca="1">IFERROR(VLOOKUP($C24&amp;J$19,Calc2!$Z$64:$AB$207,3,0),"")</f>
        <v/>
      </c>
      <c r="K24" s="114" t="str">
        <f ca="1">IFERROR(VLOOKUP($C24&amp;K$19,Calc2!$Z$64:$AB$207,3,0),"")</f>
        <v/>
      </c>
      <c r="L24" s="124"/>
      <c r="M24" s="550" t="str">
        <f ca="1">IFERROR(VLOOKUP($C24&amp;M$19,Calc2!$Z$64:$AB$207,3,0),"")</f>
        <v/>
      </c>
      <c r="N24" s="550" t="str">
        <f ca="1">IFERROR(VLOOKUP($C24&amp;N$19,Calc2!$Z$64:$AB$207,3,0),"")</f>
        <v/>
      </c>
      <c r="O24" s="550" t="str">
        <f ca="1">IFERROR(VLOOKUP($C24&amp;O$19,Calc2!$Z$64:$AB$207,3,0),"")</f>
        <v/>
      </c>
      <c r="P24" s="156" t="str">
        <f ca="1">IFERROR(VLOOKUP($C24&amp;P$19,Calc2!$Z$64:$AB$207,3,0),"")</f>
        <v/>
      </c>
      <c r="Q24" s="185" t="str">
        <f t="shared" ca="1" si="1"/>
        <v/>
      </c>
    </row>
    <row r="25" spans="2:17" ht="21.95" customHeight="1" x14ac:dyDescent="0.2">
      <c r="B25" s="117" t="str">
        <f ca="1">IF($C25="","",INDEX(Calc2!$E$4:$E$12,MATCH($C25,Calc2!$F$4:$F$12,0)))</f>
        <v/>
      </c>
      <c r="C25" s="127" t="str">
        <f ca="1">IF(Calc2!$K$13=0,"",Calc2!$AC9)</f>
        <v/>
      </c>
      <c r="D25" s="131" t="str">
        <f ca="1">IF($C25="","",VLOOKUP($C25,Calc2!$C$17:$AC$25,25,0))</f>
        <v/>
      </c>
      <c r="E25" s="114" t="str">
        <f ca="1">IF($C25="","",VLOOKUP($C25,Calc2!$C$17:$AC$25,26,0))</f>
        <v/>
      </c>
      <c r="F25" s="114" t="str">
        <f ca="1">IF($C25="","",VLOOKUP($C25,Calc2!$C$17:$AC$25,27,0))</f>
        <v/>
      </c>
      <c r="G25" s="448" t="str">
        <f ca="1">IF($C25="","",VLOOKUP(C25,PreliminaryRound!$AK$12:$AL$33,2,0))</f>
        <v/>
      </c>
      <c r="H25" s="139" t="str">
        <f ca="1">IFERROR(VLOOKUP($C25&amp;H$19,Calc2!$Z$64:$AB$207,3,0),"")</f>
        <v/>
      </c>
      <c r="I25" s="114" t="str">
        <f ca="1">IFERROR(VLOOKUP($C25&amp;I$19,Calc2!$Z$64:$AB$207,3,0),"")</f>
        <v/>
      </c>
      <c r="J25" s="114" t="str">
        <f ca="1">IFERROR(VLOOKUP($C25&amp;J$19,Calc2!$Z$64:$AB$207,3,0),"")</f>
        <v/>
      </c>
      <c r="K25" s="114" t="str">
        <f ca="1">IFERROR(VLOOKUP($C25&amp;K$19,Calc2!$Z$64:$AB$207,3,0),"")</f>
        <v/>
      </c>
      <c r="L25" s="114" t="str">
        <f ca="1">IFERROR(VLOOKUP($C25&amp;L$19,Calc2!$Z$64:$AB$207,3,0),"")</f>
        <v/>
      </c>
      <c r="M25" s="551"/>
      <c r="N25" s="550" t="str">
        <f ca="1">IFERROR(VLOOKUP($C25&amp;N$19,Calc2!$Z$64:$AB$207,3,0),"")</f>
        <v/>
      </c>
      <c r="O25" s="550" t="str">
        <f ca="1">IFERROR(VLOOKUP($C25&amp;O$19,Calc2!$Z$64:$AB$207,3,0),"")</f>
        <v/>
      </c>
      <c r="P25" s="156" t="str">
        <f ca="1">IFERROR(VLOOKUP($C25&amp;P$19,Calc2!$Z$64:$AB$207,3,0),"")</f>
        <v/>
      </c>
      <c r="Q25" s="185" t="str">
        <f t="shared" ca="1" si="1"/>
        <v/>
      </c>
    </row>
    <row r="26" spans="2:17" ht="21.95" customHeight="1" x14ac:dyDescent="0.2">
      <c r="B26" s="117" t="str">
        <f ca="1">IF($C26="","",INDEX(Calc2!$E$4:$E$12,MATCH($C26,Calc2!$F$4:$F$12,0)))</f>
        <v/>
      </c>
      <c r="C26" s="127" t="str">
        <f ca="1">IF(Calc2!$K$13=0,"",Calc2!$AC10)</f>
        <v/>
      </c>
      <c r="D26" s="131" t="str">
        <f ca="1">IF($C26="","",VLOOKUP($C26,Calc2!$C$17:$AC$25,25,0))</f>
        <v/>
      </c>
      <c r="E26" s="114" t="str">
        <f ca="1">IF($C26="","",VLOOKUP($C26,Calc2!$C$17:$AC$25,26,0))</f>
        <v/>
      </c>
      <c r="F26" s="114" t="str">
        <f ca="1">IF($C26="","",VLOOKUP($C26,Calc2!$C$17:$AC$25,27,0))</f>
        <v/>
      </c>
      <c r="G26" s="448" t="str">
        <f ca="1">IF($C26="","",VLOOKUP(C26,PreliminaryRound!$AK$12:$AL$33,2,0))</f>
        <v/>
      </c>
      <c r="H26" s="139" t="str">
        <f ca="1">IFERROR(VLOOKUP($C26&amp;H$19,Calc2!$Z$64:$AB$207,3,0),"")</f>
        <v/>
      </c>
      <c r="I26" s="114" t="str">
        <f ca="1">IFERROR(VLOOKUP($C26&amp;I$19,Calc2!$Z$64:$AB$207,3,0),"")</f>
        <v/>
      </c>
      <c r="J26" s="114" t="str">
        <f ca="1">IFERROR(VLOOKUP($C26&amp;J$19,Calc2!$Z$64:$AB$207,3,0),"")</f>
        <v/>
      </c>
      <c r="K26" s="114" t="str">
        <f ca="1">IFERROR(VLOOKUP($C26&amp;K$19,Calc2!$Z$64:$AB$207,3,0),"")</f>
        <v/>
      </c>
      <c r="L26" s="114" t="str">
        <f ca="1">IFERROR(VLOOKUP($C26&amp;L$19,Calc2!$Z$64:$AB$207,3,0),"")</f>
        <v/>
      </c>
      <c r="M26" s="550" t="str">
        <f ca="1">IFERROR(VLOOKUP($C26&amp;M$19,Calc2!$Z$64:$AB$207,3,0),"")</f>
        <v/>
      </c>
      <c r="N26" s="551"/>
      <c r="O26" s="550" t="str">
        <f ca="1">IFERROR(VLOOKUP($C26&amp;O$19,Calc2!$Z$64:$AB$207,3,0),"")</f>
        <v/>
      </c>
      <c r="P26" s="156" t="str">
        <f ca="1">IFERROR(VLOOKUP($C26&amp;P$19,Calc2!$Z$64:$AB$207,3,0),"")</f>
        <v/>
      </c>
      <c r="Q26" s="185" t="str">
        <f t="shared" ca="1" si="1"/>
        <v/>
      </c>
    </row>
    <row r="27" spans="2:17" ht="21.95" customHeight="1" x14ac:dyDescent="0.2">
      <c r="B27" s="117" t="str">
        <f ca="1">IF($C27="","",INDEX(Calc2!$E$4:$E$12,MATCH($C27,Calc2!$F$4:$F$12,0)))</f>
        <v/>
      </c>
      <c r="C27" s="127" t="str">
        <f ca="1">IF(Calc2!$K$13=0,"",Calc2!$AC11)</f>
        <v/>
      </c>
      <c r="D27" s="131" t="str">
        <f ca="1">IF($C27="","",VLOOKUP($C27,Calc2!$C$17:$AC$25,25,0))</f>
        <v/>
      </c>
      <c r="E27" s="114" t="str">
        <f ca="1">IF($C27="","",VLOOKUP($C27,Calc2!$C$17:$AC$25,26,0))</f>
        <v/>
      </c>
      <c r="F27" s="114" t="str">
        <f ca="1">IF($C27="","",VLOOKUP($C27,Calc2!$C$17:$AC$25,27,0))</f>
        <v/>
      </c>
      <c r="G27" s="448" t="str">
        <f ca="1">IF($C27="","",VLOOKUP(C27,PreliminaryRound!$AK$12:$AL$33,2,0))</f>
        <v/>
      </c>
      <c r="H27" s="139" t="str">
        <f ca="1">IFERROR(VLOOKUP($C27&amp;H$19,Calc2!$Z$64:$AB$207,3,0),"")</f>
        <v/>
      </c>
      <c r="I27" s="114" t="str">
        <f ca="1">IFERROR(VLOOKUP($C27&amp;I$19,Calc2!$Z$64:$AB$207,3,0),"")</f>
        <v/>
      </c>
      <c r="J27" s="114" t="str">
        <f ca="1">IFERROR(VLOOKUP($C27&amp;J$19,Calc2!$Z$64:$AB$207,3,0),"")</f>
        <v/>
      </c>
      <c r="K27" s="114" t="str">
        <f ca="1">IFERROR(VLOOKUP($C27&amp;K$19,Calc2!$Z$64:$AB$207,3,0),"")</f>
        <v/>
      </c>
      <c r="L27" s="114" t="str">
        <f ca="1">IFERROR(VLOOKUP($C27&amp;L$19,Calc2!$Z$64:$AB$207,3,0),"")</f>
        <v/>
      </c>
      <c r="M27" s="550" t="str">
        <f ca="1">IFERROR(VLOOKUP($C27&amp;M$19,Calc2!$Z$64:$AB$207,3,0),"")</f>
        <v/>
      </c>
      <c r="N27" s="550" t="str">
        <f ca="1">IFERROR(VLOOKUP($C27&amp;N$19,Calc2!$Z$64:$AB$207,3,0),"")</f>
        <v/>
      </c>
      <c r="O27" s="551"/>
      <c r="P27" s="156" t="str">
        <f ca="1">IFERROR(VLOOKUP($C27&amp;P$19,Calc2!$Z$64:$AB$207,3,0),"")</f>
        <v/>
      </c>
      <c r="Q27" s="185" t="str">
        <f t="shared" ca="1" si="1"/>
        <v/>
      </c>
    </row>
    <row r="28" spans="2:17" ht="21.95" customHeight="1" thickBot="1" x14ac:dyDescent="0.25">
      <c r="B28" s="118" t="str">
        <f ca="1">IF($C28="","",INDEX(Calc2!$E$4:$E$12,MATCH($C28,Calc2!$F$4:$F$12,0)))</f>
        <v/>
      </c>
      <c r="C28" s="128" t="str">
        <f ca="1">IF(Calc2!$K$13=0,"",Calc2!$AC12)</f>
        <v/>
      </c>
      <c r="D28" s="132" t="str">
        <f ca="1">IF($C28="","",VLOOKUP($C28,Calc2!$C$17:$AC$25,25,0))</f>
        <v/>
      </c>
      <c r="E28" s="115" t="str">
        <f ca="1">IF($C28="","",VLOOKUP($C28,Calc2!$C$17:$AC$25,26,0))</f>
        <v/>
      </c>
      <c r="F28" s="115" t="str">
        <f ca="1">IF($C28="","",VLOOKUP($C28,Calc2!$C$17:$AC$25,27,0))</f>
        <v/>
      </c>
      <c r="G28" s="449" t="str">
        <f ca="1">IF($C28="","",VLOOKUP(C28,PreliminaryRound!$AK$12:$AL$33,2,0))</f>
        <v/>
      </c>
      <c r="H28" s="140" t="str">
        <f ca="1">IFERROR(VLOOKUP($C28&amp;H$19,Calc2!$Z$64:$AB$207,3,0),"")</f>
        <v/>
      </c>
      <c r="I28" s="115" t="str">
        <f ca="1">IFERROR(VLOOKUP($C28&amp;I$19,Calc2!$Z$64:$AB$207,3,0),"")</f>
        <v/>
      </c>
      <c r="J28" s="115" t="str">
        <f ca="1">IFERROR(VLOOKUP($C28&amp;J$19,Calc2!$Z$64:$AB$207,3,0),"")</f>
        <v/>
      </c>
      <c r="K28" s="115" t="str">
        <f ca="1">IFERROR(VLOOKUP($C28&amp;K$19,Calc2!$Z$64:$AB$207,3,0),"")</f>
        <v/>
      </c>
      <c r="L28" s="115" t="str">
        <f ca="1">IFERROR(VLOOKUP($C28&amp;L$19,Calc2!$Z$64:$AB$207,3,0),"")</f>
        <v/>
      </c>
      <c r="M28" s="552" t="str">
        <f ca="1">IFERROR(VLOOKUP($C28&amp;M$19,Calc2!$Z$64:$AB$207,3,0),"")</f>
        <v/>
      </c>
      <c r="N28" s="552" t="str">
        <f ca="1">IFERROR(VLOOKUP($C28&amp;N$19,Calc2!$Z$64:$AB$207,3,0),"")</f>
        <v/>
      </c>
      <c r="O28" s="552" t="str">
        <f ca="1">IFERROR(VLOOKUP($C28&amp;O$19,Calc2!$Z$64:$AB$207,3,0),"")</f>
        <v/>
      </c>
      <c r="P28" s="157"/>
      <c r="Q28" s="186" t="str">
        <f t="shared" ca="1" si="1"/>
        <v/>
      </c>
    </row>
    <row r="29" spans="2:17" ht="42.75" customHeight="1" thickTop="1" thickBot="1" x14ac:dyDescent="0.25">
      <c r="B29" s="135"/>
      <c r="C29" s="136"/>
      <c r="D29" s="137"/>
      <c r="E29" s="123"/>
      <c r="F29" s="123"/>
      <c r="G29" s="123"/>
      <c r="H29" s="123"/>
      <c r="I29" s="123"/>
      <c r="J29" s="123"/>
      <c r="K29" s="123"/>
      <c r="L29" s="123"/>
      <c r="M29" s="123"/>
      <c r="N29" s="123"/>
      <c r="O29" s="123"/>
      <c r="P29" s="123"/>
    </row>
    <row r="30" spans="2:17" ht="21.95" customHeight="1" thickBot="1" x14ac:dyDescent="0.25">
      <c r="H30" s="554" t="str">
        <f ca="1">IF(LEN(H31)&gt;Settings!$C$17,LEFT(H31,Settings!$C$17)&amp;".",H31)</f>
        <v/>
      </c>
      <c r="I30" s="555" t="str">
        <f ca="1">IF(LEN(I31)&gt;Settings!$C$17,LEFT(I31,Settings!$C$17)&amp;".",I31)</f>
        <v/>
      </c>
      <c r="J30" s="555" t="str">
        <f ca="1">IF(LEN(J31)&gt;Settings!$C$17,LEFT(J31,Settings!$C$17)&amp;".",J31)</f>
        <v/>
      </c>
      <c r="K30" s="555" t="str">
        <f ca="1">IF(LEN(K31)&gt;Settings!$C$17,LEFT(K31,Settings!$C$17)&amp;".",K31)</f>
        <v/>
      </c>
      <c r="L30" s="555" t="str">
        <f ca="1">IF(LEN(L31)&gt;Settings!$C$17,LEFT(L31,Settings!$C$17)&amp;".",L31)</f>
        <v/>
      </c>
      <c r="M30" s="556" t="str">
        <f ca="1">IF(LEN(M31)&gt;Settings!$C$17,LEFT(M31,Settings!$C$17)&amp;".",M31)</f>
        <v/>
      </c>
      <c r="N30" s="556" t="str">
        <f ca="1">IF(LEN(N31)&gt;Settings!$C$17,LEFT(N31,Settings!$C$17)&amp;".",N31)</f>
        <v/>
      </c>
      <c r="O30" s="556" t="str">
        <f ca="1">IF(LEN(O31)&gt;Settings!$C$17,LEFT(O31,Settings!$C$17)&amp;".",O31)</f>
        <v/>
      </c>
      <c r="P30" s="557" t="str">
        <f ca="1">IF(LEN(P31)&gt;Settings!$C$17,LEFT(P31,Settings!$C$17)&amp;".",P31)</f>
        <v/>
      </c>
    </row>
    <row r="31" spans="2:17" ht="21.95" customHeight="1" thickTop="1" thickBot="1" x14ac:dyDescent="0.25">
      <c r="B31" s="119"/>
      <c r="C31" s="125" t="str">
        <f>Language!$E$10</f>
        <v>Participant or team</v>
      </c>
      <c r="D31" s="129" t="str">
        <f>Language!$E$27</f>
        <v>Pts</v>
      </c>
      <c r="E31" s="116" t="str">
        <f>Language!$E$26</f>
        <v>GD</v>
      </c>
      <c r="F31" s="116" t="str">
        <f>Language!$E$28</f>
        <v>GF</v>
      </c>
      <c r="G31" s="151" t="str">
        <f>Language!$E$49</f>
        <v>bonus</v>
      </c>
      <c r="H31" s="133" t="str">
        <f ca="1">C32</f>
        <v/>
      </c>
      <c r="I31" s="134" t="str">
        <f ca="1">C33</f>
        <v/>
      </c>
      <c r="J31" s="134" t="str">
        <f ca="1">C34</f>
        <v/>
      </c>
      <c r="K31" s="134" t="str">
        <f ca="1">C35</f>
        <v/>
      </c>
      <c r="L31" s="134" t="str">
        <f ca="1">C36</f>
        <v/>
      </c>
      <c r="M31" s="548" t="str">
        <f ca="1">C37</f>
        <v/>
      </c>
      <c r="N31" s="548" t="str">
        <f ca="1">C38</f>
        <v/>
      </c>
      <c r="O31" s="548" t="str">
        <f ca="1">C39</f>
        <v/>
      </c>
      <c r="P31" s="154" t="str">
        <f ca="1">C40</f>
        <v/>
      </c>
    </row>
    <row r="32" spans="2:17" ht="21.95" customHeight="1" x14ac:dyDescent="0.2">
      <c r="B32" s="117" t="str">
        <f ca="1">IF($C32="","",INDEX(Calc2!$E$4:$E$12,MATCH($C32,Calc2!$F$4:$F$12,0)))</f>
        <v/>
      </c>
      <c r="C32" s="126" t="str">
        <f ca="1">IF(Calc2!$K$13=0,"",Calc2!$AH4)</f>
        <v/>
      </c>
      <c r="D32" s="130" t="str">
        <f ca="1">IF($C32="","",VLOOKUP($C32,Calc2!$C$17:$AC$25,25,0))</f>
        <v/>
      </c>
      <c r="E32" s="113" t="str">
        <f ca="1">IF($C32="","",VLOOKUP($C32,Calc2!$C$17:$AC$25,26,0))</f>
        <v/>
      </c>
      <c r="F32" s="113" t="str">
        <f ca="1">IF($C32="","",VLOOKUP($C32,Calc2!$C$17:$AC$25,27,0))</f>
        <v/>
      </c>
      <c r="G32" s="447" t="str">
        <f ca="1">IF($C32="","",VLOOKUP(C32,PreliminaryRound!$AK$12:$AL$33,2,0))</f>
        <v/>
      </c>
      <c r="H32" s="138"/>
      <c r="I32" s="113" t="str">
        <f ca="1">IFERROR(VLOOKUP($C32&amp;I$31,Calc2!$Z$64:$AB$207,3,0),"")</f>
        <v/>
      </c>
      <c r="J32" s="113" t="str">
        <f ca="1">IFERROR(VLOOKUP($C32&amp;J$31,Calc2!$Z$64:$AB$207,3,0),"")</f>
        <v/>
      </c>
      <c r="K32" s="113" t="str">
        <f ca="1">IFERROR(VLOOKUP($C32&amp;K$31,Calc2!$Z$64:$AB$207,3,0),"")</f>
        <v/>
      </c>
      <c r="L32" s="113" t="str">
        <f ca="1">IFERROR(VLOOKUP($C32&amp;L$31,Calc2!$Z$64:$AB$207,3,0),"")</f>
        <v/>
      </c>
      <c r="M32" s="549" t="str">
        <f ca="1">IFERROR(VLOOKUP($C32&amp;M$31,Calc2!$Z$64:$AB$207,3,0),"")</f>
        <v/>
      </c>
      <c r="N32" s="549" t="str">
        <f ca="1">IFERROR(VLOOKUP($C32&amp;N$31,Calc2!$Z$64:$AB$207,3,0),"")</f>
        <v/>
      </c>
      <c r="O32" s="549" t="str">
        <f ca="1">IFERROR(VLOOKUP($C32&amp;O$31,Calc2!$Z$64:$AB$207,3,0),"")</f>
        <v/>
      </c>
      <c r="P32" s="155" t="str">
        <f ca="1">IFERROR(VLOOKUP($C32&amp;P$31,Calc2!$Z$64:$AB$207,3,0),"")</f>
        <v/>
      </c>
      <c r="Q32" s="184" t="str">
        <f t="shared" ref="Q32:Q40" ca="1" si="2">C32</f>
        <v/>
      </c>
    </row>
    <row r="33" spans="2:17" ht="21.95" customHeight="1" x14ac:dyDescent="0.2">
      <c r="B33" s="117" t="str">
        <f ca="1">IF($C33="","",INDEX(Calc2!$E$4:$E$12,MATCH($C33,Calc2!$F$4:$F$12,0)))</f>
        <v/>
      </c>
      <c r="C33" s="127" t="str">
        <f ca="1">IF(Calc2!$K$13=0,"",Calc2!$AH5)</f>
        <v/>
      </c>
      <c r="D33" s="131" t="str">
        <f ca="1">IF($C33="","",VLOOKUP($C33,Calc2!$C$17:$AC$25,25,0))</f>
        <v/>
      </c>
      <c r="E33" s="114" t="str">
        <f ca="1">IF($C33="","",VLOOKUP($C33,Calc2!$C$17:$AC$25,26,0))</f>
        <v/>
      </c>
      <c r="F33" s="114" t="str">
        <f ca="1">IF($C33="","",VLOOKUP($C33,Calc2!$C$17:$AC$25,27,0))</f>
        <v/>
      </c>
      <c r="G33" s="448" t="str">
        <f ca="1">IF($C33="","",VLOOKUP(C33,PreliminaryRound!$AK$12:$AL$33,2,0))</f>
        <v/>
      </c>
      <c r="H33" s="139" t="str">
        <f ca="1">IFERROR(VLOOKUP($C33&amp;H$31,Calc2!$Z$64:$AB$207,3,0),"")</f>
        <v/>
      </c>
      <c r="I33" s="124"/>
      <c r="J33" s="114" t="str">
        <f ca="1">IFERROR(VLOOKUP($C33&amp;J$31,Calc2!$Z$64:$AB$207,3,0),"")</f>
        <v/>
      </c>
      <c r="K33" s="114" t="str">
        <f ca="1">IFERROR(VLOOKUP($C33&amp;K$31,Calc2!$Z$64:$AB$207,3,0),"")</f>
        <v/>
      </c>
      <c r="L33" s="114" t="str">
        <f ca="1">IFERROR(VLOOKUP($C33&amp;L$31,Calc2!$Z$64:$AB$207,3,0),"")</f>
        <v/>
      </c>
      <c r="M33" s="550" t="str">
        <f ca="1">IFERROR(VLOOKUP($C33&amp;M$31,Calc2!$Z$64:$AB$207,3,0),"")</f>
        <v/>
      </c>
      <c r="N33" s="550" t="str">
        <f ca="1">IFERROR(VLOOKUP($C33&amp;N$31,Calc2!$Z$64:$AB$207,3,0),"")</f>
        <v/>
      </c>
      <c r="O33" s="550" t="str">
        <f ca="1">IFERROR(VLOOKUP($C33&amp;O$31,Calc2!$Z$64:$AB$207,3,0),"")</f>
        <v/>
      </c>
      <c r="P33" s="156" t="str">
        <f ca="1">IFERROR(VLOOKUP($C33&amp;P$31,Calc2!$Z$64:$AB$207,3,0),"")</f>
        <v/>
      </c>
      <c r="Q33" s="185" t="str">
        <f t="shared" ca="1" si="2"/>
        <v/>
      </c>
    </row>
    <row r="34" spans="2:17" ht="21.95" customHeight="1" x14ac:dyDescent="0.2">
      <c r="B34" s="117" t="str">
        <f ca="1">IF($C34="","",INDEX(Calc2!$E$4:$E$12,MATCH($C34,Calc2!$F$4:$F$12,0)))</f>
        <v/>
      </c>
      <c r="C34" s="127" t="str">
        <f ca="1">IF(Calc2!$K$13=0,"",Calc2!$AH6)</f>
        <v/>
      </c>
      <c r="D34" s="131" t="str">
        <f ca="1">IF($C34="","",VLOOKUP($C34,Calc2!$C$17:$AC$25,25,0))</f>
        <v/>
      </c>
      <c r="E34" s="114" t="str">
        <f ca="1">IF($C34="","",VLOOKUP($C34,Calc2!$C$17:$AC$25,26,0))</f>
        <v/>
      </c>
      <c r="F34" s="114" t="str">
        <f ca="1">IF($C34="","",VLOOKUP($C34,Calc2!$C$17:$AC$25,27,0))</f>
        <v/>
      </c>
      <c r="G34" s="448" t="str">
        <f ca="1">IF($C34="","",VLOOKUP(C34,PreliminaryRound!$AK$12:$AL$33,2,0))</f>
        <v/>
      </c>
      <c r="H34" s="139" t="str">
        <f ca="1">IFERROR(VLOOKUP($C34&amp;H$31,Calc2!$Z$64:$AB$207,3,0),"")</f>
        <v/>
      </c>
      <c r="I34" s="114" t="str">
        <f ca="1">IFERROR(VLOOKUP($C34&amp;I$31,Calc2!$Z$64:$AB$207,3,0),"")</f>
        <v/>
      </c>
      <c r="J34" s="124"/>
      <c r="K34" s="114" t="str">
        <f ca="1">IFERROR(VLOOKUP($C34&amp;K$31,Calc2!$Z$64:$AB$207,3,0),"")</f>
        <v/>
      </c>
      <c r="L34" s="114" t="str">
        <f ca="1">IFERROR(VLOOKUP($C34&amp;L$31,Calc2!$Z$64:$AB$207,3,0),"")</f>
        <v/>
      </c>
      <c r="M34" s="550" t="str">
        <f ca="1">IFERROR(VLOOKUP($C34&amp;M$31,Calc2!$Z$64:$AB$207,3,0),"")</f>
        <v/>
      </c>
      <c r="N34" s="550" t="str">
        <f ca="1">IFERROR(VLOOKUP($C34&amp;N$31,Calc2!$Z$64:$AB$207,3,0),"")</f>
        <v/>
      </c>
      <c r="O34" s="550" t="str">
        <f ca="1">IFERROR(VLOOKUP($C34&amp;O$31,Calc2!$Z$64:$AB$207,3,0),"")</f>
        <v/>
      </c>
      <c r="P34" s="156" t="str">
        <f ca="1">IFERROR(VLOOKUP($C34&amp;P$31,Calc2!$Z$64:$AB$207,3,0),"")</f>
        <v/>
      </c>
      <c r="Q34" s="185" t="str">
        <f t="shared" ca="1" si="2"/>
        <v/>
      </c>
    </row>
    <row r="35" spans="2:17" ht="21.95" customHeight="1" x14ac:dyDescent="0.2">
      <c r="B35" s="117" t="str">
        <f ca="1">IF($C35="","",INDEX(Calc2!$E$4:$E$12,MATCH($C35,Calc2!$F$4:$F$12,0)))</f>
        <v/>
      </c>
      <c r="C35" s="127" t="str">
        <f ca="1">IF(Calc2!$K$13=0,"",Calc2!$AH7)</f>
        <v/>
      </c>
      <c r="D35" s="131" t="str">
        <f ca="1">IF($C35="","",VLOOKUP($C35,Calc2!$C$17:$AC$25,25,0))</f>
        <v/>
      </c>
      <c r="E35" s="114" t="str">
        <f ca="1">IF($C35="","",VLOOKUP($C35,Calc2!$C$17:$AC$25,26,0))</f>
        <v/>
      </c>
      <c r="F35" s="114" t="str">
        <f ca="1">IF($C35="","",VLOOKUP($C35,Calc2!$C$17:$AC$25,27,0))</f>
        <v/>
      </c>
      <c r="G35" s="448" t="str">
        <f ca="1">IF($C35="","",VLOOKUP(C35,PreliminaryRound!$AK$12:$AL$33,2,0))</f>
        <v/>
      </c>
      <c r="H35" s="139" t="str">
        <f ca="1">IFERROR(VLOOKUP($C35&amp;H$31,Calc2!$Z$64:$AB$207,3,0),"")</f>
        <v/>
      </c>
      <c r="I35" s="114" t="str">
        <f ca="1">IFERROR(VLOOKUP($C35&amp;I$31,Calc2!$Z$64:$AB$207,3,0),"")</f>
        <v/>
      </c>
      <c r="J35" s="114" t="str">
        <f ca="1">IFERROR(VLOOKUP($C35&amp;J$31,Calc2!$Z$64:$AB$207,3,0),"")</f>
        <v/>
      </c>
      <c r="K35" s="124"/>
      <c r="L35" s="114" t="str">
        <f ca="1">IFERROR(VLOOKUP($C35&amp;L$31,Calc2!$Z$64:$AB$207,3,0),"")</f>
        <v/>
      </c>
      <c r="M35" s="550" t="str">
        <f ca="1">IFERROR(VLOOKUP($C35&amp;M$31,Calc2!$Z$64:$AB$207,3,0),"")</f>
        <v/>
      </c>
      <c r="N35" s="550" t="str">
        <f ca="1">IFERROR(VLOOKUP($C35&amp;N$31,Calc2!$Z$64:$AB$207,3,0),"")</f>
        <v/>
      </c>
      <c r="O35" s="550" t="str">
        <f ca="1">IFERROR(VLOOKUP($C35&amp;O$31,Calc2!$Z$64:$AB$207,3,0),"")</f>
        <v/>
      </c>
      <c r="P35" s="156" t="str">
        <f ca="1">IFERROR(VLOOKUP($C35&amp;P$31,Calc2!$Z$64:$AB$207,3,0),"")</f>
        <v/>
      </c>
      <c r="Q35" s="185" t="str">
        <f t="shared" ca="1" si="2"/>
        <v/>
      </c>
    </row>
    <row r="36" spans="2:17" ht="21.95" customHeight="1" x14ac:dyDescent="0.2">
      <c r="B36" s="117" t="str">
        <f ca="1">IF($C36="","",INDEX(Calc2!$E$4:$E$12,MATCH($C36,Calc2!$F$4:$F$12,0)))</f>
        <v/>
      </c>
      <c r="C36" s="127" t="str">
        <f ca="1">IF(Calc2!$K$13=0,"",Calc2!$AH8)</f>
        <v/>
      </c>
      <c r="D36" s="131" t="str">
        <f ca="1">IF($C36="","",VLOOKUP($C36,Calc2!$C$17:$AC$25,25,0))</f>
        <v/>
      </c>
      <c r="E36" s="114" t="str">
        <f ca="1">IF($C36="","",VLOOKUP($C36,Calc2!$C$17:$AC$25,26,0))</f>
        <v/>
      </c>
      <c r="F36" s="114" t="str">
        <f ca="1">IF($C36="","",VLOOKUP($C36,Calc2!$C$17:$AC$25,27,0))</f>
        <v/>
      </c>
      <c r="G36" s="448" t="str">
        <f ca="1">IF($C36="","",VLOOKUP(C36,PreliminaryRound!$AK$12:$AL$33,2,0))</f>
        <v/>
      </c>
      <c r="H36" s="139" t="str">
        <f ca="1">IFERROR(VLOOKUP($C36&amp;H$31,Calc2!$Z$64:$AB$207,3,0),"")</f>
        <v/>
      </c>
      <c r="I36" s="114" t="str">
        <f ca="1">IFERROR(VLOOKUP($C36&amp;I$31,Calc2!$Z$64:$AB$207,3,0),"")</f>
        <v/>
      </c>
      <c r="J36" s="114" t="str">
        <f ca="1">IFERROR(VLOOKUP($C36&amp;J$31,Calc2!$Z$64:$AB$207,3,0),"")</f>
        <v/>
      </c>
      <c r="K36" s="114" t="str">
        <f ca="1">IFERROR(VLOOKUP($C36&amp;K$31,Calc2!$Z$64:$AB$207,3,0),"")</f>
        <v/>
      </c>
      <c r="L36" s="124"/>
      <c r="M36" s="550" t="str">
        <f ca="1">IFERROR(VLOOKUP($C36&amp;M$31,Calc2!$Z$64:$AB$207,3,0),"")</f>
        <v/>
      </c>
      <c r="N36" s="550" t="str">
        <f ca="1">IFERROR(VLOOKUP($C36&amp;N$31,Calc2!$Z$64:$AB$207,3,0),"")</f>
        <v/>
      </c>
      <c r="O36" s="550" t="str">
        <f ca="1">IFERROR(VLOOKUP($C36&amp;O$31,Calc2!$Z$64:$AB$207,3,0),"")</f>
        <v/>
      </c>
      <c r="P36" s="156" t="str">
        <f ca="1">IFERROR(VLOOKUP($C36&amp;P$31,Calc2!$Z$64:$AB$207,3,0),"")</f>
        <v/>
      </c>
      <c r="Q36" s="185" t="str">
        <f t="shared" ca="1" si="2"/>
        <v/>
      </c>
    </row>
    <row r="37" spans="2:17" ht="21.95" customHeight="1" x14ac:dyDescent="0.2">
      <c r="B37" s="117" t="str">
        <f ca="1">IF($C37="","",INDEX(Calc2!$E$4:$E$12,MATCH($C37,Calc2!$F$4:$F$12,0)))</f>
        <v/>
      </c>
      <c r="C37" s="127" t="str">
        <f ca="1">IF(Calc2!$K$13=0,"",Calc2!$AH9)</f>
        <v/>
      </c>
      <c r="D37" s="131" t="str">
        <f ca="1">IF($C37="","",VLOOKUP($C37,Calc2!$C$17:$AC$25,25,0))</f>
        <v/>
      </c>
      <c r="E37" s="114" t="str">
        <f ca="1">IF($C37="","",VLOOKUP($C37,Calc2!$C$17:$AC$25,26,0))</f>
        <v/>
      </c>
      <c r="F37" s="114" t="str">
        <f ca="1">IF($C37="","",VLOOKUP($C37,Calc2!$C$17:$AC$25,27,0))</f>
        <v/>
      </c>
      <c r="G37" s="448" t="str">
        <f ca="1">IF($C37="","",VLOOKUP(C37,PreliminaryRound!$AK$12:$AL$33,2,0))</f>
        <v/>
      </c>
      <c r="H37" s="139" t="str">
        <f ca="1">IFERROR(VLOOKUP($C37&amp;H$31,Calc2!$Z$64:$AB$207,3,0),"")</f>
        <v/>
      </c>
      <c r="I37" s="114" t="str">
        <f ca="1">IFERROR(VLOOKUP($C37&amp;I$31,Calc2!$Z$64:$AB$207,3,0),"")</f>
        <v/>
      </c>
      <c r="J37" s="114" t="str">
        <f ca="1">IFERROR(VLOOKUP($C37&amp;J$31,Calc2!$Z$64:$AB$207,3,0),"")</f>
        <v/>
      </c>
      <c r="K37" s="114" t="str">
        <f ca="1">IFERROR(VLOOKUP($C37&amp;K$31,Calc2!$Z$64:$AB$207,3,0),"")</f>
        <v/>
      </c>
      <c r="L37" s="114" t="str">
        <f ca="1">IFERROR(VLOOKUP($C37&amp;L$31,Calc2!$Z$64:$AB$207,3,0),"")</f>
        <v/>
      </c>
      <c r="M37" s="551"/>
      <c r="N37" s="550" t="str">
        <f ca="1">IFERROR(VLOOKUP($C37&amp;N$31,Calc2!$Z$64:$AB$207,3,0),"")</f>
        <v/>
      </c>
      <c r="O37" s="550" t="str">
        <f ca="1">IFERROR(VLOOKUP($C37&amp;O$31,Calc2!$Z$64:$AB$207,3,0),"")</f>
        <v/>
      </c>
      <c r="P37" s="156" t="str">
        <f ca="1">IFERROR(VLOOKUP($C37&amp;P$31,Calc2!$Z$64:$AB$207,3,0),"")</f>
        <v/>
      </c>
      <c r="Q37" s="185" t="str">
        <f t="shared" ca="1" si="2"/>
        <v/>
      </c>
    </row>
    <row r="38" spans="2:17" ht="21.95" customHeight="1" x14ac:dyDescent="0.2">
      <c r="B38" s="117" t="str">
        <f ca="1">IF($C38="","",INDEX(Calc2!$E$4:$E$12,MATCH($C38,Calc2!$F$4:$F$12,0)))</f>
        <v/>
      </c>
      <c r="C38" s="127" t="str">
        <f ca="1">IF(Calc2!$K$13=0,"",Calc2!$AH10)</f>
        <v/>
      </c>
      <c r="D38" s="131" t="str">
        <f ca="1">IF($C38="","",VLOOKUP($C38,Calc2!$C$17:$AC$25,25,0))</f>
        <v/>
      </c>
      <c r="E38" s="114" t="str">
        <f ca="1">IF($C38="","",VLOOKUP($C38,Calc2!$C$17:$AC$25,26,0))</f>
        <v/>
      </c>
      <c r="F38" s="114" t="str">
        <f ca="1">IF($C38="","",VLOOKUP($C38,Calc2!$C$17:$AC$25,27,0))</f>
        <v/>
      </c>
      <c r="G38" s="448" t="str">
        <f ca="1">IF($C38="","",VLOOKUP(C38,PreliminaryRound!$AK$12:$AL$33,2,0))</f>
        <v/>
      </c>
      <c r="H38" s="139" t="str">
        <f ca="1">IFERROR(VLOOKUP($C38&amp;H$31,Calc2!$Z$64:$AB$207,3,0),"")</f>
        <v/>
      </c>
      <c r="I38" s="114" t="str">
        <f ca="1">IFERROR(VLOOKUP($C38&amp;I$31,Calc2!$Z$64:$AB$207,3,0),"")</f>
        <v/>
      </c>
      <c r="J38" s="114" t="str">
        <f ca="1">IFERROR(VLOOKUP($C38&amp;J$31,Calc2!$Z$64:$AB$207,3,0),"")</f>
        <v/>
      </c>
      <c r="K38" s="114" t="str">
        <f ca="1">IFERROR(VLOOKUP($C38&amp;K$31,Calc2!$Z$64:$AB$207,3,0),"")</f>
        <v/>
      </c>
      <c r="L38" s="114" t="str">
        <f ca="1">IFERROR(VLOOKUP($C38&amp;L$31,Calc2!$Z$64:$AB$207,3,0),"")</f>
        <v/>
      </c>
      <c r="M38" s="550" t="str">
        <f ca="1">IFERROR(VLOOKUP($C38&amp;M$31,Calc2!$Z$64:$AB$207,3,0),"")</f>
        <v/>
      </c>
      <c r="N38" s="551"/>
      <c r="O38" s="550" t="str">
        <f ca="1">IFERROR(VLOOKUP($C38&amp;O$31,Calc2!$Z$64:$AB$207,3,0),"")</f>
        <v/>
      </c>
      <c r="P38" s="156" t="str">
        <f ca="1">IFERROR(VLOOKUP($C38&amp;P$31,Calc2!$Z$64:$AB$207,3,0),"")</f>
        <v/>
      </c>
      <c r="Q38" s="185" t="str">
        <f t="shared" ca="1" si="2"/>
        <v/>
      </c>
    </row>
    <row r="39" spans="2:17" ht="21.95" customHeight="1" x14ac:dyDescent="0.2">
      <c r="B39" s="117" t="str">
        <f ca="1">IF($C39="","",INDEX(Calc2!$E$4:$E$12,MATCH($C39,Calc2!$F$4:$F$12,0)))</f>
        <v/>
      </c>
      <c r="C39" s="127" t="str">
        <f ca="1">IF(Calc2!$K$13=0,"",Calc2!$AH11)</f>
        <v/>
      </c>
      <c r="D39" s="131" t="str">
        <f ca="1">IF($C39="","",VLOOKUP($C39,Calc2!$C$17:$AC$25,25,0))</f>
        <v/>
      </c>
      <c r="E39" s="114" t="str">
        <f ca="1">IF($C39="","",VLOOKUP($C39,Calc2!$C$17:$AC$25,26,0))</f>
        <v/>
      </c>
      <c r="F39" s="114" t="str">
        <f ca="1">IF($C39="","",VLOOKUP($C39,Calc2!$C$17:$AC$25,27,0))</f>
        <v/>
      </c>
      <c r="G39" s="448" t="str">
        <f ca="1">IF($C39="","",VLOOKUP(C39,PreliminaryRound!$AK$12:$AL$33,2,0))</f>
        <v/>
      </c>
      <c r="H39" s="139" t="str">
        <f ca="1">IFERROR(VLOOKUP($C39&amp;H$31,Calc2!$Z$64:$AB$207,3,0),"")</f>
        <v/>
      </c>
      <c r="I39" s="114" t="str">
        <f ca="1">IFERROR(VLOOKUP($C39&amp;I$31,Calc2!$Z$64:$AB$207,3,0),"")</f>
        <v/>
      </c>
      <c r="J39" s="114" t="str">
        <f ca="1">IFERROR(VLOOKUP($C39&amp;J$31,Calc2!$Z$64:$AB$207,3,0),"")</f>
        <v/>
      </c>
      <c r="K39" s="114" t="str">
        <f ca="1">IFERROR(VLOOKUP($C39&amp;K$31,Calc2!$Z$64:$AB$207,3,0),"")</f>
        <v/>
      </c>
      <c r="L39" s="114" t="str">
        <f ca="1">IFERROR(VLOOKUP($C39&amp;L$31,Calc2!$Z$64:$AB$207,3,0),"")</f>
        <v/>
      </c>
      <c r="M39" s="550" t="str">
        <f ca="1">IFERROR(VLOOKUP($C39&amp;M$31,Calc2!$Z$64:$AB$207,3,0),"")</f>
        <v/>
      </c>
      <c r="N39" s="550" t="str">
        <f ca="1">IFERROR(VLOOKUP($C39&amp;N$31,Calc2!$Z$64:$AB$207,3,0),"")</f>
        <v/>
      </c>
      <c r="O39" s="551"/>
      <c r="P39" s="156" t="str">
        <f ca="1">IFERROR(VLOOKUP($C39&amp;P$31,Calc2!$Z$64:$AB$207,3,0),"")</f>
        <v/>
      </c>
      <c r="Q39" s="185" t="str">
        <f t="shared" ca="1" si="2"/>
        <v/>
      </c>
    </row>
    <row r="40" spans="2:17" ht="21.95" customHeight="1" thickBot="1" x14ac:dyDescent="0.25">
      <c r="B40" s="118" t="str">
        <f ca="1">IF($C40="","",INDEX(Calc2!$E$4:$E$12,MATCH($C40,Calc2!$F$4:$F$12,0)))</f>
        <v/>
      </c>
      <c r="C40" s="128" t="str">
        <f ca="1">IF(Calc2!$K$13=0,"",Calc2!$AH12)</f>
        <v/>
      </c>
      <c r="D40" s="132" t="str">
        <f ca="1">IF($C40="","",VLOOKUP($C40,Calc2!$C$17:$AC$25,25,0))</f>
        <v/>
      </c>
      <c r="E40" s="115" t="str">
        <f ca="1">IF($C40="","",VLOOKUP($C40,Calc2!$C$17:$AC$25,26,0))</f>
        <v/>
      </c>
      <c r="F40" s="115" t="str">
        <f ca="1">IF($C40="","",VLOOKUP($C40,Calc2!$C$17:$AC$25,27,0))</f>
        <v/>
      </c>
      <c r="G40" s="449" t="str">
        <f ca="1">IF($C40="","",VLOOKUP(C40,PreliminaryRound!$AK$12:$AL$33,2,0))</f>
        <v/>
      </c>
      <c r="H40" s="140" t="str">
        <f ca="1">IFERROR(VLOOKUP($C40&amp;H$31,Calc2!$Z$64:$AB$207,3,0),"")</f>
        <v/>
      </c>
      <c r="I40" s="115" t="str">
        <f ca="1">IFERROR(VLOOKUP($C40&amp;I$31,Calc2!$Z$64:$AB$207,3,0),"")</f>
        <v/>
      </c>
      <c r="J40" s="115" t="str">
        <f ca="1">IFERROR(VLOOKUP($C40&amp;J$31,Calc2!$Z$64:$AB$207,3,0),"")</f>
        <v/>
      </c>
      <c r="K40" s="115" t="str">
        <f ca="1">IFERROR(VLOOKUP($C40&amp;K$31,Calc2!$Z$64:$AB$207,3,0),"")</f>
        <v/>
      </c>
      <c r="L40" s="115" t="str">
        <f ca="1">IFERROR(VLOOKUP($C40&amp;L$31,Calc2!$Z$64:$AB$207,3,0),"")</f>
        <v/>
      </c>
      <c r="M40" s="552" t="str">
        <f ca="1">IFERROR(VLOOKUP($C40&amp;M$31,Calc2!$Z$64:$AB$207,3,0),"")</f>
        <v/>
      </c>
      <c r="N40" s="552" t="str">
        <f ca="1">IFERROR(VLOOKUP($C40&amp;N$31,Calc2!$Z$64:$AB$207,3,0),"")</f>
        <v/>
      </c>
      <c r="O40" s="552" t="str">
        <f ca="1">IFERROR(VLOOKUP($C40&amp;O$31,Calc2!$Z$64:$AB$207,3,0),"")</f>
        <v/>
      </c>
      <c r="P40" s="157"/>
      <c r="Q40" s="186" t="str">
        <f t="shared" ca="1" si="2"/>
        <v/>
      </c>
    </row>
    <row r="41" spans="2:17" ht="42.75" customHeight="1" thickTop="1" thickBot="1" x14ac:dyDescent="0.25"/>
    <row r="42" spans="2:17" ht="21.95" customHeight="1" thickBot="1" x14ac:dyDescent="0.25">
      <c r="H42" s="554" t="str">
        <f ca="1">IF(LEN(H43)&gt;Settings!$C$17,LEFT(H43,Settings!$C$17)&amp;".",H43)</f>
        <v/>
      </c>
      <c r="I42" s="555" t="str">
        <f ca="1">IF(LEN(I43)&gt;Settings!$C$17,LEFT(I43,Settings!$C$17)&amp;".",I43)</f>
        <v/>
      </c>
      <c r="J42" s="555" t="str">
        <f ca="1">IF(LEN(J43)&gt;Settings!$C$17,LEFT(J43,Settings!$C$17)&amp;".",J43)</f>
        <v/>
      </c>
      <c r="K42" s="555" t="str">
        <f ca="1">IF(LEN(K43)&gt;Settings!$C$17,LEFT(K43,Settings!$C$17)&amp;".",K43)</f>
        <v/>
      </c>
      <c r="L42" s="555" t="str">
        <f ca="1">IF(LEN(L43)&gt;Settings!$C$17,LEFT(L43,Settings!$C$17)&amp;".",L43)</f>
        <v/>
      </c>
      <c r="M42" s="556" t="str">
        <f ca="1">IF(LEN(M43)&gt;Settings!$C$17,LEFT(M43,Settings!$C$17)&amp;".",M43)</f>
        <v/>
      </c>
      <c r="N42" s="556" t="str">
        <f ca="1">IF(LEN(N43)&gt;Settings!$C$17,LEFT(N43,Settings!$C$17)&amp;".",N43)</f>
        <v/>
      </c>
      <c r="O42" s="556" t="str">
        <f ca="1">IF(LEN(O43)&gt;Settings!$C$17,LEFT(O43,Settings!$C$17)&amp;".",O43)</f>
        <v/>
      </c>
      <c r="P42" s="557" t="str">
        <f ca="1">IF(LEN(P43)&gt;Settings!$C$17,LEFT(P43,Settings!$C$17)&amp;".",P43)</f>
        <v/>
      </c>
    </row>
    <row r="43" spans="2:17" ht="21.95" customHeight="1" thickTop="1" thickBot="1" x14ac:dyDescent="0.25">
      <c r="B43" s="119"/>
      <c r="C43" s="125" t="str">
        <f>Language!$E$10</f>
        <v>Participant or team</v>
      </c>
      <c r="D43" s="129" t="str">
        <f>Language!$E$27</f>
        <v>Pts</v>
      </c>
      <c r="E43" s="116" t="str">
        <f>Language!$E$26</f>
        <v>GD</v>
      </c>
      <c r="F43" s="116" t="str">
        <f>Language!$E$28</f>
        <v>GF</v>
      </c>
      <c r="G43" s="151" t="str">
        <f>Language!$E$49</f>
        <v>bonus</v>
      </c>
      <c r="H43" s="133" t="str">
        <f ca="1">C44</f>
        <v/>
      </c>
      <c r="I43" s="134" t="str">
        <f ca="1">C45</f>
        <v/>
      </c>
      <c r="J43" s="134" t="str">
        <f ca="1">C46</f>
        <v/>
      </c>
      <c r="K43" s="134" t="str">
        <f ca="1">C47</f>
        <v/>
      </c>
      <c r="L43" s="134" t="str">
        <f ca="1">C48</f>
        <v/>
      </c>
      <c r="M43" s="548" t="str">
        <f ca="1">C49</f>
        <v/>
      </c>
      <c r="N43" s="548" t="str">
        <f ca="1">C50</f>
        <v/>
      </c>
      <c r="O43" s="548" t="str">
        <f ca="1">C51</f>
        <v/>
      </c>
      <c r="P43" s="154" t="str">
        <f ca="1">C52</f>
        <v/>
      </c>
    </row>
    <row r="44" spans="2:17" ht="21.95" customHeight="1" x14ac:dyDescent="0.2">
      <c r="B44" s="117" t="str">
        <f ca="1">IF($C44="","",INDEX(Calc2!$E$4:$E$12,MATCH($C44,Calc2!$F$4:$F$12,0)))</f>
        <v/>
      </c>
      <c r="C44" s="126" t="str">
        <f ca="1">IF(Calc2!$K$13=0,"",Calc2!$AM4)</f>
        <v/>
      </c>
      <c r="D44" s="130" t="str">
        <f ca="1">IF($C44="","",VLOOKUP($C44,Calc2!$C$17:$AC$25,25,0))</f>
        <v/>
      </c>
      <c r="E44" s="113" t="str">
        <f ca="1">IF($C44="","",VLOOKUP($C44,Calc2!$C$17:$AC$25,26,0))</f>
        <v/>
      </c>
      <c r="F44" s="113" t="str">
        <f ca="1">IF($C44="","",VLOOKUP($C44,Calc2!$C$17:$AC$25,27,0))</f>
        <v/>
      </c>
      <c r="G44" s="447" t="str">
        <f ca="1">IF($C44="","",VLOOKUP(C44,PreliminaryRound!$AK$12:$AL$33,2,0))</f>
        <v/>
      </c>
      <c r="H44" s="138"/>
      <c r="I44" s="113" t="str">
        <f ca="1">IFERROR(VLOOKUP($C44&amp;I$43,Calc2!$Z$64:$AB$207,3,0),"")</f>
        <v/>
      </c>
      <c r="J44" s="113" t="str">
        <f ca="1">IFERROR(VLOOKUP($C44&amp;J$43,Calc2!$Z$64:$AB$207,3,0),"")</f>
        <v/>
      </c>
      <c r="K44" s="113" t="str">
        <f ca="1">IFERROR(VLOOKUP($C44&amp;K$43,Calc2!$Z$64:$AB$207,3,0),"")</f>
        <v/>
      </c>
      <c r="L44" s="113" t="str">
        <f ca="1">IFERROR(VLOOKUP($C44&amp;L$43,Calc2!$Z$64:$AB$207,3,0),"")</f>
        <v/>
      </c>
      <c r="M44" s="549" t="str">
        <f ca="1">IFERROR(VLOOKUP($C44&amp;M$43,Calc2!$Z$64:$AB$207,3,0),"")</f>
        <v/>
      </c>
      <c r="N44" s="549" t="str">
        <f ca="1">IFERROR(VLOOKUP($C44&amp;N$43,Calc2!$Z$64:$AB$207,3,0),"")</f>
        <v/>
      </c>
      <c r="O44" s="549" t="str">
        <f ca="1">IFERROR(VLOOKUP($C44&amp;O$43,Calc2!$Z$64:$AB$207,3,0),"")</f>
        <v/>
      </c>
      <c r="P44" s="155" t="str">
        <f ca="1">IFERROR(VLOOKUP($C44&amp;P$43,Calc2!$Z$64:$AB$207,3,0),"")</f>
        <v/>
      </c>
      <c r="Q44" s="184" t="str">
        <f t="shared" ref="Q44:Q52" ca="1" si="3">C44</f>
        <v/>
      </c>
    </row>
    <row r="45" spans="2:17" ht="21.95" customHeight="1" x14ac:dyDescent="0.2">
      <c r="B45" s="117" t="str">
        <f ca="1">IF($C45="","",INDEX(Calc2!$E$4:$E$12,MATCH($C45,Calc2!$F$4:$F$12,0)))</f>
        <v/>
      </c>
      <c r="C45" s="127" t="str">
        <f ca="1">IF(Calc2!$K$13=0,"",Calc2!$AM5)</f>
        <v/>
      </c>
      <c r="D45" s="131" t="str">
        <f ca="1">IF($C45="","",VLOOKUP($C45,Calc2!$C$17:$AC$25,25,0))</f>
        <v/>
      </c>
      <c r="E45" s="114" t="str">
        <f ca="1">IF($C45="","",VLOOKUP($C45,Calc2!$C$17:$AC$25,26,0))</f>
        <v/>
      </c>
      <c r="F45" s="114" t="str">
        <f ca="1">IF($C45="","",VLOOKUP($C45,Calc2!$C$17:$AC$25,27,0))</f>
        <v/>
      </c>
      <c r="G45" s="448" t="str">
        <f ca="1">IF($C45="","",VLOOKUP(C45,PreliminaryRound!$AK$12:$AL$33,2,0))</f>
        <v/>
      </c>
      <c r="H45" s="139" t="str">
        <f ca="1">IFERROR(VLOOKUP($C45&amp;H$43,Calc2!$Z$64:$AB$207,3,0),"")</f>
        <v/>
      </c>
      <c r="I45" s="124"/>
      <c r="J45" s="114" t="str">
        <f ca="1">IFERROR(VLOOKUP($C45&amp;J$43,Calc2!$Z$64:$AB$207,3,0),"")</f>
        <v/>
      </c>
      <c r="K45" s="114" t="str">
        <f ca="1">IFERROR(VLOOKUP($C45&amp;K$43,Calc2!$Z$64:$AB$207,3,0),"")</f>
        <v/>
      </c>
      <c r="L45" s="114" t="str">
        <f ca="1">IFERROR(VLOOKUP($C45&amp;L$43,Calc2!$Z$64:$AB$207,3,0),"")</f>
        <v/>
      </c>
      <c r="M45" s="550" t="str">
        <f ca="1">IFERROR(VLOOKUP($C45&amp;M$43,Calc2!$Z$64:$AB$207,3,0),"")</f>
        <v/>
      </c>
      <c r="N45" s="550" t="str">
        <f ca="1">IFERROR(VLOOKUP($C45&amp;N$43,Calc2!$Z$64:$AB$207,3,0),"")</f>
        <v/>
      </c>
      <c r="O45" s="550" t="str">
        <f ca="1">IFERROR(VLOOKUP($C45&amp;O$43,Calc2!$Z$64:$AB$207,3,0),"")</f>
        <v/>
      </c>
      <c r="P45" s="156" t="str">
        <f ca="1">IFERROR(VLOOKUP($C45&amp;P$43,Calc2!$Z$64:$AB$207,3,0),"")</f>
        <v/>
      </c>
      <c r="Q45" s="185" t="str">
        <f t="shared" ca="1" si="3"/>
        <v/>
      </c>
    </row>
    <row r="46" spans="2:17" ht="21.95" customHeight="1" x14ac:dyDescent="0.2">
      <c r="B46" s="117" t="str">
        <f ca="1">IF($C46="","",INDEX(Calc2!$E$4:$E$12,MATCH($C46,Calc2!$F$4:$F$12,0)))</f>
        <v/>
      </c>
      <c r="C46" s="127" t="str">
        <f ca="1">IF(Calc2!$K$13=0,"",Calc2!$AM6)</f>
        <v/>
      </c>
      <c r="D46" s="131" t="str">
        <f ca="1">IF($C46="","",VLOOKUP($C46,Calc2!$C$17:$AC$25,25,0))</f>
        <v/>
      </c>
      <c r="E46" s="114" t="str">
        <f ca="1">IF($C46="","",VLOOKUP($C46,Calc2!$C$17:$AC$25,26,0))</f>
        <v/>
      </c>
      <c r="F46" s="114" t="str">
        <f ca="1">IF($C46="","",VLOOKUP($C46,Calc2!$C$17:$AC$25,27,0))</f>
        <v/>
      </c>
      <c r="G46" s="448" t="str">
        <f ca="1">IF($C46="","",VLOOKUP(C46,PreliminaryRound!$AK$12:$AL$33,2,0))</f>
        <v/>
      </c>
      <c r="H46" s="139" t="str">
        <f ca="1">IFERROR(VLOOKUP($C46&amp;H$43,Calc2!$Z$64:$AB$207,3,0),"")</f>
        <v/>
      </c>
      <c r="I46" s="114" t="str">
        <f ca="1">IFERROR(VLOOKUP($C46&amp;I$43,Calc2!$Z$64:$AB$207,3,0),"")</f>
        <v/>
      </c>
      <c r="J46" s="124"/>
      <c r="K46" s="114" t="str">
        <f ca="1">IFERROR(VLOOKUP($C46&amp;K$43,Calc2!$Z$64:$AB$207,3,0),"")</f>
        <v/>
      </c>
      <c r="L46" s="114" t="str">
        <f ca="1">IFERROR(VLOOKUP($C46&amp;L$43,Calc2!$Z$64:$AB$207,3,0),"")</f>
        <v/>
      </c>
      <c r="M46" s="550" t="str">
        <f ca="1">IFERROR(VLOOKUP($C46&amp;M$43,Calc2!$Z$64:$AB$207,3,0),"")</f>
        <v/>
      </c>
      <c r="N46" s="550" t="str">
        <f ca="1">IFERROR(VLOOKUP($C46&amp;N$43,Calc2!$Z$64:$AB$207,3,0),"")</f>
        <v/>
      </c>
      <c r="O46" s="550" t="str">
        <f ca="1">IFERROR(VLOOKUP($C46&amp;O$43,Calc2!$Z$64:$AB$207,3,0),"")</f>
        <v/>
      </c>
      <c r="P46" s="156" t="str">
        <f ca="1">IFERROR(VLOOKUP($C46&amp;P$43,Calc2!$Z$64:$AB$207,3,0),"")</f>
        <v/>
      </c>
      <c r="Q46" s="185" t="str">
        <f t="shared" ca="1" si="3"/>
        <v/>
      </c>
    </row>
    <row r="47" spans="2:17" ht="21.95" customHeight="1" x14ac:dyDescent="0.2">
      <c r="B47" s="117" t="str">
        <f ca="1">IF($C47="","",INDEX(Calc2!$E$4:$E$12,MATCH($C47,Calc2!$F$4:$F$12,0)))</f>
        <v/>
      </c>
      <c r="C47" s="127" t="str">
        <f ca="1">IF(Calc2!$K$13=0,"",Calc2!$AM7)</f>
        <v/>
      </c>
      <c r="D47" s="131" t="str">
        <f ca="1">IF($C47="","",VLOOKUP($C47,Calc2!$C$17:$AC$25,25,0))</f>
        <v/>
      </c>
      <c r="E47" s="114" t="str">
        <f ca="1">IF($C47="","",VLOOKUP($C47,Calc2!$C$17:$AC$25,26,0))</f>
        <v/>
      </c>
      <c r="F47" s="114" t="str">
        <f ca="1">IF($C47="","",VLOOKUP($C47,Calc2!$C$17:$AC$25,27,0))</f>
        <v/>
      </c>
      <c r="G47" s="448" t="str">
        <f ca="1">IF($C47="","",VLOOKUP(C47,PreliminaryRound!$AK$12:$AL$33,2,0))</f>
        <v/>
      </c>
      <c r="H47" s="139" t="str">
        <f ca="1">IFERROR(VLOOKUP($C47&amp;H$43,Calc2!$Z$64:$AB$207,3,0),"")</f>
        <v/>
      </c>
      <c r="I47" s="114" t="str">
        <f ca="1">IFERROR(VLOOKUP($C47&amp;I$43,Calc2!$Z$64:$AB$207,3,0),"")</f>
        <v/>
      </c>
      <c r="J47" s="114" t="str">
        <f ca="1">IFERROR(VLOOKUP($C47&amp;J$43,Calc2!$Z$64:$AB$207,3,0),"")</f>
        <v/>
      </c>
      <c r="K47" s="124"/>
      <c r="L47" s="114" t="str">
        <f ca="1">IFERROR(VLOOKUP($C47&amp;L$43,Calc2!$Z$64:$AB$207,3,0),"")</f>
        <v/>
      </c>
      <c r="M47" s="550" t="str">
        <f ca="1">IFERROR(VLOOKUP($C47&amp;M$43,Calc2!$Z$64:$AB$207,3,0),"")</f>
        <v/>
      </c>
      <c r="N47" s="550" t="str">
        <f ca="1">IFERROR(VLOOKUP($C47&amp;N$43,Calc2!$Z$64:$AB$207,3,0),"")</f>
        <v/>
      </c>
      <c r="O47" s="550" t="str">
        <f ca="1">IFERROR(VLOOKUP($C47&amp;O$43,Calc2!$Z$64:$AB$207,3,0),"")</f>
        <v/>
      </c>
      <c r="P47" s="156" t="str">
        <f ca="1">IFERROR(VLOOKUP($C47&amp;P$43,Calc2!$Z$64:$AB$207,3,0),"")</f>
        <v/>
      </c>
      <c r="Q47" s="185" t="str">
        <f t="shared" ca="1" si="3"/>
        <v/>
      </c>
    </row>
    <row r="48" spans="2:17" ht="21.95" customHeight="1" x14ac:dyDescent="0.2">
      <c r="B48" s="117" t="str">
        <f ca="1">IF($C48="","",INDEX(Calc2!$E$4:$E$12,MATCH($C48,Calc2!$F$4:$F$12,0)))</f>
        <v/>
      </c>
      <c r="C48" s="127" t="str">
        <f ca="1">IF(Calc2!$K$13=0,"",Calc2!$AM8)</f>
        <v/>
      </c>
      <c r="D48" s="131" t="str">
        <f ca="1">IF($C48="","",VLOOKUP($C48,Calc2!$C$17:$AC$25,25,0))</f>
        <v/>
      </c>
      <c r="E48" s="114" t="str">
        <f ca="1">IF($C48="","",VLOOKUP($C48,Calc2!$C$17:$AC$25,26,0))</f>
        <v/>
      </c>
      <c r="F48" s="114" t="str">
        <f ca="1">IF($C48="","",VLOOKUP($C48,Calc2!$C$17:$AC$25,27,0))</f>
        <v/>
      </c>
      <c r="G48" s="448" t="str">
        <f ca="1">IF($C48="","",VLOOKUP(C48,PreliminaryRound!$AK$12:$AL$33,2,0))</f>
        <v/>
      </c>
      <c r="H48" s="139" t="str">
        <f ca="1">IFERROR(VLOOKUP($C48&amp;H$43,Calc2!$Z$64:$AB$207,3,0),"")</f>
        <v/>
      </c>
      <c r="I48" s="114" t="str">
        <f ca="1">IFERROR(VLOOKUP($C48&amp;I$43,Calc2!$Z$64:$AB$207,3,0),"")</f>
        <v/>
      </c>
      <c r="J48" s="114" t="str">
        <f ca="1">IFERROR(VLOOKUP($C48&amp;J$43,Calc2!$Z$64:$AB$207,3,0),"")</f>
        <v/>
      </c>
      <c r="K48" s="114" t="str">
        <f ca="1">IFERROR(VLOOKUP($C48&amp;K$43,Calc2!$Z$64:$AB$207,3,0),"")</f>
        <v/>
      </c>
      <c r="L48" s="124"/>
      <c r="M48" s="550" t="str">
        <f ca="1">IFERROR(VLOOKUP($C48&amp;M$43,Calc2!$Z$64:$AB$207,3,0),"")</f>
        <v/>
      </c>
      <c r="N48" s="550" t="str">
        <f ca="1">IFERROR(VLOOKUP($C48&amp;N$43,Calc2!$Z$64:$AB$207,3,0),"")</f>
        <v/>
      </c>
      <c r="O48" s="550" t="str">
        <f ca="1">IFERROR(VLOOKUP($C48&amp;O$43,Calc2!$Z$64:$AB$207,3,0),"")</f>
        <v/>
      </c>
      <c r="P48" s="156" t="str">
        <f ca="1">IFERROR(VLOOKUP($C48&amp;P$43,Calc2!$Z$64:$AB$207,3,0),"")</f>
        <v/>
      </c>
      <c r="Q48" s="185" t="str">
        <f t="shared" ca="1" si="3"/>
        <v/>
      </c>
    </row>
    <row r="49" spans="2:17" ht="21.95" customHeight="1" x14ac:dyDescent="0.2">
      <c r="B49" s="117" t="str">
        <f ca="1">IF($C49="","",INDEX(Calc2!$E$4:$E$12,MATCH($C49,Calc2!$F$4:$F$12,0)))</f>
        <v/>
      </c>
      <c r="C49" s="127" t="str">
        <f ca="1">IF(Calc2!$K$13=0,"",Calc2!$AM9)</f>
        <v/>
      </c>
      <c r="D49" s="131" t="str">
        <f ca="1">IF($C49="","",VLOOKUP($C49,Calc2!$C$17:$AC$25,25,0))</f>
        <v/>
      </c>
      <c r="E49" s="114" t="str">
        <f ca="1">IF($C49="","",VLOOKUP($C49,Calc2!$C$17:$AC$25,26,0))</f>
        <v/>
      </c>
      <c r="F49" s="114" t="str">
        <f ca="1">IF($C49="","",VLOOKUP($C49,Calc2!$C$17:$AC$25,27,0))</f>
        <v/>
      </c>
      <c r="G49" s="448" t="str">
        <f ca="1">IF($C49="","",VLOOKUP(C49,PreliminaryRound!$AK$12:$AL$33,2,0))</f>
        <v/>
      </c>
      <c r="H49" s="139" t="str">
        <f ca="1">IFERROR(VLOOKUP($C49&amp;H$43,Calc2!$Z$64:$AB$207,3,0),"")</f>
        <v/>
      </c>
      <c r="I49" s="114" t="str">
        <f ca="1">IFERROR(VLOOKUP($C49&amp;I$43,Calc2!$Z$64:$AB$207,3,0),"")</f>
        <v/>
      </c>
      <c r="J49" s="114" t="str">
        <f ca="1">IFERROR(VLOOKUP($C49&amp;J$43,Calc2!$Z$64:$AB$207,3,0),"")</f>
        <v/>
      </c>
      <c r="K49" s="114" t="str">
        <f ca="1">IFERROR(VLOOKUP($C49&amp;K$43,Calc2!$Z$64:$AB$207,3,0),"")</f>
        <v/>
      </c>
      <c r="L49" s="114" t="str">
        <f ca="1">IFERROR(VLOOKUP($C49&amp;L$43,Calc2!$Z$64:$AB$207,3,0),"")</f>
        <v/>
      </c>
      <c r="M49" s="551"/>
      <c r="N49" s="550" t="str">
        <f ca="1">IFERROR(VLOOKUP($C49&amp;N$43,Calc2!$Z$64:$AB$207,3,0),"")</f>
        <v/>
      </c>
      <c r="O49" s="550" t="str">
        <f ca="1">IFERROR(VLOOKUP($C49&amp;O$43,Calc2!$Z$64:$AB$207,3,0),"")</f>
        <v/>
      </c>
      <c r="P49" s="156" t="str">
        <f ca="1">IFERROR(VLOOKUP($C49&amp;P$43,Calc2!$Z$64:$AB$207,3,0),"")</f>
        <v/>
      </c>
      <c r="Q49" s="185" t="str">
        <f t="shared" ca="1" si="3"/>
        <v/>
      </c>
    </row>
    <row r="50" spans="2:17" ht="21.95" customHeight="1" x14ac:dyDescent="0.2">
      <c r="B50" s="117" t="str">
        <f ca="1">IF($C50="","",INDEX(Calc2!$E$4:$E$12,MATCH($C50,Calc2!$F$4:$F$12,0)))</f>
        <v/>
      </c>
      <c r="C50" s="127" t="str">
        <f ca="1">IF(Calc2!$K$13=0,"",Calc2!$AM10)</f>
        <v/>
      </c>
      <c r="D50" s="131" t="str">
        <f ca="1">IF($C50="","",VLOOKUP($C50,Calc2!$C$17:$AC$25,25,0))</f>
        <v/>
      </c>
      <c r="E50" s="114" t="str">
        <f ca="1">IF($C50="","",VLOOKUP($C50,Calc2!$C$17:$AC$25,26,0))</f>
        <v/>
      </c>
      <c r="F50" s="114" t="str">
        <f ca="1">IF($C50="","",VLOOKUP($C50,Calc2!$C$17:$AC$25,27,0))</f>
        <v/>
      </c>
      <c r="G50" s="448" t="str">
        <f ca="1">IF($C50="","",VLOOKUP(C50,PreliminaryRound!$AK$12:$AL$33,2,0))</f>
        <v/>
      </c>
      <c r="H50" s="139" t="str">
        <f ca="1">IFERROR(VLOOKUP($C50&amp;H$43,Calc2!$Z$64:$AB$207,3,0),"")</f>
        <v/>
      </c>
      <c r="I50" s="114" t="str">
        <f ca="1">IFERROR(VLOOKUP($C50&amp;I$43,Calc2!$Z$64:$AB$207,3,0),"")</f>
        <v/>
      </c>
      <c r="J50" s="114" t="str">
        <f ca="1">IFERROR(VLOOKUP($C50&amp;J$43,Calc2!$Z$64:$AB$207,3,0),"")</f>
        <v/>
      </c>
      <c r="K50" s="114" t="str">
        <f ca="1">IFERROR(VLOOKUP($C50&amp;K$43,Calc2!$Z$64:$AB$207,3,0),"")</f>
        <v/>
      </c>
      <c r="L50" s="114" t="str">
        <f ca="1">IFERROR(VLOOKUP($C50&amp;L$43,Calc2!$Z$64:$AB$207,3,0),"")</f>
        <v/>
      </c>
      <c r="M50" s="550" t="str">
        <f ca="1">IFERROR(VLOOKUP($C50&amp;M$43,Calc2!$Z$64:$AB$207,3,0),"")</f>
        <v/>
      </c>
      <c r="N50" s="551"/>
      <c r="O50" s="550" t="str">
        <f ca="1">IFERROR(VLOOKUP($C50&amp;O$43,Calc2!$Z$64:$AB$207,3,0),"")</f>
        <v/>
      </c>
      <c r="P50" s="156" t="str">
        <f ca="1">IFERROR(VLOOKUP($C50&amp;P$43,Calc2!$Z$64:$AB$207,3,0),"")</f>
        <v/>
      </c>
      <c r="Q50" s="185" t="str">
        <f t="shared" ca="1" si="3"/>
        <v/>
      </c>
    </row>
    <row r="51" spans="2:17" ht="21.95" customHeight="1" x14ac:dyDescent="0.2">
      <c r="B51" s="117" t="str">
        <f ca="1">IF($C51="","",INDEX(Calc2!$E$4:$E$12,MATCH($C51,Calc2!$F$4:$F$12,0)))</f>
        <v/>
      </c>
      <c r="C51" s="127" t="str">
        <f ca="1">IF(Calc2!$K$13=0,"",Calc2!$AM11)</f>
        <v/>
      </c>
      <c r="D51" s="131" t="str">
        <f ca="1">IF($C51="","",VLOOKUP($C51,Calc2!$C$17:$AC$25,25,0))</f>
        <v/>
      </c>
      <c r="E51" s="114" t="str">
        <f ca="1">IF($C51="","",VLOOKUP($C51,Calc2!$C$17:$AC$25,26,0))</f>
        <v/>
      </c>
      <c r="F51" s="114" t="str">
        <f ca="1">IF($C51="","",VLOOKUP($C51,Calc2!$C$17:$AC$25,27,0))</f>
        <v/>
      </c>
      <c r="G51" s="448" t="str">
        <f ca="1">IF($C51="","",VLOOKUP(C51,PreliminaryRound!$AK$12:$AL$33,2,0))</f>
        <v/>
      </c>
      <c r="H51" s="139" t="str">
        <f ca="1">IFERROR(VLOOKUP($C51&amp;H$43,Calc2!$Z$64:$AB$207,3,0),"")</f>
        <v/>
      </c>
      <c r="I51" s="114" t="str">
        <f ca="1">IFERROR(VLOOKUP($C51&amp;I$43,Calc2!$Z$64:$AB$207,3,0),"")</f>
        <v/>
      </c>
      <c r="J51" s="114" t="str">
        <f ca="1">IFERROR(VLOOKUP($C51&amp;J$43,Calc2!$Z$64:$AB$207,3,0),"")</f>
        <v/>
      </c>
      <c r="K51" s="114" t="str">
        <f ca="1">IFERROR(VLOOKUP($C51&amp;K$43,Calc2!$Z$64:$AB$207,3,0),"")</f>
        <v/>
      </c>
      <c r="L51" s="114" t="str">
        <f ca="1">IFERROR(VLOOKUP($C51&amp;L$43,Calc2!$Z$64:$AB$207,3,0),"")</f>
        <v/>
      </c>
      <c r="M51" s="550" t="str">
        <f ca="1">IFERROR(VLOOKUP($C51&amp;M$43,Calc2!$Z$64:$AB$207,3,0),"")</f>
        <v/>
      </c>
      <c r="N51" s="550" t="str">
        <f ca="1">IFERROR(VLOOKUP($C51&amp;N$43,Calc2!$Z$64:$AB$207,3,0),"")</f>
        <v/>
      </c>
      <c r="O51" s="551"/>
      <c r="P51" s="156" t="str">
        <f ca="1">IFERROR(VLOOKUP($C51&amp;P$43,Calc2!$Z$64:$AB$207,3,0),"")</f>
        <v/>
      </c>
      <c r="Q51" s="185" t="str">
        <f t="shared" ca="1" si="3"/>
        <v/>
      </c>
    </row>
    <row r="52" spans="2:17" ht="21.95" customHeight="1" thickBot="1" x14ac:dyDescent="0.25">
      <c r="B52" s="118" t="str">
        <f ca="1">IF($C52="","",INDEX(Calc2!$E$4:$E$12,MATCH($C52,Calc2!$F$4:$F$12,0)))</f>
        <v/>
      </c>
      <c r="C52" s="128" t="str">
        <f ca="1">IF(Calc2!$K$13=0,"",Calc2!$AM12)</f>
        <v/>
      </c>
      <c r="D52" s="132" t="str">
        <f ca="1">IF($C52="","",VLOOKUP($C52,Calc2!$C$17:$AC$25,25,0))</f>
        <v/>
      </c>
      <c r="E52" s="115" t="str">
        <f ca="1">IF($C52="","",VLOOKUP($C52,Calc2!$C$17:$AC$25,26,0))</f>
        <v/>
      </c>
      <c r="F52" s="115" t="str">
        <f ca="1">IF($C52="","",VLOOKUP($C52,Calc2!$C$17:$AC$25,27,0))</f>
        <v/>
      </c>
      <c r="G52" s="449" t="str">
        <f ca="1">IF($C52="","",VLOOKUP(C52,PreliminaryRound!$AK$12:$AL$33,2,0))</f>
        <v/>
      </c>
      <c r="H52" s="140" t="str">
        <f ca="1">IFERROR(VLOOKUP($C52&amp;H$43,Calc2!$Z$64:$AB$207,3,0),"")</f>
        <v/>
      </c>
      <c r="I52" s="115" t="str">
        <f ca="1">IFERROR(VLOOKUP($C52&amp;I$43,Calc2!$Z$64:$AB$207,3,0),"")</f>
        <v/>
      </c>
      <c r="J52" s="115" t="str">
        <f ca="1">IFERROR(VLOOKUP($C52&amp;J$43,Calc2!$Z$64:$AB$207,3,0),"")</f>
        <v/>
      </c>
      <c r="K52" s="115" t="str">
        <f ca="1">IFERROR(VLOOKUP($C52&amp;K$43,Calc2!$Z$64:$AB$207,3,0),"")</f>
        <v/>
      </c>
      <c r="L52" s="115" t="str">
        <f ca="1">IFERROR(VLOOKUP($C52&amp;L$43,Calc2!$Z$64:$AB$207,3,0),"")</f>
        <v/>
      </c>
      <c r="M52" s="552" t="str">
        <f ca="1">IFERROR(VLOOKUP($C52&amp;M$43,Calc2!$Z$64:$AB$207,3,0),"")</f>
        <v/>
      </c>
      <c r="N52" s="552" t="str">
        <f ca="1">IFERROR(VLOOKUP($C52&amp;N$43,Calc2!$Z$64:$AB$207,3,0),"")</f>
        <v/>
      </c>
      <c r="O52" s="552" t="str">
        <f ca="1">IFERROR(VLOOKUP($C52&amp;O$43,Calc2!$Z$64:$AB$207,3,0),"")</f>
        <v/>
      </c>
      <c r="P52" s="157"/>
      <c r="Q52" s="186" t="str">
        <f t="shared" ca="1" si="3"/>
        <v/>
      </c>
    </row>
    <row r="53" spans="2:17" ht="48" customHeight="1" thickTop="1" x14ac:dyDescent="0.2"/>
  </sheetData>
  <sheetProtection sheet="1" selectLockedCells="1"/>
  <mergeCells count="3">
    <mergeCell ref="B2:P2"/>
    <mergeCell ref="B3:P3"/>
    <mergeCell ref="B4:P4"/>
  </mergeCells>
  <conditionalFormatting sqref="B8:Q16 B20:Q28 B32:Q40 B44:Q52">
    <cfRule type="expression" dxfId="21"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1B5-580E-4DFD-BA91-40D6C13B68D6}">
  <dimension ref="A1:V54"/>
  <sheetViews>
    <sheetView showGridLines="0" showRowColHeaders="0" zoomScaleNormal="10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9.28515625" style="49" hidden="1" customWidth="1"/>
    <col min="20" max="20" width="21" style="49" hidden="1" customWidth="1"/>
    <col min="21" max="21" width="21.85546875" style="49" hidden="1" customWidth="1"/>
    <col min="22" max="22" width="9.5703125" style="49" hidden="1" customWidth="1"/>
    <col min="23" max="16384" width="11.42578125" style="49" hidden="1"/>
  </cols>
  <sheetData>
    <row r="1" spans="2:22" ht="13.5" thickBot="1" x14ac:dyDescent="0.25"/>
    <row r="2" spans="2:22" ht="36" customHeight="1" thickTop="1" x14ac:dyDescent="0.2">
      <c r="E2" s="711" t="str">
        <f>PreliminaryRound!$G$2</f>
        <v>International tournament U10 on Jun. 6th, 2025</v>
      </c>
      <c r="F2" s="712"/>
      <c r="G2" s="712"/>
      <c r="H2" s="712"/>
      <c r="I2" s="712"/>
      <c r="J2" s="712"/>
      <c r="K2" s="712"/>
      <c r="L2" s="712"/>
      <c r="M2" s="712"/>
      <c r="N2" s="712"/>
      <c r="O2" s="712"/>
      <c r="P2" s="713"/>
    </row>
    <row r="3" spans="2:22" ht="30" customHeight="1" x14ac:dyDescent="0.2">
      <c r="E3" s="714" t="str">
        <f>PreliminaryRound!$G$3</f>
        <v>Organizer:  1. FC Riedwald</v>
      </c>
      <c r="F3" s="715"/>
      <c r="G3" s="715"/>
      <c r="H3" s="715"/>
      <c r="I3" s="715"/>
      <c r="J3" s="715"/>
      <c r="K3" s="715"/>
      <c r="L3" s="715"/>
      <c r="M3" s="715"/>
      <c r="N3" s="715"/>
      <c r="O3" s="715"/>
      <c r="P3" s="716"/>
    </row>
    <row r="4" spans="2:22" ht="30" customHeight="1" x14ac:dyDescent="0.2">
      <c r="E4" s="717" t="str">
        <f>PreliminaryRound!$G$4</f>
        <v>Sports hall Wiesengrund, Wendiger Str. 51, 65432 Riedwald</v>
      </c>
      <c r="F4" s="718"/>
      <c r="G4" s="718"/>
      <c r="H4" s="718"/>
      <c r="I4" s="718"/>
      <c r="J4" s="718"/>
      <c r="K4" s="718"/>
      <c r="L4" s="718"/>
      <c r="M4" s="718"/>
      <c r="N4" s="718"/>
      <c r="O4" s="718"/>
      <c r="P4" s="719"/>
    </row>
    <row r="5" spans="2:22" ht="30" customHeight="1" thickBot="1" x14ac:dyDescent="0.25">
      <c r="E5" s="720" t="str">
        <f>PreliminaryRound!$G$5</f>
        <v>Start:  9:00 Uhr</v>
      </c>
      <c r="F5" s="721"/>
      <c r="G5" s="721"/>
      <c r="H5" s="721"/>
      <c r="I5" s="721"/>
      <c r="J5" s="721"/>
      <c r="K5" s="721"/>
      <c r="L5" s="721"/>
      <c r="M5" s="721"/>
      <c r="N5" s="721"/>
      <c r="O5" s="721"/>
      <c r="P5" s="722"/>
    </row>
    <row r="6" spans="2:22" ht="18" customHeight="1" thickTop="1" thickBot="1" x14ac:dyDescent="0.25"/>
    <row r="7" spans="2:22" ht="30" customHeight="1" thickTop="1" x14ac:dyDescent="0.2">
      <c r="G7" s="733" t="str">
        <f>Language!$E$19</f>
        <v>Final round</v>
      </c>
      <c r="H7" s="734"/>
      <c r="I7" s="735"/>
    </row>
    <row r="8" spans="2:22" ht="30" customHeight="1" thickBot="1" x14ac:dyDescent="0.25">
      <c r="G8" s="736"/>
      <c r="H8" s="737"/>
      <c r="I8" s="738"/>
    </row>
    <row r="9" spans="2:22" ht="12.6" customHeight="1" thickTop="1" x14ac:dyDescent="0.2">
      <c r="P9" s="659" t="str">
        <f>Language!$E$20</f>
        <v>Addit. Pause (min)</v>
      </c>
    </row>
    <row r="10" spans="2:22" ht="27.95" customHeight="1" thickBot="1" x14ac:dyDescent="0.35">
      <c r="C10" s="710" t="str">
        <f>Language!$E$62&amp;IF(MIN(Calc1!$F$13,Calc2!$F$13)*2&lt;6,""," 9 - "&amp;MIN(Calc1!$F$13,Calc2!$F$13)*2)</f>
        <v>Games for places  9 - 16</v>
      </c>
      <c r="D10" s="710"/>
      <c r="E10" s="710"/>
      <c r="F10" s="710"/>
      <c r="P10" s="659"/>
    </row>
    <row r="11" spans="2:22" ht="24" customHeight="1" thickTop="1" thickBot="1" x14ac:dyDescent="0.25">
      <c r="B11" s="348"/>
      <c r="C11" s="386" t="str">
        <f>Language!$E$9</f>
        <v>No.</v>
      </c>
      <c r="D11" s="344" t="str">
        <f>Language!$E$39</f>
        <v>Start</v>
      </c>
      <c r="E11" s="635" t="str">
        <f>Language!$E$48</f>
        <v>Field</v>
      </c>
      <c r="F11" s="635"/>
      <c r="G11" s="679" t="str">
        <f>Language!$E$14</f>
        <v>Match pairing</v>
      </c>
      <c r="H11" s="679"/>
      <c r="I11" s="679"/>
      <c r="J11" s="679" t="str">
        <f>Language!$E$15</f>
        <v>Result</v>
      </c>
      <c r="K11" s="679"/>
      <c r="L11" s="679"/>
      <c r="M11" s="679" t="str">
        <f>Language!$E$70</f>
        <v>Penalty</v>
      </c>
      <c r="N11" s="679"/>
      <c r="O11" s="680"/>
      <c r="P11" s="660"/>
      <c r="S11" s="600" t="s">
        <v>16</v>
      </c>
      <c r="T11" s="601" t="s">
        <v>365</v>
      </c>
      <c r="U11" s="601" t="s">
        <v>367</v>
      </c>
      <c r="V11" s="600" t="s">
        <v>366</v>
      </c>
    </row>
    <row r="12" spans="2:22" s="317" customFormat="1" ht="24" customHeight="1" x14ac:dyDescent="0.2">
      <c r="B12" s="377"/>
      <c r="C12" s="385">
        <f t="array" aca="1" ref="C12" ca="1">73-SUM(((Planning!$L$6:$L$77="")+(Planning!$N$6:$N$77="")&gt;0)*1)</f>
        <v>57</v>
      </c>
      <c r="D12" s="345">
        <f ca="1">IF(Planning!$U$16,"",Planning!$R$13+(Planning!$R$9+Planning!$P$77)/1440)</f>
        <v>0.71527777777777779</v>
      </c>
      <c r="E12" s="594">
        <f>IF(Planning!$U$16,"",1)</f>
        <v>1</v>
      </c>
      <c r="F12" s="595" t="s">
        <v>343</v>
      </c>
      <c r="G12" s="330" t="str">
        <f ca="1">PreliminaryRound!$N$20</f>
        <v/>
      </c>
      <c r="H12" s="331" t="s">
        <v>5</v>
      </c>
      <c r="I12" s="332" t="str">
        <f ca="1">PreliminaryRound!$N$33</f>
        <v/>
      </c>
      <c r="J12" s="334"/>
      <c r="K12" s="338" t="str">
        <f>Language!$E$80</f>
        <v>-</v>
      </c>
      <c r="L12" s="598"/>
      <c r="M12" s="334"/>
      <c r="N12" s="338" t="str">
        <f>Language!$E$80</f>
        <v>-</v>
      </c>
      <c r="O12" s="335"/>
      <c r="P12" s="341"/>
      <c r="S12" s="317" t="b">
        <f ca="1">AND($G12&lt;&gt;"",$I12&lt;&gt;"",$J12&lt;&gt;"",$L12&lt;&gt;"")</f>
        <v>0</v>
      </c>
      <c r="T12" s="317" t="str">
        <f ca="1">IF(NOT(S12),"",IF($J12&gt;$L12,$G12,IF($J12&lt;$L12,$I12,IF(OR($M12="",$O12="",$M12=$O12),"",IF($M12&gt;$O12,$G12,$I12)))))</f>
        <v/>
      </c>
      <c r="U12" s="317" t="str">
        <f ca="1">IF(NOT(S12),"",IF($J12&lt;$L12,$G12,IF($J12&gt;$L12,$I12,IF(OR($M12="",$O12="",$M12=$O12),"",IF($M12&lt;$O12,$G12,$I12)))))</f>
        <v/>
      </c>
      <c r="V12" s="317" t="b">
        <f ca="1">AND(S12,$J12=$L12)</f>
        <v>0</v>
      </c>
    </row>
    <row r="13" spans="2:22" s="317" customFormat="1" ht="24" customHeight="1" x14ac:dyDescent="0.2">
      <c r="B13" s="377"/>
      <c r="C13" s="385">
        <f t="array" aca="1" ref="C13" ca="1">$C$12+ROW(A1)-SUM((($G$12:$G12="")+($I$12:$I12="")&gt;0)*1)</f>
        <v>57</v>
      </c>
      <c r="D13" s="346">
        <f ca="1">IF(Planning!$U$16,"",$D$12+QUOTIENT(($C13-$C$12),Planning!$U$18)*(Planning!$R$7+Planning!$R$9)/1440+SUM($P$12:$P12)/1440)</f>
        <v>0.71527777777777779</v>
      </c>
      <c r="E13" s="340">
        <f ca="1">IF(Planning!$U$16,"",MOD($C13-$C$12,Planning!$U$18)+1)</f>
        <v>1</v>
      </c>
      <c r="F13" s="327" t="s">
        <v>344</v>
      </c>
      <c r="G13" s="323" t="str">
        <f ca="1">PreliminaryRound!$N$19</f>
        <v>1. FC Riedwald</v>
      </c>
      <c r="H13" s="152" t="s">
        <v>5</v>
      </c>
      <c r="I13" s="325" t="str">
        <f ca="1">PreliminaryRound!$N$32</f>
        <v>SSV Wildbach</v>
      </c>
      <c r="J13" s="336">
        <v>2</v>
      </c>
      <c r="K13" s="338" t="str">
        <f>Language!$E$80</f>
        <v>-</v>
      </c>
      <c r="L13" s="590">
        <v>0</v>
      </c>
      <c r="M13" s="336"/>
      <c r="N13" s="338" t="str">
        <f>Language!$E$80</f>
        <v>-</v>
      </c>
      <c r="O13" s="321"/>
      <c r="P13" s="342"/>
      <c r="S13" s="317" t="b">
        <f t="shared" ref="S13:S16" ca="1" si="0">AND($G13&lt;&gt;"",$I13&lt;&gt;"",$J13&lt;&gt;"",$L13&lt;&gt;"")</f>
        <v>1</v>
      </c>
      <c r="T13" s="317" t="str">
        <f t="shared" ref="T13:T16" ca="1" si="1">IF(NOT(S13),"",IF($J13&gt;$L13,$G13,IF($J13&lt;$L13,$I13,IF(OR($M13="",$O13="",$M13=$O13),"",IF($M13&gt;$O13,$G13,$I13)))))</f>
        <v>1. FC Riedwald</v>
      </c>
      <c r="U13" s="317" t="str">
        <f t="shared" ref="U13:U16" ca="1" si="2">IF(NOT(S13),"",IF($J13&lt;$L13,$G13,IF($J13&gt;$L13,$I13,IF(OR($M13="",$O13="",$M13=$O13),"",IF($M13&lt;$O13,$G13,$I13)))))</f>
        <v>SSV Wildbach</v>
      </c>
      <c r="V13" s="317" t="b">
        <f t="shared" ref="V13:V16" ca="1" si="3">AND(S13,$J13=$L13)</f>
        <v>0</v>
      </c>
    </row>
    <row r="14" spans="2:22" s="317" customFormat="1" ht="24" customHeight="1" x14ac:dyDescent="0.2">
      <c r="B14" s="377"/>
      <c r="C14" s="385">
        <f t="array" aca="1" ref="C14" ca="1">$C$12+ROW(A2)-SUM((($G$12:$G13="")+($I$12:$I13="")&gt;0)*1)</f>
        <v>58</v>
      </c>
      <c r="D14" s="346">
        <f ca="1">IF(Planning!$U$16,"",$D$12+QUOTIENT(($C14-$C$12),Planning!$U$18)*(Planning!$R$7+Planning!$R$9)/1440+SUM($P$12:$P13)/1440)</f>
        <v>0.71527777777777779</v>
      </c>
      <c r="E14" s="340">
        <f ca="1">IF(Planning!$U$16,"",MOD($C14-$C$12,Planning!$U$18)+1)</f>
        <v>2</v>
      </c>
      <c r="F14" s="327" t="s">
        <v>345</v>
      </c>
      <c r="G14" s="323" t="str">
        <f ca="1">PreliminaryRound!$N$18</f>
        <v>VFB Essenheim</v>
      </c>
      <c r="H14" s="152" t="s">
        <v>5</v>
      </c>
      <c r="I14" s="325" t="str">
        <f ca="1">PreliminaryRound!$N$31</f>
        <v>VFL Ronsdorf</v>
      </c>
      <c r="J14" s="336">
        <v>2</v>
      </c>
      <c r="K14" s="338" t="str">
        <f>Language!$E$80</f>
        <v>-</v>
      </c>
      <c r="L14" s="590">
        <v>4</v>
      </c>
      <c r="M14" s="336"/>
      <c r="N14" s="338" t="str">
        <f>Language!$E$80</f>
        <v>-</v>
      </c>
      <c r="O14" s="321"/>
      <c r="P14" s="342"/>
      <c r="S14" s="317" t="b">
        <f t="shared" ca="1" si="0"/>
        <v>1</v>
      </c>
      <c r="T14" s="317" t="str">
        <f t="shared" ca="1" si="1"/>
        <v>VFL Ronsdorf</v>
      </c>
      <c r="U14" s="317" t="str">
        <f t="shared" ca="1" si="2"/>
        <v>VFB Essenheim</v>
      </c>
      <c r="V14" s="317" t="b">
        <f t="shared" ca="1" si="3"/>
        <v>0</v>
      </c>
    </row>
    <row r="15" spans="2:22" s="317" customFormat="1" ht="24" customHeight="1" x14ac:dyDescent="0.2">
      <c r="B15" s="377"/>
      <c r="C15" s="379">
        <f t="array" aca="1" ref="C15" ca="1">$C$12+ROW(A3)-SUM((($G$12:$G14="")+($I$12:$I14="")&gt;0)*1)</f>
        <v>59</v>
      </c>
      <c r="D15" s="346">
        <f ca="1">IF(Planning!$U$16,"",$D$12+QUOTIENT(($C15-$C$12),Planning!$U$18)*(Planning!$R$7+Planning!$R$9)/1440+SUM($P$12:$P14)/1440)</f>
        <v>0.71527777777777779</v>
      </c>
      <c r="E15" s="503">
        <f ca="1">IF(Planning!$U$16,"",MOD($C15-$C$12,Planning!$U$18)+1)</f>
        <v>3</v>
      </c>
      <c r="F15" s="327" t="s">
        <v>227</v>
      </c>
      <c r="G15" s="323" t="str">
        <f ca="1">PreliminaryRound!$N$17</f>
        <v>Maibach 1822 eV</v>
      </c>
      <c r="H15" s="152" t="s">
        <v>5</v>
      </c>
      <c r="I15" s="325" t="str">
        <f ca="1">PreliminaryRound!$N$30</f>
        <v>FC Grönlingen</v>
      </c>
      <c r="J15" s="336">
        <v>1</v>
      </c>
      <c r="K15" s="339" t="str">
        <f>Language!$E$80</f>
        <v>-</v>
      </c>
      <c r="L15" s="590">
        <v>2</v>
      </c>
      <c r="M15" s="336"/>
      <c r="N15" s="339" t="str">
        <f>Language!$E$80</f>
        <v>-</v>
      </c>
      <c r="O15" s="321"/>
      <c r="P15" s="342"/>
      <c r="S15" s="317" t="b">
        <f t="shared" ca="1" si="0"/>
        <v>1</v>
      </c>
      <c r="T15" s="317" t="str">
        <f t="shared" ca="1" si="1"/>
        <v>FC Grönlingen</v>
      </c>
      <c r="U15" s="317" t="str">
        <f t="shared" ca="1" si="2"/>
        <v>Maibach 1822 eV</v>
      </c>
      <c r="V15" s="317" t="b">
        <f t="shared" ca="1" si="3"/>
        <v>0</v>
      </c>
    </row>
    <row r="16" spans="2:22" s="317" customFormat="1" ht="24" customHeight="1" thickBot="1" x14ac:dyDescent="0.25">
      <c r="B16" s="377"/>
      <c r="C16" s="562">
        <f t="array" aca="1" ref="C16" ca="1">$C$12+ROW(A4)-SUM((($G$12:$G15="")+($I$12:$I15="")&gt;0)*1)</f>
        <v>60</v>
      </c>
      <c r="D16" s="347">
        <f ca="1">IF(Planning!$U$16,"",$D$12+QUOTIENT(($C16-$C$12),Planning!$U$18)*(Planning!$R$7+Planning!$R$9)/1440+SUM($P$12:$P15)/1440)</f>
        <v>0.71527777777777779</v>
      </c>
      <c r="E16" s="343">
        <f ca="1">IF(Planning!$U$16,"",MOD($C16-$C$12,Planning!$U$18)+1)</f>
        <v>4</v>
      </c>
      <c r="F16" s="328" t="s">
        <v>228</v>
      </c>
      <c r="G16" s="324" t="str">
        <f ca="1">PreliminaryRound!$N$16</f>
        <v>Knock Out Rangers</v>
      </c>
      <c r="H16" s="153" t="s">
        <v>5</v>
      </c>
      <c r="I16" s="326" t="str">
        <f ca="1">PreliminaryRound!$N$29</f>
        <v>Borussia Heine</v>
      </c>
      <c r="J16" s="337">
        <v>3</v>
      </c>
      <c r="K16" s="369" t="str">
        <f>Language!$E$80</f>
        <v>-</v>
      </c>
      <c r="L16" s="591">
        <v>2</v>
      </c>
      <c r="M16" s="337"/>
      <c r="N16" s="369" t="str">
        <f>Language!$E$80</f>
        <v>-</v>
      </c>
      <c r="O16" s="322"/>
      <c r="P16" s="370"/>
      <c r="S16" s="317" t="b">
        <f t="shared" ca="1" si="0"/>
        <v>1</v>
      </c>
      <c r="T16" s="317" t="str">
        <f t="shared" ca="1" si="1"/>
        <v>Knock Out Rangers</v>
      </c>
      <c r="U16" s="317" t="str">
        <f t="shared" ca="1" si="2"/>
        <v>Borussia Heine</v>
      </c>
      <c r="V16" s="317" t="b">
        <f t="shared" ca="1" si="3"/>
        <v>0</v>
      </c>
    </row>
    <row r="17" spans="2:22" s="317" customFormat="1" ht="24" customHeight="1" thickTop="1" thickBot="1" x14ac:dyDescent="0.35">
      <c r="B17" s="378"/>
      <c r="C17" s="740" t="str">
        <f>Language!$E$54</f>
        <v>Semifinal places 5 - 8</v>
      </c>
      <c r="D17" s="740"/>
      <c r="E17" s="740"/>
      <c r="F17" s="740"/>
      <c r="G17" s="396" t="s">
        <v>274</v>
      </c>
      <c r="H17" s="123"/>
      <c r="I17" s="396" t="s">
        <v>274</v>
      </c>
      <c r="J17" s="357"/>
      <c r="K17" s="357"/>
      <c r="L17" s="357"/>
      <c r="M17" s="357"/>
      <c r="N17" s="357"/>
      <c r="O17" s="357"/>
      <c r="P17" s="359"/>
    </row>
    <row r="18" spans="2:22" s="317" customFormat="1" ht="24" customHeight="1" thickTop="1" x14ac:dyDescent="0.2">
      <c r="B18" s="378"/>
      <c r="C18" s="564">
        <f t="array" aca="1" ref="C18" ca="1">$C$12+ROW(A5)-SUM((($G$12:$G17="")+($I$12:$I17="")&gt;0)*1)</f>
        <v>61</v>
      </c>
      <c r="D18" s="565">
        <f ca="1">IF(Planning!$U$16,"",$D$12+QUOTIENT(($C18-$C$12),Planning!$U$18)*(Planning!$R$7+Planning!$R$9)/1440+SUM($P$12:$P17)/1440)</f>
        <v>0.73958333333333337</v>
      </c>
      <c r="E18" s="360">
        <f ca="1">IF(Planning!$U$16,"",MOD($C18-$C$12,Planning!$U$18)+1)</f>
        <v>1</v>
      </c>
      <c r="F18" s="361" t="s">
        <v>372</v>
      </c>
      <c r="G18" s="362" t="str">
        <f ca="1">PreliminaryRound!$N$14</f>
        <v>Raslo Winners</v>
      </c>
      <c r="H18" s="363" t="s">
        <v>5</v>
      </c>
      <c r="I18" s="364" t="str">
        <f ca="1">PreliminaryRound!$N$28</f>
        <v>Mainz 05</v>
      </c>
      <c r="J18" s="365">
        <v>3</v>
      </c>
      <c r="K18" s="366" t="str">
        <f>Language!$E$80</f>
        <v>-</v>
      </c>
      <c r="L18" s="599">
        <v>5</v>
      </c>
      <c r="M18" s="365"/>
      <c r="N18" s="366" t="s">
        <v>233</v>
      </c>
      <c r="O18" s="367"/>
      <c r="P18" s="563"/>
      <c r="S18" s="317" t="b">
        <f t="shared" ref="S18:S19" ca="1" si="4">AND($G18&lt;&gt;"",$I18&lt;&gt;"",$J18&lt;&gt;"",$L18&lt;&gt;"")</f>
        <v>1</v>
      </c>
      <c r="T18" s="317" t="str">
        <f t="shared" ref="T18:T19" ca="1" si="5">IF(NOT(S18),"",IF($J18&gt;$L18,$G18,IF($J18&lt;$L18,$I18,IF(OR($M18="",$O18="",$M18=$O18),"",IF($M18&gt;$O18,$G18,$I18)))))</f>
        <v>Mainz 05</v>
      </c>
      <c r="U18" s="317" t="str">
        <f t="shared" ref="U18:U19" ca="1" si="6">IF(NOT(S18),"",IF($J18&lt;$L18,$G18,IF($J18&gt;$L18,$I18,IF(OR($M18="",$O18="",$M18=$O18),"",IF($M18&lt;$O18,$G18,$I18)))))</f>
        <v>Raslo Winners</v>
      </c>
      <c r="V18" s="317" t="b">
        <f t="shared" ref="V18:V19" ca="1" si="7">AND(S18,$J18=$L18)</f>
        <v>0</v>
      </c>
    </row>
    <row r="19" spans="2:22" s="317" customFormat="1" ht="24" customHeight="1" thickBot="1" x14ac:dyDescent="0.25">
      <c r="B19" s="378"/>
      <c r="C19" s="562">
        <f ca="1">$C$18+1</f>
        <v>62</v>
      </c>
      <c r="D19" s="347">
        <f ca="1">IF(Planning!$U$16,"",$D$12+QUOTIENT(($C19-$C$12),Planning!$U$18)*(Planning!$R$7+Planning!$R$9)/1440+SUM($P$12:$P18)/1440)</f>
        <v>0.73958333333333337</v>
      </c>
      <c r="E19" s="343">
        <f ca="1">IF(Planning!$U$16,"",MOD($C19-$C$12,Planning!$U$18)+1)</f>
        <v>2</v>
      </c>
      <c r="F19" s="328" t="s">
        <v>373</v>
      </c>
      <c r="G19" s="324" t="str">
        <f ca="1">PreliminaryRound!$N$27</f>
        <v>Inter Mailand</v>
      </c>
      <c r="H19" s="153" t="s">
        <v>5</v>
      </c>
      <c r="I19" s="326" t="str">
        <f ca="1">PreliminaryRound!$N$15</f>
        <v>Fun Kickers Oes</v>
      </c>
      <c r="J19" s="337">
        <v>4</v>
      </c>
      <c r="K19" s="369" t="str">
        <f>Language!$E$80</f>
        <v>-</v>
      </c>
      <c r="L19" s="591">
        <v>1</v>
      </c>
      <c r="M19" s="337"/>
      <c r="N19" s="369" t="s">
        <v>233</v>
      </c>
      <c r="O19" s="322"/>
      <c r="P19" s="370"/>
      <c r="S19" s="317" t="b">
        <f t="shared" ca="1" si="4"/>
        <v>1</v>
      </c>
      <c r="T19" s="317" t="str">
        <f t="shared" ca="1" si="5"/>
        <v>Inter Mailand</v>
      </c>
      <c r="U19" s="317" t="str">
        <f t="shared" ca="1" si="6"/>
        <v>Fun Kickers Oes</v>
      </c>
      <c r="V19" s="317" t="b">
        <f t="shared" ca="1" si="7"/>
        <v>0</v>
      </c>
    </row>
    <row r="20" spans="2:22" s="317" customFormat="1" ht="24" customHeight="1" thickTop="1" thickBot="1" x14ac:dyDescent="0.35">
      <c r="B20" s="378"/>
      <c r="C20" s="740" t="str">
        <f>Language!$E$53</f>
        <v>Semifinal places 1 - 4</v>
      </c>
      <c r="D20" s="740"/>
      <c r="E20" s="740"/>
      <c r="F20" s="740"/>
      <c r="G20" s="443"/>
      <c r="H20" s="123"/>
      <c r="I20" s="443"/>
      <c r="J20" s="357"/>
      <c r="K20" s="357"/>
      <c r="L20" s="357"/>
      <c r="M20" s="357"/>
      <c r="N20" s="357"/>
      <c r="O20" s="357"/>
      <c r="P20" s="359"/>
    </row>
    <row r="21" spans="2:22" s="317" customFormat="1" ht="24" customHeight="1" thickTop="1" x14ac:dyDescent="0.2">
      <c r="B21" s="378"/>
      <c r="C21" s="564">
        <f ca="1">$C$18+2</f>
        <v>63</v>
      </c>
      <c r="D21" s="565">
        <f ca="1">IF(Planning!$U$16,"",$D$12+QUOTIENT(($C21-$C$12),Planning!$U$18)*(Planning!$R$7+Planning!$R$9)/1440+SUM($P$12:$P20)/1440)</f>
        <v>0.73958333333333337</v>
      </c>
      <c r="E21" s="360">
        <f ca="1">IF(Planning!$U$16,"",MOD($C21-$C$12,Planning!$U$18)+1)</f>
        <v>3</v>
      </c>
      <c r="F21" s="361" t="s">
        <v>251</v>
      </c>
      <c r="G21" s="362" t="str">
        <f ca="1">PreliminaryRound!$N$12</f>
        <v>FC Barcelona</v>
      </c>
      <c r="H21" s="363" t="s">
        <v>5</v>
      </c>
      <c r="I21" s="364" t="str">
        <f ca="1">PreliminaryRound!$N$26</f>
        <v>AC Roma</v>
      </c>
      <c r="J21" s="365">
        <v>5</v>
      </c>
      <c r="K21" s="366" t="str">
        <f>Language!$E$80</f>
        <v>-</v>
      </c>
      <c r="L21" s="599">
        <v>2</v>
      </c>
      <c r="M21" s="365"/>
      <c r="N21" s="366" t="str">
        <f>Language!$E$80</f>
        <v>-</v>
      </c>
      <c r="O21" s="367"/>
      <c r="P21" s="341"/>
      <c r="S21" s="317" t="b">
        <f t="shared" ref="S21:S22" ca="1" si="8">AND($G21&lt;&gt;"",$I21&lt;&gt;"",$J21&lt;&gt;"",$L21&lt;&gt;"")</f>
        <v>1</v>
      </c>
      <c r="T21" s="317" t="str">
        <f t="shared" ref="T21:T22" ca="1" si="9">IF(NOT(S21),"",IF($J21&gt;$L21,$G21,IF($J21&lt;$L21,$I21,IF(OR($M21="",$O21="",$M21=$O21),"",IF($M21&gt;$O21,$G21,$I21)))))</f>
        <v>FC Barcelona</v>
      </c>
      <c r="U21" s="317" t="str">
        <f t="shared" ref="U21:U22" ca="1" si="10">IF(NOT(S21),"",IF($J21&lt;$L21,$G21,IF($J21&gt;$L21,$I21,IF(OR($M21="",$O21="",$M21=$O21),"",IF($M21&lt;$O21,$G21,$I21)))))</f>
        <v>AC Roma</v>
      </c>
      <c r="V21" s="317" t="b">
        <f t="shared" ref="V21:V22" ca="1" si="11">AND(S21,$J21=$L21)</f>
        <v>0</v>
      </c>
    </row>
    <row r="22" spans="2:22" s="317" customFormat="1" ht="24" customHeight="1" thickBot="1" x14ac:dyDescent="0.25">
      <c r="B22" s="378"/>
      <c r="C22" s="562">
        <f ca="1">$C$18+3</f>
        <v>64</v>
      </c>
      <c r="D22" s="347">
        <f ca="1">IF(Planning!$U$16,"",$D$12+QUOTIENT(($C22-$C$12),Planning!$U$18)*(Planning!$R$7+Planning!$R$9)/1440+SUM($P$12:$P21)/1440)</f>
        <v>0.73958333333333337</v>
      </c>
      <c r="E22" s="343">
        <f ca="1">IF(Planning!$U$16,"",MOD($C22-$C$12,Planning!$U$18)+1)</f>
        <v>4</v>
      </c>
      <c r="F22" s="328" t="s">
        <v>252</v>
      </c>
      <c r="G22" s="324" t="str">
        <f ca="1">PreliminaryRound!$N$25</f>
        <v>Manchester City</v>
      </c>
      <c r="H22" s="153" t="s">
        <v>5</v>
      </c>
      <c r="I22" s="326" t="str">
        <f ca="1">PreliminaryRound!$N$13</f>
        <v>Eintracht Frankfurt</v>
      </c>
      <c r="J22" s="337">
        <v>4</v>
      </c>
      <c r="K22" s="369" t="s">
        <v>233</v>
      </c>
      <c r="L22" s="591">
        <v>1</v>
      </c>
      <c r="M22" s="337"/>
      <c r="N22" s="369" t="str">
        <f>Language!$E$80</f>
        <v>-</v>
      </c>
      <c r="O22" s="322"/>
      <c r="P22" s="636"/>
      <c r="S22" s="317" t="b">
        <f t="shared" ca="1" si="8"/>
        <v>1</v>
      </c>
      <c r="T22" s="317" t="str">
        <f t="shared" ca="1" si="9"/>
        <v>Manchester City</v>
      </c>
      <c r="U22" s="317" t="str">
        <f t="shared" ca="1" si="10"/>
        <v>Eintracht Frankfurt</v>
      </c>
      <c r="V22" s="317" t="b">
        <f t="shared" ca="1" si="11"/>
        <v>0</v>
      </c>
    </row>
    <row r="23" spans="2:22" s="317" customFormat="1" ht="24" customHeight="1" thickTop="1" thickBot="1" x14ac:dyDescent="0.35">
      <c r="B23" s="378"/>
      <c r="C23" s="740" t="str">
        <f>Language!$E$56</f>
        <v>Finals places 5 - 8</v>
      </c>
      <c r="D23" s="740"/>
      <c r="E23" s="740"/>
      <c r="F23" s="740"/>
      <c r="G23" s="396"/>
      <c r="H23" s="123"/>
      <c r="I23" s="396"/>
      <c r="J23" s="357"/>
      <c r="K23" s="357"/>
      <c r="L23" s="357"/>
      <c r="M23" s="357"/>
      <c r="N23" s="357"/>
      <c r="O23" s="357"/>
      <c r="P23" s="359"/>
    </row>
    <row r="24" spans="2:22" s="317" customFormat="1" ht="24" customHeight="1" thickTop="1" x14ac:dyDescent="0.2">
      <c r="B24" s="378"/>
      <c r="C24" s="564">
        <f ca="1">$C$18+4</f>
        <v>65</v>
      </c>
      <c r="D24" s="565">
        <f ca="1">IF(Planning!$U$16,"",$D$22+($P$22+Planning!$R$9+Planning!$R$7)/1440)</f>
        <v>0.76388888888888895</v>
      </c>
      <c r="E24" s="360">
        <f>IF(Planning!$U$16,"",1)</f>
        <v>1</v>
      </c>
      <c r="F24" s="361" t="str">
        <f>Language!$E$58</f>
        <v>7th place</v>
      </c>
      <c r="G24" s="362" t="str">
        <f ca="1">$U18</f>
        <v>Raslo Winners</v>
      </c>
      <c r="H24" s="363" t="s">
        <v>5</v>
      </c>
      <c r="I24" s="364" t="str">
        <f ca="1">$U19</f>
        <v>Fun Kickers Oes</v>
      </c>
      <c r="J24" s="365">
        <v>3</v>
      </c>
      <c r="K24" s="366" t="str">
        <f>Language!$E$80</f>
        <v>-</v>
      </c>
      <c r="L24" s="599">
        <v>4</v>
      </c>
      <c r="M24" s="365"/>
      <c r="N24" s="366" t="s">
        <v>233</v>
      </c>
      <c r="O24" s="367"/>
      <c r="P24" s="563"/>
      <c r="S24" s="317" t="b">
        <f t="shared" ref="S24:S28" ca="1" si="12">AND($G24&lt;&gt;"",$I24&lt;&gt;"",$J24&lt;&gt;"",$L24&lt;&gt;"")</f>
        <v>1</v>
      </c>
      <c r="T24" s="317" t="str">
        <f t="shared" ref="T24:T25" ca="1" si="13">IF(NOT(S24),"",IF($J24&gt;$L24,$G24,IF($J24&lt;$L24,$I24,IF(OR($M24="",$O24="",$M24=$O24),"",IF($M24&gt;$O24,$G24,$I24)))))</f>
        <v>Fun Kickers Oes</v>
      </c>
      <c r="U24" s="317" t="str">
        <f t="shared" ref="U24:U25" ca="1" si="14">IF(NOT(S24),"",IF($J24&lt;$L24,$G24,IF($J24&gt;$L24,$I24,IF(OR($M24="",$O24="",$M24=$O24),"",IF($M24&lt;$O24,$G24,$I24)))))</f>
        <v>Raslo Winners</v>
      </c>
      <c r="V24" s="317" t="b">
        <f t="shared" ref="V24:V25" ca="1" si="15">AND(S24,$J24=$L24)</f>
        <v>0</v>
      </c>
    </row>
    <row r="25" spans="2:22" s="317" customFormat="1" ht="24" customHeight="1" thickBot="1" x14ac:dyDescent="0.25">
      <c r="B25" s="378"/>
      <c r="C25" s="562">
        <f ca="1">$C$18+5</f>
        <v>66</v>
      </c>
      <c r="D25" s="347">
        <f ca="1">IF(Planning!$U$16,"",$D$24+QUOTIENT(1,Planning!$U$18)*(Planning!$R$7+Planning!$R$9)/1440+$P24/1440)</f>
        <v>0.76388888888888895</v>
      </c>
      <c r="E25" s="343">
        <f>IF(Planning!$U$16,"",MOD(1,Planning!$U$18)+1)</f>
        <v>2</v>
      </c>
      <c r="F25" s="328" t="str">
        <f>Language!$E$57</f>
        <v>5th place</v>
      </c>
      <c r="G25" s="324" t="str">
        <f ca="1">$T$18</f>
        <v>Mainz 05</v>
      </c>
      <c r="H25" s="153" t="s">
        <v>5</v>
      </c>
      <c r="I25" s="326" t="str">
        <f ca="1">$T$19</f>
        <v>Inter Mailand</v>
      </c>
      <c r="J25" s="337">
        <v>4</v>
      </c>
      <c r="K25" s="369" t="str">
        <f>Language!$E$80</f>
        <v>-</v>
      </c>
      <c r="L25" s="591">
        <v>1</v>
      </c>
      <c r="M25" s="337"/>
      <c r="N25" s="369" t="s">
        <v>233</v>
      </c>
      <c r="O25" s="322"/>
      <c r="P25" s="370"/>
      <c r="S25" s="317" t="b">
        <f t="shared" ca="1" si="12"/>
        <v>1</v>
      </c>
      <c r="T25" s="317" t="str">
        <f t="shared" ca="1" si="13"/>
        <v>Mainz 05</v>
      </c>
      <c r="U25" s="317" t="str">
        <f t="shared" ca="1" si="14"/>
        <v>Inter Mailand</v>
      </c>
      <c r="V25" s="317" t="b">
        <f t="shared" ca="1" si="15"/>
        <v>0</v>
      </c>
    </row>
    <row r="26" spans="2:22" s="317" customFormat="1" ht="24" customHeight="1" thickTop="1" thickBot="1" x14ac:dyDescent="0.35">
      <c r="B26" s="378"/>
      <c r="C26" s="740" t="str">
        <f>Language!$E$55</f>
        <v>Finals places 1 - 4</v>
      </c>
      <c r="D26" s="740"/>
      <c r="E26" s="740"/>
      <c r="F26" s="740"/>
      <c r="G26" s="443"/>
      <c r="H26" s="123"/>
      <c r="I26" s="443"/>
      <c r="J26" s="357"/>
      <c r="K26" s="357"/>
      <c r="L26" s="357"/>
      <c r="M26" s="357"/>
      <c r="N26" s="357"/>
      <c r="O26" s="357"/>
      <c r="P26" s="359"/>
    </row>
    <row r="27" spans="2:22" s="317" customFormat="1" ht="24" customHeight="1" thickTop="1" x14ac:dyDescent="0.2">
      <c r="B27" s="378"/>
      <c r="C27" s="564">
        <f ca="1">$C$18+6</f>
        <v>67</v>
      </c>
      <c r="D27" s="565">
        <f ca="1">IF(Planning!$U$16,"",$D$24+QUOTIENT(2,Planning!$U$18)*(Planning!$R$7+Planning!$R$9)/1440+$P25/1440)</f>
        <v>0.76388888888888895</v>
      </c>
      <c r="E27" s="360">
        <f>IF(Planning!$U$16,"",MOD(2,Planning!$U$18)+1)</f>
        <v>3</v>
      </c>
      <c r="F27" s="361" t="str">
        <f>Language!$E$89</f>
        <v>3rd place</v>
      </c>
      <c r="G27" s="362" t="str">
        <f ca="1">$U21</f>
        <v>AC Roma</v>
      </c>
      <c r="H27" s="363" t="s">
        <v>5</v>
      </c>
      <c r="I27" s="364" t="str">
        <f ca="1">$U22</f>
        <v>Eintracht Frankfurt</v>
      </c>
      <c r="J27" s="365">
        <v>5</v>
      </c>
      <c r="K27" s="366" t="str">
        <f>Language!$E$80</f>
        <v>-</v>
      </c>
      <c r="L27" s="599">
        <v>2</v>
      </c>
      <c r="M27" s="365"/>
      <c r="N27" s="366" t="str">
        <f>Language!$E$80</f>
        <v>-</v>
      </c>
      <c r="O27" s="367"/>
      <c r="P27" s="341"/>
      <c r="S27" s="317" t="b">
        <f t="shared" ca="1" si="12"/>
        <v>1</v>
      </c>
      <c r="T27" s="317" t="str">
        <f t="shared" ref="T27:T28" ca="1" si="16">IF(NOT(S27),"",IF($J27&gt;$L27,$G27,IF($J27&lt;$L27,$I27,IF(OR($M27="",$O27="",$M27=$O27),"",IF($M27&gt;$O27,$G27,$I27)))))</f>
        <v>AC Roma</v>
      </c>
      <c r="U27" s="317" t="str">
        <f t="shared" ref="U27:U28" ca="1" si="17">IF(NOT(S27),"",IF($J27&lt;$L27,$G27,IF($J27&gt;$L27,$I27,IF(OR($M27="",$O27="",$M27=$O27),"",IF($M27&lt;$O27,$G27,$I27)))))</f>
        <v>Eintracht Frankfurt</v>
      </c>
      <c r="V27" s="317" t="b">
        <f t="shared" ref="V27:V28" ca="1" si="18">AND(S27,$J27=$L27)</f>
        <v>0</v>
      </c>
    </row>
    <row r="28" spans="2:22" s="317" customFormat="1" ht="24" customHeight="1" thickBot="1" x14ac:dyDescent="0.25">
      <c r="B28" s="378"/>
      <c r="C28" s="562">
        <f ca="1">$C$18+7</f>
        <v>68</v>
      </c>
      <c r="D28" s="347">
        <f ca="1">IF(Planning!$U$16,"",$D$27+($P$27+Planning!$R$9+Planning!$R$7)/1440)</f>
        <v>0.78819444444444453</v>
      </c>
      <c r="E28" s="343">
        <f>IF(Planning!$U$16,"",1)</f>
        <v>1</v>
      </c>
      <c r="F28" s="328" t="str">
        <f>Language!$E$90</f>
        <v>Final</v>
      </c>
      <c r="G28" s="324" t="str">
        <f ca="1">$T21</f>
        <v>FC Barcelona</v>
      </c>
      <c r="H28" s="153" t="s">
        <v>5</v>
      </c>
      <c r="I28" s="326" t="str">
        <f ca="1">$T22</f>
        <v>Manchester City</v>
      </c>
      <c r="J28" s="337">
        <v>4</v>
      </c>
      <c r="K28" s="369" t="s">
        <v>233</v>
      </c>
      <c r="L28" s="591">
        <v>1</v>
      </c>
      <c r="M28" s="337"/>
      <c r="N28" s="369" t="str">
        <f>Language!$E$80</f>
        <v>-</v>
      </c>
      <c r="O28" s="322"/>
      <c r="P28" s="355"/>
      <c r="S28" s="317" t="b">
        <f t="shared" ca="1" si="12"/>
        <v>1</v>
      </c>
      <c r="T28" s="317" t="str">
        <f t="shared" ca="1" si="16"/>
        <v>FC Barcelona</v>
      </c>
      <c r="U28" s="317" t="str">
        <f t="shared" ca="1" si="17"/>
        <v>Manchester City</v>
      </c>
      <c r="V28" s="317" t="b">
        <f t="shared" ca="1" si="18"/>
        <v>0</v>
      </c>
    </row>
    <row r="29" spans="2:22" ht="13.5" thickTop="1" x14ac:dyDescent="0.2"/>
    <row r="30" spans="2:22" ht="24" customHeight="1" x14ac:dyDescent="0.2">
      <c r="C30" s="351"/>
      <c r="D30" s="351"/>
      <c r="E30" s="351"/>
      <c r="F30" s="351"/>
      <c r="G30" s="739" t="str">
        <f>Language!$E$29</f>
        <v>Tournament end:</v>
      </c>
      <c r="H30" s="739"/>
      <c r="I30" s="352">
        <f ca="1">IF(Planning!$R$13="","",$D$28+Planning!$R$7/1440)</f>
        <v>0.8090277777777779</v>
      </c>
      <c r="J30" s="353"/>
      <c r="K30" s="353"/>
      <c r="L30" s="353"/>
      <c r="M30" s="353"/>
      <c r="N30" s="353"/>
      <c r="O30" s="353"/>
      <c r="P30" s="353"/>
    </row>
    <row r="31" spans="2:22" x14ac:dyDescent="0.2">
      <c r="D31" s="349"/>
    </row>
    <row r="32" spans="2:22" ht="13.5" thickBot="1" x14ac:dyDescent="0.25">
      <c r="D32" s="349"/>
    </row>
    <row r="33" spans="5:9" ht="22.5" customHeight="1" thickBot="1" x14ac:dyDescent="0.25">
      <c r="F33" s="444" t="str">
        <f>Language!$E$88</f>
        <v>Rank</v>
      </c>
      <c r="G33" s="731" t="str">
        <f>"  "&amp;Language!$E$10</f>
        <v xml:space="preserve">  Participant or team</v>
      </c>
      <c r="H33" s="731"/>
      <c r="I33" s="732"/>
    </row>
    <row r="34" spans="5:9" ht="22.5" customHeight="1" thickTop="1" x14ac:dyDescent="0.2">
      <c r="F34" s="387">
        <v>1</v>
      </c>
      <c r="G34" s="723" t="str">
        <f ca="1">$T28</f>
        <v>FC Barcelona</v>
      </c>
      <c r="H34" s="723"/>
      <c r="I34" s="724"/>
    </row>
    <row r="35" spans="5:9" ht="22.5" customHeight="1" x14ac:dyDescent="0.2">
      <c r="F35" s="388">
        <v>2</v>
      </c>
      <c r="G35" s="725" t="str">
        <f ca="1">$U28</f>
        <v>Manchester City</v>
      </c>
      <c r="H35" s="725"/>
      <c r="I35" s="726"/>
    </row>
    <row r="36" spans="5:9" ht="22.5" customHeight="1" x14ac:dyDescent="0.2">
      <c r="F36" s="389">
        <v>3</v>
      </c>
      <c r="G36" s="727" t="str">
        <f ca="1">IF(AND($G27&lt;&gt;"",$I27=""),$G27,IF(AND($G27="",$I27&lt;&gt;""),$I27,$T27))</f>
        <v>AC Roma</v>
      </c>
      <c r="H36" s="727"/>
      <c r="I36" s="728"/>
    </row>
    <row r="37" spans="5:9" ht="22.5" customHeight="1" x14ac:dyDescent="0.2">
      <c r="F37" s="390">
        <v>4</v>
      </c>
      <c r="G37" s="708" t="str">
        <f ca="1">$U27</f>
        <v>Eintracht Frankfurt</v>
      </c>
      <c r="H37" s="708"/>
      <c r="I37" s="709"/>
    </row>
    <row r="38" spans="5:9" ht="22.5" customHeight="1" x14ac:dyDescent="0.2">
      <c r="F38" s="390">
        <v>5</v>
      </c>
      <c r="G38" s="708" t="str">
        <f ca="1">IF(AND($G25&lt;&gt;"",$I25=""),$G25,IF(AND($G25="",$I25&lt;&gt;""),$I25,$T25))</f>
        <v>Mainz 05</v>
      </c>
      <c r="H38" s="708"/>
      <c r="I38" s="709"/>
    </row>
    <row r="39" spans="5:9" ht="22.5" customHeight="1" x14ac:dyDescent="0.2">
      <c r="F39" s="390">
        <v>6</v>
      </c>
      <c r="G39" s="708" t="str">
        <f ca="1">$U25</f>
        <v>Inter Mailand</v>
      </c>
      <c r="H39" s="708"/>
      <c r="I39" s="709"/>
    </row>
    <row r="40" spans="5:9" ht="24" customHeight="1" x14ac:dyDescent="0.2">
      <c r="E40" s="350">
        <v>1</v>
      </c>
      <c r="F40" s="390">
        <v>7</v>
      </c>
      <c r="G40" s="708" t="str">
        <f ca="1">IF(AND($G24&lt;&gt;"",$I24=""),$G24,IF(AND($G24="",$I24&lt;&gt;""),$I24,$T24))</f>
        <v>Fun Kickers Oes</v>
      </c>
      <c r="H40" s="708"/>
      <c r="I40" s="709"/>
    </row>
    <row r="41" spans="5:9" ht="24" customHeight="1" x14ac:dyDescent="0.2">
      <c r="E41" s="350">
        <v>2</v>
      </c>
      <c r="F41" s="390">
        <v>8</v>
      </c>
      <c r="G41" s="708" t="str">
        <f ca="1">$U24</f>
        <v>Raslo Winners</v>
      </c>
      <c r="H41" s="708"/>
      <c r="I41" s="709"/>
    </row>
    <row r="42" spans="5:9" ht="24" customHeight="1" x14ac:dyDescent="0.2">
      <c r="E42" s="350">
        <v>3</v>
      </c>
      <c r="F42" s="390">
        <v>9</v>
      </c>
      <c r="G42" s="708" t="str">
        <f ca="1">IF(AND($G16&lt;&gt;"",$I16=""),$G16,IF(AND($G16="",$I16&lt;&gt;""),$I16,$T16))</f>
        <v>Knock Out Rangers</v>
      </c>
      <c r="H42" s="708"/>
      <c r="I42" s="709"/>
    </row>
    <row r="43" spans="5:9" ht="24" customHeight="1" x14ac:dyDescent="0.2">
      <c r="E43" s="350">
        <v>4</v>
      </c>
      <c r="F43" s="390">
        <v>10</v>
      </c>
      <c r="G43" s="708" t="str">
        <f ca="1">$U16</f>
        <v>Borussia Heine</v>
      </c>
      <c r="H43" s="708"/>
      <c r="I43" s="709"/>
    </row>
    <row r="44" spans="5:9" ht="24" customHeight="1" x14ac:dyDescent="0.2">
      <c r="E44" s="350">
        <v>5</v>
      </c>
      <c r="F44" s="390">
        <v>11</v>
      </c>
      <c r="G44" s="708" t="str">
        <f ca="1">IF(AND($G15&lt;&gt;"",$I15=""),$G15,IF(AND($G15="",$I15&lt;&gt;""),$I15,$T15))</f>
        <v>FC Grönlingen</v>
      </c>
      <c r="H44" s="708"/>
      <c r="I44" s="709"/>
    </row>
    <row r="45" spans="5:9" ht="24" customHeight="1" x14ac:dyDescent="0.2">
      <c r="E45" s="350">
        <v>6</v>
      </c>
      <c r="F45" s="390">
        <v>12</v>
      </c>
      <c r="G45" s="708" t="str">
        <f ca="1">$U15</f>
        <v>Maibach 1822 eV</v>
      </c>
      <c r="H45" s="708"/>
      <c r="I45" s="709"/>
    </row>
    <row r="46" spans="5:9" ht="24" customHeight="1" x14ac:dyDescent="0.2">
      <c r="E46" s="350">
        <v>7</v>
      </c>
      <c r="F46" s="390">
        <v>13</v>
      </c>
      <c r="G46" s="708" t="str">
        <f ca="1">IF(AND($G14&lt;&gt;"",$I14=""),$G14,IF(AND($G14="",$I14&lt;&gt;""),$I14,$T14))</f>
        <v>VFL Ronsdorf</v>
      </c>
      <c r="H46" s="708"/>
      <c r="I46" s="709"/>
    </row>
    <row r="47" spans="5:9" ht="24" customHeight="1" x14ac:dyDescent="0.2">
      <c r="E47" s="350">
        <v>8</v>
      </c>
      <c r="F47" s="390">
        <v>14</v>
      </c>
      <c r="G47" s="708" t="str">
        <f ca="1">$U14</f>
        <v>VFB Essenheim</v>
      </c>
      <c r="H47" s="708"/>
      <c r="I47" s="709"/>
    </row>
    <row r="48" spans="5:9" ht="24" customHeight="1" x14ac:dyDescent="0.2">
      <c r="E48" s="350">
        <v>9</v>
      </c>
      <c r="F48" s="390">
        <v>15</v>
      </c>
      <c r="G48" s="708" t="str">
        <f ca="1">IF(AND($G13&lt;&gt;"",$I13=""),$G13,IF(AND($G13="",$I13&lt;&gt;""),$I13,$T13))</f>
        <v>1. FC Riedwald</v>
      </c>
      <c r="H48" s="708"/>
      <c r="I48" s="709"/>
    </row>
    <row r="49" spans="5:9" ht="24" customHeight="1" x14ac:dyDescent="0.2">
      <c r="E49" s="350">
        <v>10</v>
      </c>
      <c r="F49" s="390">
        <v>16</v>
      </c>
      <c r="G49" s="708" t="str">
        <f ca="1">$U13</f>
        <v>SSV Wildbach</v>
      </c>
      <c r="H49" s="708"/>
      <c r="I49" s="709"/>
    </row>
    <row r="50" spans="5:9" ht="24" customHeight="1" x14ac:dyDescent="0.2">
      <c r="E50" s="350">
        <v>11</v>
      </c>
      <c r="F50" s="390">
        <v>17</v>
      </c>
      <c r="G50" s="708" t="str">
        <f ca="1">IF(AND($G12&lt;&gt;"",$I12=""),$G12,IF(AND($G12="",$I12&lt;&gt;""),$I12,$T12))</f>
        <v/>
      </c>
      <c r="H50" s="708"/>
      <c r="I50" s="709"/>
    </row>
    <row r="51" spans="5:9" ht="24" customHeight="1" thickBot="1" x14ac:dyDescent="0.25">
      <c r="E51" s="350">
        <v>12</v>
      </c>
      <c r="F51" s="391">
        <v>18</v>
      </c>
      <c r="G51" s="729" t="str">
        <f ca="1">$U12</f>
        <v/>
      </c>
      <c r="H51" s="729"/>
      <c r="I51" s="730"/>
    </row>
    <row r="52" spans="5:9" ht="13.5" thickTop="1" x14ac:dyDescent="0.2"/>
    <row r="53" spans="5:9" ht="12.75" customHeight="1" x14ac:dyDescent="0.2"/>
    <row r="54" spans="5:9" ht="12.75" customHeight="1" x14ac:dyDescent="0.2"/>
  </sheetData>
  <sheetProtection sheet="1" selectLockedCells="1"/>
  <mergeCells count="34">
    <mergeCell ref="P9:P11"/>
    <mergeCell ref="C10:F10"/>
    <mergeCell ref="G11:I11"/>
    <mergeCell ref="J11:L11"/>
    <mergeCell ref="M11:O11"/>
    <mergeCell ref="E2:P2"/>
    <mergeCell ref="E3:P3"/>
    <mergeCell ref="E4:P4"/>
    <mergeCell ref="E5:P5"/>
    <mergeCell ref="G7:I8"/>
    <mergeCell ref="G41:I41"/>
    <mergeCell ref="C17:F17"/>
    <mergeCell ref="C26:F26"/>
    <mergeCell ref="G30:H30"/>
    <mergeCell ref="G33:I33"/>
    <mergeCell ref="G34:I34"/>
    <mergeCell ref="C20:F20"/>
    <mergeCell ref="C23:F23"/>
    <mergeCell ref="G35:I35"/>
    <mergeCell ref="G48:I48"/>
    <mergeCell ref="G49:I49"/>
    <mergeCell ref="G50:I50"/>
    <mergeCell ref="G51:I51"/>
    <mergeCell ref="G46:I46"/>
    <mergeCell ref="G47:I47"/>
    <mergeCell ref="G42:I42"/>
    <mergeCell ref="G43:I43"/>
    <mergeCell ref="G44:I44"/>
    <mergeCell ref="G45:I45"/>
    <mergeCell ref="G36:I36"/>
    <mergeCell ref="G37:I37"/>
    <mergeCell ref="G38:I38"/>
    <mergeCell ref="G39:I39"/>
    <mergeCell ref="G40:I40"/>
  </mergeCells>
  <conditionalFormatting sqref="C12:O16 C18:O19 C21:O22 C24:O25">
    <cfRule type="expression" dxfId="20" priority="13">
      <formula>OR($G12="",$I12="")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9" id="{76654C61-3772-4D62-BE5F-590C719BEF71}">
            <xm:f>$F51&gt;2*Calc1!$F$14-MOD((Calc1!$F$13+Calc2!$F$13),2)</xm:f>
            <x14:dxf>
              <numFmt numFmtId="165" formatCode=";;;"/>
            </x14:dxf>
          </x14:cfRule>
          <xm:sqref>F51</xm:sqref>
        </x14:conditionalFormatting>
        <x14:conditionalFormatting xmlns:xm="http://schemas.microsoft.com/office/excel/2006/main">
          <x14:cfRule type="expression" priority="11" id="{8968C416-A8CC-4723-976F-564F54475BBF}">
            <xm:f>$F37&gt;2*Calc1!$F$14-MOD((Calc1!$F$13+Calc2!$F$13),2)</xm:f>
            <x14:dxf>
              <numFmt numFmtId="165" formatCode=";;;"/>
            </x14:dxf>
          </x14:cfRule>
          <xm:sqref>F37 F39 F41 F43 F45 F47 F49</xm:sqref>
        </x14:conditionalFormatting>
        <x14:conditionalFormatting xmlns:xm="http://schemas.microsoft.com/office/excel/2006/main">
          <x14:cfRule type="expression" priority="10" id="{3C18689C-2D3E-42EE-89C0-5B56A340F2F9}">
            <xm:f>$F38&gt;2*Calc1!$F$14-MOD((Calc1!$F$13+Calc2!$F$13),2)</xm:f>
            <x14:dxf>
              <numFmt numFmtId="165" formatCode=";;;"/>
            </x14:dxf>
          </x14:cfRule>
          <xm:sqref>F38 F40 F42 F44 F46 F48 F50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vt:i4>
      </vt:variant>
    </vt:vector>
  </HeadingPairs>
  <TitlesOfParts>
    <vt:vector size="23" baseType="lpstr">
      <vt:lpstr>Planning</vt:lpstr>
      <vt:lpstr>proof</vt:lpstr>
      <vt:lpstr>Pairings</vt:lpstr>
      <vt:lpstr>PreliminaryRound</vt:lpstr>
      <vt:lpstr>Finals 1</vt:lpstr>
      <vt:lpstr>Finals 2</vt:lpstr>
      <vt:lpstr>DirVergleich_A</vt:lpstr>
      <vt:lpstr>DirVergleich_B</vt:lpstr>
      <vt:lpstr>Finals 2a</vt:lpstr>
      <vt:lpstr>Finals 3</vt:lpstr>
      <vt:lpstr>Finals 4</vt:lpstr>
      <vt:lpstr>Kick-off times finals 4</vt:lpstr>
      <vt:lpstr>Language</vt:lpstr>
      <vt:lpstr>Settings</vt:lpstr>
      <vt:lpstr>Help</vt:lpstr>
      <vt:lpstr>Calc1</vt:lpstr>
      <vt:lpstr>Calc2</vt:lpstr>
      <vt:lpstr>CalcE1</vt:lpstr>
      <vt:lpstr>CalcE2</vt:lpstr>
      <vt:lpstr>CalcE3</vt:lpstr>
      <vt:lpstr>CalcE4</vt:lpstr>
      <vt:lpstr>CalcE5</vt:lpstr>
      <vt:lpstr>'Kick-off times finals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2025-04-10T19:48:16Z</cp:lastPrinted>
  <dcterms:created xsi:type="dcterms:W3CDTF">2010-02-21T20:03:25Z</dcterms:created>
  <dcterms:modified xsi:type="dcterms:W3CDTF">2025-06-06T09:37:13Z</dcterms:modified>
</cp:coreProperties>
</file>